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embeddings/oleObject1.bin" ContentType="application/vnd.openxmlformats-officedocument.oleObject"/>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embeddings/oleObject2.bin" ContentType="application/vnd.openxmlformats-officedocument.oleObject"/>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0.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11.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13.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codeName="DieseArbeitsmappe" defaultThemeVersion="124226"/>
  <xr:revisionPtr revIDLastSave="525" documentId="13_ncr:1_{A0364C2A-58E8-48A7-B2AE-ADE42BA12DC7}" xr6:coauthVersionLast="47" xr6:coauthVersionMax="47" xr10:uidLastSave="{DBC8258E-DE33-4E4F-9622-453F2829D19E}"/>
  <bookViews>
    <workbookView xWindow="-108" yWindow="-108" windowWidth="41496" windowHeight="16896" tabRatio="748" xr2:uid="{12DB507E-7FD0-4851-80BB-FE4B5F24839B}"/>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QR_P.10" sheetId="24" r:id="rId11"/>
    <sheet name="RI" sheetId="1" r:id="rId12"/>
    <sheet name="QR" sheetId="20" r:id="rId13"/>
    <sheet name="Versionsverlauf" sheetId="25" state="hidden" r:id="rId14"/>
    <sheet name="Formeln" sheetId="2" state="hidden" r:id="rId15"/>
    <sheet name="Velux DE Artikelnummern" sheetId="26" state="hidden" r:id="rId16"/>
    <sheet name="Formeln_RI_P.10" sheetId="23" state="hidden" r:id="rId17"/>
    <sheet name="Sprachindex" sheetId="3" state="hidden" r:id="rId18"/>
  </sheets>
  <definedNames>
    <definedName name="_xlnm._FilterDatabase" localSheetId="1" hidden="1">DP!$A$29:$A$109</definedName>
    <definedName name="_xlnm._FilterDatabase" localSheetId="6" hidden="1">'DR29'!$A$29:$A$107</definedName>
    <definedName name="_xlnm._FilterDatabase" localSheetId="5" hidden="1">'DR44'!$A$29:$A$106</definedName>
    <definedName name="_xlnm._FilterDatabase" localSheetId="2" hidden="1">DS!$A$29:$A$105</definedName>
    <definedName name="_xlnm._FilterDatabase" localSheetId="3" hidden="1">DS.19!$A$29:$A$106</definedName>
    <definedName name="_xlnm._FilterDatabase" localSheetId="7" hidden="1">FX.12!$A$29:$A$106</definedName>
    <definedName name="_xlnm._FilterDatabase" localSheetId="8" hidden="1">PR!$A$29:$A$87</definedName>
    <definedName name="_xlnm._FilterDatabase" localSheetId="12" hidden="1">QR!$A$29:$A$68</definedName>
    <definedName name="_xlnm._FilterDatabase" localSheetId="10" hidden="1">QR_P.10!$A$29:$A$67</definedName>
    <definedName name="_xlnm._FilterDatabase" localSheetId="4" hidden="1">'R.16'!$A$29:$A$104</definedName>
    <definedName name="_xlnm._FilterDatabase" localSheetId="11" hidden="1">RI!$A$34:$A$118</definedName>
    <definedName name="_xlnm._FilterDatabase" localSheetId="9" hidden="1">'RI_P.10'!$A$29:$A$109</definedName>
    <definedName name="_xlnm.Print_Area" localSheetId="1">DP!$A$1:$N$118</definedName>
    <definedName name="_xlnm.Print_Area" localSheetId="6">'DR29'!$A$1:$N$116</definedName>
    <definedName name="_xlnm.Print_Area" localSheetId="5">'DR44'!$A$1:$N$115</definedName>
    <definedName name="_xlnm.Print_Area" localSheetId="2">DS!$A$1:$N$114</definedName>
    <definedName name="_xlnm.Print_Area" localSheetId="3">DS.19!$A$1:$N$115</definedName>
    <definedName name="_xlnm.Print_Area" localSheetId="7">FX.12!$A$1:$N$115</definedName>
    <definedName name="_xlnm.Print_Area" localSheetId="0">Info!$A$1:$N$60</definedName>
    <definedName name="_xlnm.Print_Area" localSheetId="8">PR!$A$1:$N$96</definedName>
    <definedName name="_xlnm.Print_Area" localSheetId="12">QR!$A$1:$N$77</definedName>
    <definedName name="_xlnm.Print_Area" localSheetId="10">QR_P.10!$A$1:$N$76</definedName>
    <definedName name="_xlnm.Print_Area" localSheetId="4">'R.16'!$A$1:$N$114</definedName>
    <definedName name="_xlnm.Print_Area" localSheetId="11">RI!$A$1:$N$127</definedName>
    <definedName name="_xlnm.Print_Area" localSheetId="9">'RI_P.10'!$A$1:$N$118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1" i="14" l="1"/>
  <c r="L92" i="22"/>
  <c r="I26" i="20"/>
  <c r="C32" i="1"/>
  <c r="I26" i="24"/>
  <c r="L27" i="22"/>
  <c r="I27" i="19"/>
  <c r="I26" i="18"/>
  <c r="I26" i="17"/>
  <c r="I26" i="16"/>
  <c r="I26" i="14"/>
  <c r="I26" i="21"/>
  <c r="I26" i="15"/>
  <c r="I26" i="13"/>
  <c r="CF88" i="1"/>
  <c r="AV86" i="1"/>
  <c r="AV98" i="1"/>
  <c r="AV83" i="1"/>
  <c r="BH82" i="1"/>
  <c r="BH81" i="1"/>
  <c r="BH80" i="1"/>
  <c r="AJ76" i="1"/>
  <c r="BT90" i="1"/>
  <c r="BH90" i="1"/>
  <c r="AV96" i="1"/>
  <c r="AV91" i="1"/>
  <c r="AV70" i="1"/>
  <c r="AV67" i="1"/>
  <c r="AJ106" i="1"/>
  <c r="AJ107" i="1"/>
  <c r="AV107" i="1"/>
  <c r="BT106" i="1"/>
  <c r="BH107" i="1"/>
  <c r="AV106" i="1"/>
  <c r="BH106" i="1"/>
  <c r="AV105" i="1"/>
  <c r="AJ66" i="1"/>
  <c r="AJ65" i="1"/>
  <c r="AJ64" i="1"/>
  <c r="AJ63" i="1"/>
  <c r="AV62" i="1"/>
  <c r="AV61" i="1"/>
  <c r="AV60" i="1"/>
  <c r="AV57" i="1"/>
  <c r="AV56" i="1"/>
  <c r="AV55" i="1"/>
  <c r="AV54" i="1"/>
  <c r="AV53" i="1"/>
  <c r="AJ52" i="1"/>
  <c r="BH104" i="1"/>
  <c r="AJ50" i="1"/>
  <c r="AV49" i="1" a="1"/>
  <c r="AV49" i="1" s="1"/>
  <c r="CR48" i="1"/>
  <c r="BH47" i="1"/>
  <c r="BH46" i="1"/>
  <c r="BH43" i="1"/>
  <c r="AJ41" i="1"/>
  <c r="AV40" i="1"/>
  <c r="AJ40" i="1"/>
  <c r="BH39" i="1"/>
  <c r="DT38" i="1"/>
  <c r="DF38" i="1" a="1"/>
  <c r="DF38" i="1" s="1"/>
  <c r="CR38" i="1"/>
  <c r="BH37" i="1"/>
  <c r="BH36" i="1"/>
  <c r="AM57" i="20"/>
  <c r="D57" i="20" s="1"/>
  <c r="AM59" i="20"/>
  <c r="D59" i="20" s="1"/>
  <c r="AM60" i="20"/>
  <c r="D60" i="20" s="1"/>
  <c r="AT52" i="20"/>
  <c r="AM52" i="20"/>
  <c r="AM47" i="20"/>
  <c r="D47" i="20" s="1"/>
  <c r="AM48" i="20"/>
  <c r="D48" i="20" s="1"/>
  <c r="AM49" i="20"/>
  <c r="D49" i="20" s="1"/>
  <c r="AM50" i="20"/>
  <c r="D50" i="20" s="1"/>
  <c r="AM51" i="20"/>
  <c r="D51" i="20" s="1"/>
  <c r="AM46" i="20"/>
  <c r="D46" i="20"/>
  <c r="AT46" i="20"/>
  <c r="AT45" i="20"/>
  <c r="AM45" i="20"/>
  <c r="D45" i="20" s="1"/>
  <c r="AT43" i="20"/>
  <c r="AM43" i="20"/>
  <c r="AM41" i="20"/>
  <c r="D41" i="20" s="1"/>
  <c r="AM42" i="20"/>
  <c r="D42" i="20" s="1"/>
  <c r="O42" i="20"/>
  <c r="L42" i="20"/>
  <c r="AM40" i="20"/>
  <c r="D40" i="20" s="1"/>
  <c r="AM39" i="20"/>
  <c r="D39" i="20" s="1"/>
  <c r="AM38" i="20"/>
  <c r="D38" i="20" s="1"/>
  <c r="AM37" i="20"/>
  <c r="D37" i="20" s="1"/>
  <c r="AM36" i="20"/>
  <c r="D36" i="20" s="1"/>
  <c r="AM35" i="20"/>
  <c r="D35" i="20" s="1"/>
  <c r="BA32" i="20"/>
  <c r="BA31" i="20"/>
  <c r="AT32" i="20"/>
  <c r="AT31" i="20"/>
  <c r="AM32" i="20"/>
  <c r="AM31" i="20"/>
  <c r="CF92" i="1"/>
  <c r="CQ88" i="1"/>
  <c r="AJ82" i="1"/>
  <c r="O67" i="1"/>
  <c r="W67" i="1"/>
  <c r="X67" i="1"/>
  <c r="L67" i="1" s="1"/>
  <c r="AJ67" i="1"/>
  <c r="BH67" i="1"/>
  <c r="BT67" i="1"/>
  <c r="GQ67" i="1"/>
  <c r="GR67" i="1"/>
  <c r="GS67" i="1"/>
  <c r="GT67" i="1"/>
  <c r="GU67" i="1"/>
  <c r="AJ53" i="1"/>
  <c r="DY48" i="1"/>
  <c r="BT37" i="1"/>
  <c r="BT36" i="1"/>
  <c r="D43" i="24"/>
  <c r="AX41" i="24"/>
  <c r="BK94" i="22"/>
  <c r="BA95" i="22"/>
  <c r="BA94" i="22"/>
  <c r="D94" i="22" s="1"/>
  <c r="AQ95" i="22"/>
  <c r="D95" i="22" s="1"/>
  <c r="AQ94" i="22"/>
  <c r="AG100" i="22"/>
  <c r="D100" i="22" s="1"/>
  <c r="AG99" i="22"/>
  <c r="D99" i="22" s="1"/>
  <c r="AG98" i="22"/>
  <c r="D98" i="22" s="1"/>
  <c r="AG95" i="22"/>
  <c r="AG94" i="22"/>
  <c r="CY79" i="22"/>
  <c r="CO79" i="22"/>
  <c r="CE79" i="22"/>
  <c r="BU83" i="22"/>
  <c r="BU81" i="22"/>
  <c r="BU79" i="22"/>
  <c r="BK89" i="22"/>
  <c r="BK88" i="22"/>
  <c r="BK83" i="22"/>
  <c r="BK81" i="22"/>
  <c r="BK79" i="22"/>
  <c r="BK74" i="22"/>
  <c r="BK73" i="22"/>
  <c r="BK72" i="22"/>
  <c r="BU71" i="22"/>
  <c r="BK71" i="22"/>
  <c r="BA86" i="22"/>
  <c r="BA87" i="22"/>
  <c r="BA88" i="22"/>
  <c r="BA89" i="22"/>
  <c r="BA90" i="22"/>
  <c r="BA85" i="22"/>
  <c r="BA82" i="22"/>
  <c r="BA83" i="22"/>
  <c r="D83" i="22" s="1"/>
  <c r="BA81" i="22"/>
  <c r="BA79" i="22"/>
  <c r="BA72" i="22"/>
  <c r="D72" i="22" s="1"/>
  <c r="BA73" i="22"/>
  <c r="D73" i="22" s="1"/>
  <c r="BA74" i="22"/>
  <c r="BA75" i="22"/>
  <c r="BA76" i="22"/>
  <c r="BA77" i="22"/>
  <c r="BA71" i="22"/>
  <c r="D71" i="22" s="1"/>
  <c r="AQ86" i="22"/>
  <c r="AQ87" i="22"/>
  <c r="D87" i="22" s="1"/>
  <c r="AQ88" i="22"/>
  <c r="D88" i="22" s="1"/>
  <c r="AQ89" i="22"/>
  <c r="AQ90" i="22"/>
  <c r="D90" i="22" s="1"/>
  <c r="AQ85" i="22"/>
  <c r="AQ82" i="22"/>
  <c r="D82" i="22" s="1"/>
  <c r="AQ83" i="22"/>
  <c r="AQ81" i="22"/>
  <c r="AQ79" i="22"/>
  <c r="AQ72" i="22"/>
  <c r="AQ73" i="22"/>
  <c r="AQ74" i="22"/>
  <c r="D74" i="22" s="1"/>
  <c r="AQ75" i="22"/>
  <c r="D75" i="22" s="1"/>
  <c r="AQ76" i="22"/>
  <c r="D76" i="22" s="1"/>
  <c r="AQ77" i="22"/>
  <c r="D77" i="22" s="1"/>
  <c r="AQ71" i="22"/>
  <c r="AG86" i="22"/>
  <c r="AG87" i="22"/>
  <c r="AG88" i="22"/>
  <c r="AG89" i="22"/>
  <c r="D89" i="22" s="1"/>
  <c r="AG90" i="22"/>
  <c r="AG91" i="22"/>
  <c r="D91" i="22" s="1"/>
  <c r="AG92" i="22"/>
  <c r="D92" i="22" s="1"/>
  <c r="AG85" i="22"/>
  <c r="AG80" i="22"/>
  <c r="D80" i="22" s="1"/>
  <c r="AG81" i="22"/>
  <c r="AG82" i="22"/>
  <c r="AG83" i="22"/>
  <c r="AG79" i="22"/>
  <c r="AG71" i="22"/>
  <c r="AG72" i="22"/>
  <c r="AG73" i="22"/>
  <c r="AG74" i="22"/>
  <c r="AG75" i="22"/>
  <c r="AG76" i="22"/>
  <c r="AG77" i="22"/>
  <c r="AG70" i="22"/>
  <c r="D70" i="22" s="1"/>
  <c r="AG67" i="22"/>
  <c r="D67" i="22" s="1"/>
  <c r="BU62" i="22"/>
  <c r="BU59" i="22"/>
  <c r="BK62" i="22"/>
  <c r="BK59" i="22"/>
  <c r="BK54" i="22"/>
  <c r="BA62" i="22"/>
  <c r="BA59" i="22"/>
  <c r="BA54" i="22"/>
  <c r="BA53" i="22"/>
  <c r="BA52" i="22"/>
  <c r="BA51" i="22"/>
  <c r="BA49" i="22"/>
  <c r="BA48" i="22"/>
  <c r="BA47" i="22"/>
  <c r="AQ62" i="22"/>
  <c r="AQ59" i="22"/>
  <c r="D59" i="22" s="1"/>
  <c r="AQ48" i="22"/>
  <c r="D48" i="22" s="1"/>
  <c r="AQ49" i="22"/>
  <c r="D49" i="22" s="1"/>
  <c r="AQ50" i="22"/>
  <c r="D50" i="22" s="1"/>
  <c r="AQ51" i="22"/>
  <c r="D51" i="22" s="1"/>
  <c r="AQ52" i="22"/>
  <c r="D52" i="22" s="1"/>
  <c r="AQ53" i="22"/>
  <c r="D53" i="22" s="1"/>
  <c r="AQ54" i="22"/>
  <c r="D54" i="22" s="1"/>
  <c r="AQ47" i="22"/>
  <c r="D47" i="22" s="1"/>
  <c r="AG62" i="22"/>
  <c r="AG61" i="22"/>
  <c r="D61" i="22" s="1"/>
  <c r="AG59" i="22"/>
  <c r="AG58" i="22"/>
  <c r="D58" i="22" s="1"/>
  <c r="AG57" i="22"/>
  <c r="D57" i="22" s="1"/>
  <c r="AG56" i="22"/>
  <c r="D56" i="22" s="1"/>
  <c r="AG55" i="22"/>
  <c r="D55" i="22" s="1"/>
  <c r="AG54" i="22"/>
  <c r="AG53" i="22"/>
  <c r="AG52" i="22"/>
  <c r="AG51" i="22"/>
  <c r="AG50" i="22"/>
  <c r="AG49" i="22"/>
  <c r="AG48" i="22"/>
  <c r="AG47" i="22"/>
  <c r="AG46" i="22"/>
  <c r="D46" i="22" s="1"/>
  <c r="AG60" i="22"/>
  <c r="BU43" i="22"/>
  <c r="CE43" i="22"/>
  <c r="CO43" i="22"/>
  <c r="CY43" i="22"/>
  <c r="DI43" i="22"/>
  <c r="BK43" i="22"/>
  <c r="BK42" i="22"/>
  <c r="BK41" i="22"/>
  <c r="BK38" i="22"/>
  <c r="BA44" i="22"/>
  <c r="BA43" i="22"/>
  <c r="BA42" i="22"/>
  <c r="D42" i="22" s="1"/>
  <c r="BA41" i="22"/>
  <c r="D41" i="22" s="1"/>
  <c r="AG44" i="22"/>
  <c r="AG43" i="22"/>
  <c r="AG42" i="22"/>
  <c r="AG41" i="22"/>
  <c r="AG40" i="22"/>
  <c r="D40" i="22" s="1"/>
  <c r="AG39" i="22"/>
  <c r="D39" i="22" s="1"/>
  <c r="AG38" i="22"/>
  <c r="AQ44" i="22"/>
  <c r="D44" i="22" s="1"/>
  <c r="AQ43" i="22"/>
  <c r="AQ42" i="22"/>
  <c r="AQ41" i="22"/>
  <c r="AQ38" i="22"/>
  <c r="BA38" i="22"/>
  <c r="D38" i="22" s="1"/>
  <c r="DI33" i="22"/>
  <c r="CY33" i="22"/>
  <c r="CO33" i="22"/>
  <c r="CE33" i="22"/>
  <c r="BU33" i="22"/>
  <c r="BK35" i="22"/>
  <c r="BK33" i="22"/>
  <c r="BK32" i="22"/>
  <c r="BK31" i="22"/>
  <c r="BA35" i="22"/>
  <c r="BA34" i="22"/>
  <c r="D34" i="22" s="1"/>
  <c r="BA33" i="22"/>
  <c r="BA32" i="22"/>
  <c r="D32" i="22" s="1"/>
  <c r="BA31" i="22"/>
  <c r="D31" i="22" s="1"/>
  <c r="AQ35" i="22"/>
  <c r="AQ34" i="22"/>
  <c r="AQ33" i="22"/>
  <c r="AQ32" i="22"/>
  <c r="AQ31" i="22"/>
  <c r="AG36" i="22"/>
  <c r="D36" i="22" s="1"/>
  <c r="AG35" i="22"/>
  <c r="AG34" i="22"/>
  <c r="AG33" i="22"/>
  <c r="AG32" i="22"/>
  <c r="AG31" i="22"/>
  <c r="D97" i="22"/>
  <c r="D96" i="22"/>
  <c r="D78" i="22"/>
  <c r="D64" i="22"/>
  <c r="D60" i="22"/>
  <c r="D75" i="19"/>
  <c r="D74" i="19"/>
  <c r="D45" i="19"/>
  <c r="D50" i="19"/>
  <c r="D49" i="19"/>
  <c r="D52" i="19"/>
  <c r="D65" i="19"/>
  <c r="D64" i="19"/>
  <c r="D63" i="19"/>
  <c r="D57" i="19"/>
  <c r="D58" i="19"/>
  <c r="D59" i="19"/>
  <c r="D60" i="19"/>
  <c r="D61" i="19"/>
  <c r="D62" i="19"/>
  <c r="D56" i="19"/>
  <c r="GV67" i="1" l="1"/>
  <c r="D67" i="1"/>
  <c r="V67" i="1"/>
  <c r="D62" i="22"/>
  <c r="D43" i="22"/>
  <c r="DM32" i="19"/>
  <c r="DM33" i="19"/>
  <c r="DM31" i="19"/>
  <c r="CR32" i="19"/>
  <c r="CR33" i="19"/>
  <c r="CR31" i="19"/>
  <c r="BW32" i="19"/>
  <c r="BW33" i="19"/>
  <c r="BW31" i="19"/>
  <c r="BB33" i="19"/>
  <c r="BB31" i="19"/>
  <c r="BB32" i="19"/>
  <c r="D56" i="16"/>
  <c r="D57" i="13"/>
  <c r="D78" i="18"/>
  <c r="D72" i="17"/>
  <c r="BC73" i="17"/>
  <c r="BB73" i="17"/>
  <c r="D73" i="17"/>
  <c r="D55" i="17"/>
  <c r="D47" i="17"/>
  <c r="D46" i="17"/>
  <c r="D45" i="17"/>
  <c r="D44" i="17"/>
  <c r="D41" i="17"/>
  <c r="D33" i="17"/>
  <c r="D32" i="17"/>
  <c r="BC79" i="17"/>
  <c r="D79" i="17" s="1"/>
  <c r="BB79" i="17"/>
  <c r="BC55" i="17"/>
  <c r="BB55" i="17"/>
  <c r="BC47" i="17"/>
  <c r="BB47" i="17"/>
  <c r="BC46" i="17"/>
  <c r="BB46" i="17"/>
  <c r="BC45" i="17"/>
  <c r="BB45" i="17"/>
  <c r="BC44" i="17"/>
  <c r="BB44" i="17"/>
  <c r="BC43" i="17"/>
  <c r="D43" i="17" s="1"/>
  <c r="BB43" i="17"/>
  <c r="BC42" i="17"/>
  <c r="D42" i="17" s="1"/>
  <c r="BB42" i="17"/>
  <c r="BC41" i="17"/>
  <c r="BB41" i="17"/>
  <c r="BC33" i="17"/>
  <c r="BB33" i="17"/>
  <c r="BC32" i="17"/>
  <c r="BB32" i="17"/>
  <c r="BC31" i="17"/>
  <c r="BB31" i="17"/>
  <c r="D31" i="17"/>
  <c r="D37" i="16"/>
  <c r="D94" i="16"/>
  <c r="D89" i="16"/>
  <c r="D84" i="16"/>
  <c r="D80" i="16"/>
  <c r="D78" i="16"/>
  <c r="BC71" i="16"/>
  <c r="D71" i="16" s="1"/>
  <c r="BB71" i="16"/>
  <c r="BC72" i="16"/>
  <c r="D72" i="16" s="1"/>
  <c r="BB72" i="16"/>
  <c r="D64" i="16"/>
  <c r="D63" i="16"/>
  <c r="D62" i="16"/>
  <c r="D61" i="16"/>
  <c r="D59" i="16"/>
  <c r="D58" i="16"/>
  <c r="D54" i="16"/>
  <c r="D46" i="16"/>
  <c r="D45" i="16"/>
  <c r="D44" i="16"/>
  <c r="D43" i="16"/>
  <c r="D42" i="16"/>
  <c r="BC78" i="16"/>
  <c r="BB78" i="16"/>
  <c r="BC54" i="16"/>
  <c r="BB54" i="16"/>
  <c r="BC46" i="16"/>
  <c r="BB46" i="16"/>
  <c r="BC45" i="16"/>
  <c r="BB45" i="16"/>
  <c r="BC44" i="16"/>
  <c r="BB44" i="16"/>
  <c r="BC43" i="16"/>
  <c r="BB43" i="16"/>
  <c r="BC42" i="16"/>
  <c r="BB42" i="16"/>
  <c r="BC41" i="16"/>
  <c r="D41" i="16" s="1"/>
  <c r="BB41" i="16"/>
  <c r="BC40" i="16"/>
  <c r="D40" i="16" s="1"/>
  <c r="BB40" i="16"/>
  <c r="D33" i="16"/>
  <c r="BC33" i="16"/>
  <c r="BB33" i="16"/>
  <c r="BC32" i="16"/>
  <c r="D32" i="16" s="1"/>
  <c r="BB32" i="16"/>
  <c r="BC31" i="16"/>
  <c r="D31" i="16" s="1"/>
  <c r="BB31" i="16"/>
  <c r="BC70" i="14"/>
  <c r="D70" i="14" s="1"/>
  <c r="BB70" i="14"/>
  <c r="BC69" i="14"/>
  <c r="D69" i="14" s="1"/>
  <c r="BB69" i="14"/>
  <c r="D74" i="14"/>
  <c r="D73" i="14"/>
  <c r="D72" i="14"/>
  <c r="D71" i="14"/>
  <c r="D68" i="14"/>
  <c r="D62" i="14"/>
  <c r="D61" i="14"/>
  <c r="D60" i="14"/>
  <c r="D59" i="14"/>
  <c r="D57" i="14"/>
  <c r="BC76" i="14"/>
  <c r="D76" i="14" s="1"/>
  <c r="BB76" i="14"/>
  <c r="BC52" i="14"/>
  <c r="D52" i="14" s="1"/>
  <c r="BB52" i="14"/>
  <c r="BC44" i="14"/>
  <c r="D44" i="14" s="1"/>
  <c r="BB44" i="14"/>
  <c r="BC43" i="14"/>
  <c r="D43" i="14" s="1"/>
  <c r="BB43" i="14"/>
  <c r="BC42" i="14"/>
  <c r="D42" i="14" s="1"/>
  <c r="BB42" i="14"/>
  <c r="BC41" i="14"/>
  <c r="D41" i="14" s="1"/>
  <c r="BB41" i="14"/>
  <c r="BC40" i="14"/>
  <c r="D40" i="14" s="1"/>
  <c r="BB40" i="14"/>
  <c r="BC39" i="14"/>
  <c r="D39" i="14" s="1"/>
  <c r="BB39" i="14"/>
  <c r="BC38" i="14"/>
  <c r="D38" i="14" s="1"/>
  <c r="BB38" i="14"/>
  <c r="BC31" i="14"/>
  <c r="D31" i="14" s="1"/>
  <c r="BB31" i="14"/>
  <c r="BB78" i="21"/>
  <c r="BC78" i="21"/>
  <c r="D78" i="21" s="1"/>
  <c r="BC72" i="21"/>
  <c r="D72" i="21" s="1"/>
  <c r="BB72" i="21"/>
  <c r="D94" i="21"/>
  <c r="D93" i="21"/>
  <c r="D92" i="21"/>
  <c r="D91" i="21"/>
  <c r="D90" i="21"/>
  <c r="D89" i="21"/>
  <c r="D88" i="21"/>
  <c r="D87" i="21"/>
  <c r="D86" i="21"/>
  <c r="D84" i="21"/>
  <c r="D83" i="21"/>
  <c r="D82" i="21"/>
  <c r="D80" i="21"/>
  <c r="D79" i="21"/>
  <c r="D76" i="21"/>
  <c r="D75" i="21"/>
  <c r="D74" i="21"/>
  <c r="D73" i="21"/>
  <c r="D71" i="21"/>
  <c r="D70" i="21"/>
  <c r="D64" i="21"/>
  <c r="D63" i="21"/>
  <c r="D62" i="21"/>
  <c r="D61" i="21"/>
  <c r="D59" i="21"/>
  <c r="D58" i="21"/>
  <c r="D50" i="21"/>
  <c r="D47" i="21"/>
  <c r="D37" i="21"/>
  <c r="D93" i="15"/>
  <c r="D92" i="15"/>
  <c r="D91" i="15"/>
  <c r="D90" i="15"/>
  <c r="D89" i="15"/>
  <c r="D88" i="15"/>
  <c r="D87" i="15"/>
  <c r="D86" i="15"/>
  <c r="D85" i="15"/>
  <c r="D83" i="15"/>
  <c r="D82" i="15"/>
  <c r="D81" i="15"/>
  <c r="D79" i="15"/>
  <c r="D78" i="15"/>
  <c r="D75" i="15"/>
  <c r="D74" i="15"/>
  <c r="D73" i="15"/>
  <c r="D72" i="15"/>
  <c r="D71" i="15"/>
  <c r="D70" i="15"/>
  <c r="D64" i="15"/>
  <c r="D63" i="15"/>
  <c r="D62" i="15"/>
  <c r="D61" i="15"/>
  <c r="D59" i="15"/>
  <c r="D58" i="15"/>
  <c r="D56" i="15"/>
  <c r="D50" i="15"/>
  <c r="D49" i="15"/>
  <c r="D48" i="15"/>
  <c r="D47" i="15"/>
  <c r="D37" i="15"/>
  <c r="D95" i="13"/>
  <c r="D94" i="13"/>
  <c r="D93" i="13"/>
  <c r="D92" i="13"/>
  <c r="D91" i="13"/>
  <c r="D90" i="13"/>
  <c r="D89" i="13"/>
  <c r="D88" i="13"/>
  <c r="D87" i="13"/>
  <c r="D85" i="13"/>
  <c r="D84" i="13"/>
  <c r="D83" i="13"/>
  <c r="D81" i="13"/>
  <c r="D80" i="13"/>
  <c r="D77" i="13"/>
  <c r="D76" i="13"/>
  <c r="D75" i="13"/>
  <c r="D74" i="13"/>
  <c r="D71" i="13"/>
  <c r="D65" i="13"/>
  <c r="D64" i="13"/>
  <c r="D63" i="13"/>
  <c r="D62" i="13"/>
  <c r="D60" i="13"/>
  <c r="D51" i="13"/>
  <c r="BC51" i="21"/>
  <c r="D51" i="21" s="1"/>
  <c r="BB51" i="21"/>
  <c r="BC54" i="21"/>
  <c r="D54" i="21" s="1"/>
  <c r="BB54" i="21"/>
  <c r="BC46" i="21"/>
  <c r="D46" i="21" s="1"/>
  <c r="BB46" i="21"/>
  <c r="BC45" i="21"/>
  <c r="D45" i="21" s="1"/>
  <c r="BB45" i="21"/>
  <c r="BC44" i="21"/>
  <c r="D44" i="21" s="1"/>
  <c r="BB44" i="21"/>
  <c r="BC43" i="21"/>
  <c r="D43" i="21" s="1"/>
  <c r="BB43" i="21"/>
  <c r="BC42" i="21"/>
  <c r="D42" i="21" s="1"/>
  <c r="BB42" i="21"/>
  <c r="BC41" i="21"/>
  <c r="D41" i="21" s="1"/>
  <c r="BB41" i="21"/>
  <c r="BC40" i="21"/>
  <c r="D40" i="21" s="1"/>
  <c r="BB40" i="21"/>
  <c r="BC32" i="21"/>
  <c r="D32" i="21" s="1"/>
  <c r="BB32" i="21"/>
  <c r="BC31" i="21"/>
  <c r="D31" i="21" s="1"/>
  <c r="BB31" i="21"/>
  <c r="FC57" i="21"/>
  <c r="EH57" i="21"/>
  <c r="DM57" i="21"/>
  <c r="CR57" i="21"/>
  <c r="BW57" i="21"/>
  <c r="BB57" i="21"/>
  <c r="GS56" i="21"/>
  <c r="FX56" i="21"/>
  <c r="FC56" i="21"/>
  <c r="EH56" i="21"/>
  <c r="DM56" i="21"/>
  <c r="CR56" i="21"/>
  <c r="BW56" i="21"/>
  <c r="BB56" i="21"/>
  <c r="D56" i="21" s="1"/>
  <c r="RF55" i="21"/>
  <c r="QK55" i="21"/>
  <c r="PP55" i="21"/>
  <c r="OU55" i="21"/>
  <c r="NZ55" i="21"/>
  <c r="NE55" i="21"/>
  <c r="MJ55" i="21"/>
  <c r="LO55" i="21"/>
  <c r="KT55" i="21"/>
  <c r="JY55" i="21"/>
  <c r="JD55" i="21"/>
  <c r="II55" i="21"/>
  <c r="HN55" i="21"/>
  <c r="GS55" i="21"/>
  <c r="FX55" i="21"/>
  <c r="FC55" i="21"/>
  <c r="EH55" i="21"/>
  <c r="DM55" i="21"/>
  <c r="CR55" i="21"/>
  <c r="BW55" i="21"/>
  <c r="BB55" i="21"/>
  <c r="D42" i="15"/>
  <c r="BC54" i="15"/>
  <c r="BB54" i="15"/>
  <c r="D54" i="15" s="1"/>
  <c r="BC51" i="15"/>
  <c r="BB51" i="15"/>
  <c r="D51" i="15" s="1"/>
  <c r="BC46" i="15"/>
  <c r="BB46" i="15"/>
  <c r="D46" i="15" s="1"/>
  <c r="BC45" i="15"/>
  <c r="BB45" i="15"/>
  <c r="D45" i="15" s="1"/>
  <c r="BC44" i="15"/>
  <c r="BB44" i="15"/>
  <c r="D44" i="15" s="1"/>
  <c r="BC43" i="15"/>
  <c r="BB43" i="15"/>
  <c r="D43" i="15" s="1"/>
  <c r="BC42" i="15"/>
  <c r="BB42" i="15"/>
  <c r="BC41" i="15"/>
  <c r="BB41" i="15"/>
  <c r="D41" i="15" s="1"/>
  <c r="BC40" i="15"/>
  <c r="BB40" i="15"/>
  <c r="D40" i="15" s="1"/>
  <c r="BC32" i="15"/>
  <c r="BB32" i="15"/>
  <c r="D32" i="15" s="1"/>
  <c r="BC31" i="15"/>
  <c r="BB31" i="15"/>
  <c r="D31" i="15" s="1"/>
  <c r="BC55" i="13"/>
  <c r="D55" i="13" s="1"/>
  <c r="BB55" i="13"/>
  <c r="BC52" i="13"/>
  <c r="D52" i="13" s="1"/>
  <c r="BB52" i="13"/>
  <c r="BC47" i="13"/>
  <c r="D47" i="13" s="1"/>
  <c r="BB47" i="13"/>
  <c r="BC46" i="13"/>
  <c r="D46" i="13" s="1"/>
  <c r="BB46" i="13"/>
  <c r="BC45" i="13"/>
  <c r="D45" i="13" s="1"/>
  <c r="BB45" i="13"/>
  <c r="BC44" i="13"/>
  <c r="D44" i="13" s="1"/>
  <c r="BB44" i="13"/>
  <c r="BC43" i="13"/>
  <c r="D43" i="13" s="1"/>
  <c r="BB43" i="13"/>
  <c r="BC42" i="13"/>
  <c r="D42" i="13" s="1"/>
  <c r="BB42" i="13"/>
  <c r="BC41" i="13"/>
  <c r="D41" i="13" s="1"/>
  <c r="BB41" i="13"/>
  <c r="BC31" i="13"/>
  <c r="D31" i="13" s="1"/>
  <c r="BB31" i="13"/>
  <c r="BC77" i="15"/>
  <c r="BB77" i="15"/>
  <c r="D77" i="15" s="1"/>
  <c r="BC71" i="15"/>
  <c r="BB71" i="15"/>
  <c r="BC79" i="13"/>
  <c r="D79" i="13" s="1"/>
  <c r="BB79" i="13"/>
  <c r="BC73" i="13"/>
  <c r="D73" i="13" s="1"/>
  <c r="BB73" i="13"/>
  <c r="BC72" i="13"/>
  <c r="D72" i="13" s="1"/>
  <c r="BB72" i="13"/>
  <c r="Q55" i="18"/>
  <c r="Q55" i="21" l="1"/>
  <c r="F34" i="26"/>
  <c r="F33" i="26"/>
  <c r="F32" i="26"/>
  <c r="F31" i="26"/>
  <c r="F30" i="26"/>
  <c r="E34" i="26"/>
  <c r="E33" i="26"/>
  <c r="E32" i="26"/>
  <c r="E31" i="26"/>
  <c r="E30" i="26"/>
  <c r="E29" i="26"/>
  <c r="F29" i="26"/>
  <c r="F28" i="26"/>
  <c r="E28" i="26"/>
  <c r="C26" i="26"/>
  <c r="L115" i="21"/>
  <c r="L96" i="19"/>
  <c r="L115" i="18"/>
  <c r="C33" i="26" l="1"/>
  <c r="C34" i="26"/>
  <c r="C31" i="26"/>
  <c r="C30" i="26"/>
  <c r="C28" i="26"/>
  <c r="C32" i="26"/>
  <c r="C29" i="26"/>
  <c r="L76" i="24"/>
  <c r="L127" i="1"/>
  <c r="L77" i="20"/>
  <c r="L118" i="22"/>
  <c r="L116" i="17"/>
  <c r="L115" i="16"/>
  <c r="L113" i="14"/>
  <c r="L114" i="15"/>
  <c r="L118" i="13"/>
  <c r="AE101" i="18"/>
  <c r="AD101" i="18"/>
  <c r="L101" i="18" s="1"/>
  <c r="O101" i="18" s="1"/>
  <c r="AE100" i="18"/>
  <c r="AD100" i="18"/>
  <c r="L100" i="18"/>
  <c r="O100" i="18" s="1"/>
  <c r="L102" i="17"/>
  <c r="O102" i="17" s="1"/>
  <c r="L101" i="17"/>
  <c r="AE102" i="17"/>
  <c r="AD102" i="17"/>
  <c r="AE101" i="17"/>
  <c r="AD101" i="17"/>
  <c r="O101" i="17"/>
  <c r="L101" i="16"/>
  <c r="L100" i="16"/>
  <c r="AE101" i="16"/>
  <c r="O101" i="16" s="1"/>
  <c r="AD101" i="16"/>
  <c r="AE100" i="16"/>
  <c r="AD100" i="16"/>
  <c r="O100" i="16"/>
  <c r="AE99" i="14"/>
  <c r="AD99" i="14"/>
  <c r="L99" i="14"/>
  <c r="O99" i="14" s="1"/>
  <c r="AE98" i="14"/>
  <c r="AD98" i="14"/>
  <c r="L98" i="14"/>
  <c r="O98" i="14" s="1"/>
  <c r="AG101" i="21"/>
  <c r="AD101" i="21"/>
  <c r="L101" i="21"/>
  <c r="O101" i="21" s="1"/>
  <c r="AG100" i="21"/>
  <c r="AD100" i="21"/>
  <c r="O100" i="21"/>
  <c r="L100" i="21"/>
  <c r="L100" i="15"/>
  <c r="L99" i="15"/>
  <c r="AE100" i="15"/>
  <c r="AD100" i="15"/>
  <c r="O100" i="15"/>
  <c r="AE99" i="15"/>
  <c r="O99" i="15" s="1"/>
  <c r="AD99" i="15"/>
  <c r="AD83" i="19"/>
  <c r="AD82" i="19"/>
  <c r="L81" i="19"/>
  <c r="L80" i="19"/>
  <c r="AE83" i="19"/>
  <c r="L83" i="19" s="1"/>
  <c r="AE82" i="19"/>
  <c r="AE81" i="19"/>
  <c r="AD81" i="19"/>
  <c r="O81" i="19"/>
  <c r="AE80" i="19"/>
  <c r="AD80" i="19"/>
  <c r="O80" i="19"/>
  <c r="AD105" i="13"/>
  <c r="AE104" i="13"/>
  <c r="AD104" i="13"/>
  <c r="O104" i="13"/>
  <c r="L104" i="13"/>
  <c r="AE103" i="13"/>
  <c r="AD103" i="13"/>
  <c r="O103" i="13"/>
  <c r="L103" i="13"/>
  <c r="O31" i="22"/>
  <c r="X38" i="1"/>
  <c r="W74" i="22"/>
  <c r="W59" i="22"/>
  <c r="W62" i="22"/>
  <c r="W71" i="22"/>
  <c r="FT86" i="22"/>
  <c r="W43" i="22"/>
  <c r="W88" i="22"/>
  <c r="U88" i="22" s="1"/>
  <c r="L88" i="22" s="1"/>
  <c r="FT85" i="22"/>
  <c r="O58" i="17"/>
  <c r="O57" i="17"/>
  <c r="O55" i="16"/>
  <c r="O51" i="14"/>
  <c r="O50" i="14"/>
  <c r="L50" i="14"/>
  <c r="L51" i="14"/>
  <c r="L49" i="14"/>
  <c r="O52" i="21"/>
  <c r="X93" i="1"/>
  <c r="X40" i="1"/>
  <c r="V40" i="1" s="1"/>
  <c r="AD58" i="20"/>
  <c r="AD57" i="20"/>
  <c r="AD55" i="20"/>
  <c r="AD51" i="20"/>
  <c r="AD50" i="20"/>
  <c r="AD49" i="20"/>
  <c r="AD48" i="20"/>
  <c r="AD47" i="20"/>
  <c r="AD45" i="20"/>
  <c r="AD44" i="20"/>
  <c r="AD41" i="20"/>
  <c r="AD40" i="20"/>
  <c r="AD39" i="20"/>
  <c r="AD38" i="20"/>
  <c r="AD37" i="20"/>
  <c r="AD36" i="20"/>
  <c r="AD35" i="20"/>
  <c r="AD34" i="20"/>
  <c r="AD33" i="20"/>
  <c r="V112" i="1"/>
  <c r="AD63" i="20"/>
  <c r="AE65" i="20"/>
  <c r="AD65" i="20"/>
  <c r="AE64" i="20"/>
  <c r="AD64" i="20"/>
  <c r="AE63" i="20"/>
  <c r="AE62" i="20"/>
  <c r="AD62" i="20"/>
  <c r="AE61" i="20"/>
  <c r="AD61" i="20"/>
  <c r="AE60" i="20"/>
  <c r="AD60" i="20"/>
  <c r="AE59" i="20"/>
  <c r="AD59" i="20"/>
  <c r="AE58" i="20"/>
  <c r="AE57" i="20"/>
  <c r="AE56" i="20"/>
  <c r="AE55" i="20"/>
  <c r="AE54" i="20"/>
  <c r="AE53" i="20"/>
  <c r="AE52" i="20"/>
  <c r="AE51" i="20"/>
  <c r="AE50" i="20"/>
  <c r="AE49" i="20"/>
  <c r="AE48" i="20"/>
  <c r="AE47" i="20"/>
  <c r="AE46" i="20"/>
  <c r="AE45" i="20"/>
  <c r="AE44" i="20"/>
  <c r="AE43" i="20"/>
  <c r="AE41" i="20"/>
  <c r="AE40" i="20"/>
  <c r="AE39" i="20"/>
  <c r="AE38" i="20"/>
  <c r="AE37" i="20"/>
  <c r="AE36" i="20"/>
  <c r="AE35" i="20"/>
  <c r="AE34" i="20"/>
  <c r="AE33" i="20"/>
  <c r="AF31" i="20"/>
  <c r="AD31" i="20" s="1"/>
  <c r="Q32" i="20"/>
  <c r="Q31" i="20"/>
  <c r="Q59" i="20"/>
  <c r="Q60" i="20"/>
  <c r="Q61" i="20"/>
  <c r="Q62" i="20"/>
  <c r="Q63" i="20"/>
  <c r="Q64" i="20"/>
  <c r="Q65" i="20"/>
  <c r="Q58" i="20"/>
  <c r="Q57" i="20"/>
  <c r="Q56" i="20"/>
  <c r="Q55" i="20"/>
  <c r="Q54" i="20"/>
  <c r="Q53" i="20"/>
  <c r="Q52" i="20"/>
  <c r="Q51" i="20"/>
  <c r="Q50" i="20"/>
  <c r="Q49" i="20"/>
  <c r="Q48" i="20"/>
  <c r="Q47" i="20"/>
  <c r="Q46" i="20"/>
  <c r="Q45" i="20"/>
  <c r="Q44" i="20"/>
  <c r="Q43" i="20"/>
  <c r="Q41" i="20"/>
  <c r="Q40" i="20"/>
  <c r="Q39" i="20"/>
  <c r="Q38" i="20"/>
  <c r="Q37" i="20"/>
  <c r="Q36" i="20"/>
  <c r="Q35" i="20"/>
  <c r="Q34" i="20"/>
  <c r="Q33" i="20"/>
  <c r="Z26" i="20"/>
  <c r="Z25" i="20"/>
  <c r="V115" i="1"/>
  <c r="V114" i="1"/>
  <c r="V113" i="1"/>
  <c r="V111" i="1"/>
  <c r="V110" i="1"/>
  <c r="V109" i="1"/>
  <c r="V108" i="1"/>
  <c r="V103" i="1"/>
  <c r="V102" i="1"/>
  <c r="V88" i="1"/>
  <c r="V79" i="1"/>
  <c r="V78" i="1"/>
  <c r="V77" i="1"/>
  <c r="V76" i="1"/>
  <c r="V74" i="1"/>
  <c r="V66" i="1"/>
  <c r="V65" i="1"/>
  <c r="V64" i="1"/>
  <c r="V63" i="1"/>
  <c r="V51" i="1"/>
  <c r="V50" i="1"/>
  <c r="X48" i="1"/>
  <c r="V42" i="1"/>
  <c r="V41" i="1"/>
  <c r="V39"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1" i="1"/>
  <c r="W70" i="1"/>
  <c r="W69" i="1"/>
  <c r="W68" i="1"/>
  <c r="W66" i="1"/>
  <c r="W65" i="1"/>
  <c r="W64" i="1"/>
  <c r="W62" i="1"/>
  <c r="W53" i="1"/>
  <c r="W52" i="1"/>
  <c r="W51" i="1"/>
  <c r="W50" i="1"/>
  <c r="W49" i="1"/>
  <c r="W48" i="1"/>
  <c r="W47" i="1"/>
  <c r="W46" i="1"/>
  <c r="W45" i="1"/>
  <c r="W44" i="1"/>
  <c r="W43" i="1"/>
  <c r="W42" i="1"/>
  <c r="W41" i="1"/>
  <c r="W40" i="1"/>
  <c r="W39" i="1"/>
  <c r="W38" i="1"/>
  <c r="W36" i="1"/>
  <c r="GV107" i="1"/>
  <c r="GD105" i="1"/>
  <c r="GT105" i="1" s="1"/>
  <c r="FU105" i="1"/>
  <c r="GS105" i="1" s="1"/>
  <c r="FC105" i="1"/>
  <c r="GQ105" i="1" s="1"/>
  <c r="GD104" i="1"/>
  <c r="GT104" i="1" s="1"/>
  <c r="FU104" i="1"/>
  <c r="GS104" i="1" s="1"/>
  <c r="FL104" i="1"/>
  <c r="GR104" i="1" s="1"/>
  <c r="FC104" i="1"/>
  <c r="GQ104" i="1" s="1"/>
  <c r="GV106" i="1"/>
  <c r="GV102" i="1"/>
  <c r="GS101" i="1"/>
  <c r="GV101" i="1" s="1"/>
  <c r="GR101" i="1"/>
  <c r="GT100" i="1"/>
  <c r="GS100" i="1"/>
  <c r="GR100" i="1"/>
  <c r="GV100" i="1" s="1"/>
  <c r="GS99" i="1"/>
  <c r="GV99" i="1" s="1"/>
  <c r="GU98" i="1"/>
  <c r="GT98" i="1"/>
  <c r="GS98" i="1"/>
  <c r="GR98" i="1"/>
  <c r="GV96" i="1"/>
  <c r="FN95" i="1"/>
  <c r="GV95" i="1" s="1"/>
  <c r="FE95" i="1"/>
  <c r="GR94" i="1"/>
  <c r="GS94" i="1"/>
  <c r="GT94" i="1"/>
  <c r="GS93" i="1"/>
  <c r="GV93" i="1" s="1"/>
  <c r="GU92" i="1"/>
  <c r="GT92" i="1"/>
  <c r="GS92" i="1"/>
  <c r="GR92" i="1"/>
  <c r="GQ92" i="1"/>
  <c r="GT91" i="1"/>
  <c r="GS91" i="1"/>
  <c r="GR91" i="1"/>
  <c r="GT90" i="1"/>
  <c r="FY90" i="1"/>
  <c r="GS90" i="1" s="1"/>
  <c r="FS90" i="1"/>
  <c r="GR90" i="1"/>
  <c r="GQ90" i="1"/>
  <c r="GQ89" i="1"/>
  <c r="GV89" i="1" s="1"/>
  <c r="GP88" i="1"/>
  <c r="GJ88" i="1"/>
  <c r="GD88" i="1"/>
  <c r="GT88" i="1"/>
  <c r="FG88" i="1"/>
  <c r="FR88" i="1"/>
  <c r="FX88" i="1"/>
  <c r="FL88" i="1"/>
  <c r="FA88" i="1"/>
  <c r="GR88" i="1" s="1"/>
  <c r="GV87" i="1"/>
  <c r="GT86" i="1"/>
  <c r="GS86" i="1"/>
  <c r="GR86" i="1"/>
  <c r="GT85" i="1"/>
  <c r="GR85" i="1"/>
  <c r="GS85" i="1"/>
  <c r="GS84" i="1"/>
  <c r="GV84" i="1" s="1"/>
  <c r="GU83" i="1"/>
  <c r="GT83" i="1"/>
  <c r="GS83" i="1"/>
  <c r="GR83" i="1"/>
  <c r="GT82" i="1"/>
  <c r="GS82" i="1"/>
  <c r="GR82" i="1"/>
  <c r="GQ82" i="1"/>
  <c r="GT81" i="1"/>
  <c r="GS81" i="1"/>
  <c r="GR81" i="1"/>
  <c r="GQ81" i="1"/>
  <c r="GU80" i="1"/>
  <c r="GT80" i="1"/>
  <c r="GS80" i="1"/>
  <c r="GR80" i="1"/>
  <c r="GQ80" i="1"/>
  <c r="GQ79" i="1"/>
  <c r="GV79" i="1" s="1"/>
  <c r="GV78" i="1"/>
  <c r="GV77" i="1"/>
  <c r="GV76" i="1"/>
  <c r="GV75" i="1"/>
  <c r="GV74" i="1"/>
  <c r="GV73" i="1"/>
  <c r="GV71" i="1"/>
  <c r="GU70" i="1"/>
  <c r="GT70" i="1"/>
  <c r="GS70" i="1"/>
  <c r="GR70" i="1"/>
  <c r="GQ70" i="1"/>
  <c r="GQ68" i="1"/>
  <c r="GV68" i="1" s="1"/>
  <c r="GQ64" i="1"/>
  <c r="GV64" i="1" s="1"/>
  <c r="GQ65" i="1"/>
  <c r="GV65" i="1" s="1"/>
  <c r="GQ66" i="1"/>
  <c r="GV66" i="1" s="1"/>
  <c r="GQ63" i="1"/>
  <c r="GV63" i="1" s="1"/>
  <c r="GO62" i="1"/>
  <c r="GN62" i="1"/>
  <c r="GU62" i="1" s="1"/>
  <c r="GF62" i="1"/>
  <c r="GT62" i="1" s="1"/>
  <c r="FW62" i="1"/>
  <c r="GS62" i="1" s="1"/>
  <c r="FE62" i="1"/>
  <c r="GQ62" i="1" s="1"/>
  <c r="GH49" i="1"/>
  <c r="FE48" i="1"/>
  <c r="GU61" i="1"/>
  <c r="GU60" i="1"/>
  <c r="GT61" i="1"/>
  <c r="GT60" i="1"/>
  <c r="GS61" i="1"/>
  <c r="GS60" i="1"/>
  <c r="GQ61" i="1"/>
  <c r="GQ60" i="1"/>
  <c r="GQ59" i="1"/>
  <c r="GV59" i="1" s="1"/>
  <c r="GQ58" i="1"/>
  <c r="GV58" i="1" s="1"/>
  <c r="GT57" i="1"/>
  <c r="GS57" i="1"/>
  <c r="GQ57" i="1"/>
  <c r="GS56" i="1"/>
  <c r="GQ56" i="1"/>
  <c r="GU55" i="1"/>
  <c r="GT55" i="1"/>
  <c r="GS55" i="1"/>
  <c r="GQ55" i="1"/>
  <c r="GS54" i="1"/>
  <c r="GT54" i="1"/>
  <c r="GU54" i="1"/>
  <c r="GQ54" i="1"/>
  <c r="GU53" i="1"/>
  <c r="GT53" i="1"/>
  <c r="GS53" i="1"/>
  <c r="GQ53" i="1"/>
  <c r="GQ52" i="1"/>
  <c r="GV52" i="1" s="1"/>
  <c r="GV50" i="1"/>
  <c r="GV51" i="1"/>
  <c r="GQ49" i="1"/>
  <c r="GO49" i="1"/>
  <c r="GT49" i="1" s="1"/>
  <c r="GK49" i="1"/>
  <c r="GL49" i="1"/>
  <c r="GM49" i="1"/>
  <c r="GI49" i="1"/>
  <c r="GJ49" i="1"/>
  <c r="GP48" i="1"/>
  <c r="GQ48" i="1"/>
  <c r="GO48" i="1"/>
  <c r="GN48" i="1"/>
  <c r="GM48" i="1"/>
  <c r="GL48" i="1"/>
  <c r="FO48" i="1"/>
  <c r="FN48" i="1"/>
  <c r="FF48" i="1"/>
  <c r="GR47" i="1"/>
  <c r="GS47" i="1"/>
  <c r="GT47" i="1"/>
  <c r="GU47" i="1"/>
  <c r="GT46" i="1"/>
  <c r="GQ46" i="1"/>
  <c r="GR46" i="1"/>
  <c r="GS46" i="1"/>
  <c r="GS45" i="1"/>
  <c r="GV45" i="1" s="1"/>
  <c r="GV44" i="1"/>
  <c r="GT43" i="1"/>
  <c r="GS43" i="1"/>
  <c r="GR43" i="1"/>
  <c r="GQ43" i="1"/>
  <c r="GV42" i="1"/>
  <c r="GR41" i="1"/>
  <c r="GV41" i="1" s="1"/>
  <c r="GT40" i="1"/>
  <c r="GS40" i="1"/>
  <c r="GR40" i="1"/>
  <c r="GR39" i="1"/>
  <c r="GS39" i="1"/>
  <c r="GQ39" i="1"/>
  <c r="GG38" i="1"/>
  <c r="GO38" i="1"/>
  <c r="GS38" i="1" s="1"/>
  <c r="GN38" i="1"/>
  <c r="GM38" i="1"/>
  <c r="GI38" i="1"/>
  <c r="GQ38" i="1" s="1"/>
  <c r="GJ38" i="1"/>
  <c r="GK38" i="1"/>
  <c r="GL38" i="1"/>
  <c r="GR38" i="1" s="1"/>
  <c r="GH38" i="1"/>
  <c r="GT36" i="1"/>
  <c r="GT37" i="1"/>
  <c r="GS37" i="1"/>
  <c r="GS36" i="1"/>
  <c r="GR37" i="1"/>
  <c r="GR36" i="1"/>
  <c r="GQ37" i="1"/>
  <c r="GQ36" i="1"/>
  <c r="U103" i="22"/>
  <c r="AD62" i="24"/>
  <c r="AD57" i="24"/>
  <c r="L57" i="24" s="1"/>
  <c r="AD56" i="24"/>
  <c r="AD54" i="24"/>
  <c r="AD50" i="24"/>
  <c r="AD49" i="24"/>
  <c r="AD48" i="24"/>
  <c r="AD47" i="24"/>
  <c r="AD46" i="24"/>
  <c r="AD44" i="24"/>
  <c r="AD43" i="24"/>
  <c r="AD41" i="24"/>
  <c r="AD40" i="24"/>
  <c r="AD39" i="24"/>
  <c r="AD38" i="24"/>
  <c r="AD37" i="24"/>
  <c r="AD36" i="24"/>
  <c r="AD35" i="24"/>
  <c r="AD34" i="24"/>
  <c r="AE64" i="24"/>
  <c r="AD64" i="24"/>
  <c r="AE63" i="24"/>
  <c r="AD63" i="24"/>
  <c r="AE62" i="24"/>
  <c r="AE61" i="24"/>
  <c r="AD61" i="24"/>
  <c r="AE60" i="24"/>
  <c r="AD60" i="24"/>
  <c r="AE59" i="24"/>
  <c r="AD59" i="24"/>
  <c r="AE58" i="24"/>
  <c r="AD58" i="24"/>
  <c r="AE57" i="24"/>
  <c r="AE56" i="24"/>
  <c r="AE55" i="24"/>
  <c r="AE54" i="24"/>
  <c r="AE53" i="24"/>
  <c r="AE52" i="24"/>
  <c r="AE51" i="24"/>
  <c r="AE50" i="24"/>
  <c r="AE49" i="24"/>
  <c r="AE48" i="24"/>
  <c r="AE47" i="24"/>
  <c r="AE46" i="24"/>
  <c r="AE45" i="24"/>
  <c r="AE44" i="24"/>
  <c r="AE43" i="24"/>
  <c r="AE42" i="24"/>
  <c r="AE41" i="24"/>
  <c r="AE40" i="24"/>
  <c r="AE39" i="24"/>
  <c r="AE38" i="24"/>
  <c r="AE37" i="24"/>
  <c r="AE36" i="24"/>
  <c r="AE35" i="24"/>
  <c r="AE34" i="24"/>
  <c r="AE33" i="24"/>
  <c r="AD33" i="24"/>
  <c r="Q55" i="24"/>
  <c r="Q53" i="24"/>
  <c r="Q52" i="24"/>
  <c r="AD51" i="24"/>
  <c r="Q44" i="24"/>
  <c r="Q45" i="24"/>
  <c r="Q32" i="24"/>
  <c r="Q31" i="24"/>
  <c r="V104" i="22"/>
  <c r="U104" i="22"/>
  <c r="GQ95" i="22"/>
  <c r="GL95" i="22"/>
  <c r="GB95" i="22"/>
  <c r="GB94" i="22"/>
  <c r="GG94" i="22"/>
  <c r="GL94" i="22"/>
  <c r="GQ94" i="22"/>
  <c r="FT54" i="22"/>
  <c r="FV79" i="22"/>
  <c r="FX79" i="22"/>
  <c r="FW79" i="22"/>
  <c r="FT89" i="22"/>
  <c r="FT90" i="22"/>
  <c r="FT92" i="22"/>
  <c r="FT93" i="22"/>
  <c r="FT91" i="22"/>
  <c r="FT99" i="22"/>
  <c r="FT100" i="22"/>
  <c r="FT101" i="22"/>
  <c r="FT102" i="22"/>
  <c r="FT103" i="22"/>
  <c r="FT104" i="22"/>
  <c r="FT105" i="22"/>
  <c r="FT106" i="22"/>
  <c r="FT98" i="22"/>
  <c r="FT97" i="22"/>
  <c r="FT96" i="22"/>
  <c r="FT47" i="22"/>
  <c r="FT88" i="22"/>
  <c r="FT87" i="22"/>
  <c r="FT83" i="22"/>
  <c r="FT82" i="22"/>
  <c r="FT84" i="22"/>
  <c r="FT81" i="22"/>
  <c r="FT80" i="22"/>
  <c r="FT78" i="22"/>
  <c r="FT77" i="22"/>
  <c r="FT76" i="22"/>
  <c r="FT75" i="22"/>
  <c r="FT74" i="22"/>
  <c r="FT73" i="22"/>
  <c r="FT72" i="22"/>
  <c r="FT71" i="22"/>
  <c r="FT70" i="22"/>
  <c r="FT69" i="22"/>
  <c r="FT68" i="22"/>
  <c r="FT67" i="22"/>
  <c r="FT66" i="22"/>
  <c r="FT65" i="22"/>
  <c r="FT64" i="22"/>
  <c r="FT63" i="22"/>
  <c r="FT62" i="22"/>
  <c r="FT61" i="22"/>
  <c r="FT59" i="22"/>
  <c r="FT56" i="22"/>
  <c r="FT57" i="22"/>
  <c r="FT58" i="22"/>
  <c r="FT55" i="22"/>
  <c r="FT50" i="22"/>
  <c r="FT51" i="22"/>
  <c r="FT52" i="22"/>
  <c r="FT53" i="22"/>
  <c r="FT48" i="22"/>
  <c r="FT49" i="22"/>
  <c r="FT46" i="22"/>
  <c r="FT45" i="22"/>
  <c r="FX44" i="22"/>
  <c r="FX43" i="22"/>
  <c r="FW44" i="22"/>
  <c r="FW43" i="22"/>
  <c r="FV44" i="22"/>
  <c r="FV43" i="22"/>
  <c r="FU44" i="22"/>
  <c r="FU43" i="22"/>
  <c r="GC36" i="22"/>
  <c r="GC35" i="22"/>
  <c r="FT42" i="22"/>
  <c r="FT41" i="22"/>
  <c r="FT40" i="22"/>
  <c r="FT39" i="22"/>
  <c r="FT38" i="22"/>
  <c r="FT32" i="22"/>
  <c r="FT37" i="22"/>
  <c r="FT36" i="22"/>
  <c r="FT34" i="22"/>
  <c r="FT31" i="22"/>
  <c r="V106" i="22"/>
  <c r="V105"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3" i="22"/>
  <c r="V62" i="22"/>
  <c r="V61" i="22"/>
  <c r="V60" i="22"/>
  <c r="V59" i="22"/>
  <c r="V58" i="22"/>
  <c r="V57" i="22"/>
  <c r="V56" i="22"/>
  <c r="V54" i="22"/>
  <c r="V47" i="22"/>
  <c r="V46" i="22"/>
  <c r="V45" i="22"/>
  <c r="V44" i="22"/>
  <c r="V43" i="22"/>
  <c r="V42" i="22"/>
  <c r="V41" i="22"/>
  <c r="V40" i="22"/>
  <c r="V39" i="22"/>
  <c r="V38" i="22"/>
  <c r="V37" i="22"/>
  <c r="V36" i="22"/>
  <c r="V35" i="22"/>
  <c r="V34" i="22"/>
  <c r="V33" i="22"/>
  <c r="V31" i="22"/>
  <c r="U106" i="22"/>
  <c r="U105" i="22"/>
  <c r="U102" i="22"/>
  <c r="U101" i="22"/>
  <c r="U100" i="22"/>
  <c r="U99" i="22"/>
  <c r="U98" i="22"/>
  <c r="U93" i="22"/>
  <c r="L93" i="22" s="1"/>
  <c r="U92" i="22"/>
  <c r="U70" i="22"/>
  <c r="U69" i="22"/>
  <c r="U68" i="22"/>
  <c r="U67" i="22"/>
  <c r="U65" i="22"/>
  <c r="U58" i="22"/>
  <c r="U57" i="22"/>
  <c r="U56" i="22"/>
  <c r="U46" i="22"/>
  <c r="U45" i="22"/>
  <c r="U37" i="22"/>
  <c r="AD78" i="19"/>
  <c r="AE46" i="19"/>
  <c r="AD46" i="19"/>
  <c r="L46" i="19" s="1"/>
  <c r="O46" i="19" s="1"/>
  <c r="AD33" i="19"/>
  <c r="AD32" i="19"/>
  <c r="L32" i="19" s="1"/>
  <c r="AD31" i="19"/>
  <c r="L33" i="19"/>
  <c r="AE33" i="19"/>
  <c r="AE32" i="19"/>
  <c r="AE31" i="19"/>
  <c r="AE84"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3" i="19"/>
  <c r="AE52" i="19"/>
  <c r="AE51" i="19"/>
  <c r="AE50" i="19"/>
  <c r="AE49" i="19"/>
  <c r="AE48" i="19"/>
  <c r="AE47" i="19"/>
  <c r="AE45" i="19"/>
  <c r="AE44" i="19"/>
  <c r="AE43" i="19"/>
  <c r="AE42" i="19"/>
  <c r="L42" i="19" s="1"/>
  <c r="O42" i="19" s="1"/>
  <c r="AE41" i="19"/>
  <c r="AE40" i="19"/>
  <c r="AE39" i="19"/>
  <c r="AE38" i="19"/>
  <c r="AE37" i="19"/>
  <c r="AE36" i="19"/>
  <c r="AE35" i="19"/>
  <c r="AE34" i="19"/>
  <c r="AD84" i="19"/>
  <c r="AD79" i="19"/>
  <c r="AD77" i="19"/>
  <c r="AD76" i="19"/>
  <c r="AD75" i="19"/>
  <c r="AD74" i="19"/>
  <c r="AD73" i="19"/>
  <c r="AD72" i="19"/>
  <c r="AD71" i="19"/>
  <c r="AD70" i="19"/>
  <c r="AD69" i="19"/>
  <c r="AD68"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5" i="19"/>
  <c r="AD53" i="18"/>
  <c r="L53" i="18" s="1"/>
  <c r="O53" i="18" s="1"/>
  <c r="AD52" i="18"/>
  <c r="L52" i="18" s="1"/>
  <c r="O52" i="18" s="1"/>
  <c r="AE52" i="18"/>
  <c r="AE53" i="18"/>
  <c r="AD80" i="18"/>
  <c r="AD81" i="18"/>
  <c r="AD85" i="18"/>
  <c r="AD96" i="18"/>
  <c r="AC53" i="17"/>
  <c r="AC54" i="17"/>
  <c r="AD53" i="17"/>
  <c r="AD54" i="17"/>
  <c r="AC81" i="17"/>
  <c r="AC82" i="17"/>
  <c r="AC86" i="17"/>
  <c r="AC85" i="17"/>
  <c r="L85" i="17" s="1"/>
  <c r="O85" i="17" s="1"/>
  <c r="AC97" i="17"/>
  <c r="AC96" i="16"/>
  <c r="L96" i="16" s="1"/>
  <c r="O96" i="16" s="1"/>
  <c r="AC85" i="16"/>
  <c r="AC81" i="16"/>
  <c r="AC80" i="16"/>
  <c r="AC54" i="16"/>
  <c r="AC52" i="16"/>
  <c r="AC53" i="16"/>
  <c r="AD52" i="16"/>
  <c r="AD53" i="16"/>
  <c r="AD94" i="14"/>
  <c r="AD83" i="14"/>
  <c r="AD79" i="14"/>
  <c r="AD78" i="14"/>
  <c r="AD50" i="14"/>
  <c r="AD51" i="14"/>
  <c r="AE50" i="14"/>
  <c r="AE51" i="14"/>
  <c r="AE38" i="14"/>
  <c r="AE37" i="14"/>
  <c r="AE32" i="14"/>
  <c r="AE35" i="14"/>
  <c r="AC96" i="21"/>
  <c r="L96" i="21" s="1"/>
  <c r="O96" i="21" s="1"/>
  <c r="AC80" i="21"/>
  <c r="L80" i="21" s="1"/>
  <c r="O80" i="21" s="1"/>
  <c r="AC73" i="21"/>
  <c r="L73" i="21" s="1"/>
  <c r="O73" i="21" s="1"/>
  <c r="AC41" i="21"/>
  <c r="L41" i="21" s="1"/>
  <c r="O41" i="21" s="1"/>
  <c r="AC40" i="21"/>
  <c r="AC39" i="21"/>
  <c r="AE38" i="13"/>
  <c r="AE37" i="15"/>
  <c r="AC37" i="21"/>
  <c r="AC34" i="21"/>
  <c r="AD34" i="21"/>
  <c r="AD95" i="15"/>
  <c r="AD84" i="15"/>
  <c r="L84" i="15" s="1"/>
  <c r="O84" i="15" s="1"/>
  <c r="AD80" i="15"/>
  <c r="L80" i="15" s="1"/>
  <c r="O80" i="15" s="1"/>
  <c r="AD79" i="15"/>
  <c r="L79" i="15" s="1"/>
  <c r="O79" i="15" s="1"/>
  <c r="AD53" i="15"/>
  <c r="L53" i="15" s="1"/>
  <c r="O53" i="15" s="1"/>
  <c r="AD52" i="15"/>
  <c r="L52" i="15" s="1"/>
  <c r="O52" i="15" s="1"/>
  <c r="AD101" i="13"/>
  <c r="AD97" i="13"/>
  <c r="AD87" i="13"/>
  <c r="AD86" i="13"/>
  <c r="AD81" i="13"/>
  <c r="AD82" i="13"/>
  <c r="AD103" i="18"/>
  <c r="AC104" i="17"/>
  <c r="AC103" i="16"/>
  <c r="AD101" i="14"/>
  <c r="AC103" i="21"/>
  <c r="L103" i="21" s="1"/>
  <c r="O103" i="21" s="1"/>
  <c r="AD106" i="13"/>
  <c r="AD102" i="15"/>
  <c r="L48" i="19"/>
  <c r="L36" i="19"/>
  <c r="O36" i="19" s="1"/>
  <c r="L47" i="19"/>
  <c r="O47" i="19" s="1"/>
  <c r="L38" i="19"/>
  <c r="O38" i="19" s="1"/>
  <c r="O106" i="16"/>
  <c r="O105" i="16"/>
  <c r="O104" i="16"/>
  <c r="O102" i="15"/>
  <c r="O101" i="15"/>
  <c r="AD38" i="13"/>
  <c r="AE37" i="13"/>
  <c r="AE31" i="13"/>
  <c r="L105" i="13"/>
  <c r="O105" i="13" s="1"/>
  <c r="AD102" i="13"/>
  <c r="AD100" i="13"/>
  <c r="O38" i="13"/>
  <c r="AD51" i="13"/>
  <c r="L103" i="17"/>
  <c r="O103" i="17" s="1"/>
  <c r="L92" i="17"/>
  <c r="O92" i="17" s="1"/>
  <c r="L90" i="17"/>
  <c r="O90" i="17" s="1"/>
  <c r="L89" i="17"/>
  <c r="O89" i="17" s="1"/>
  <c r="L54" i="17"/>
  <c r="O54" i="17" s="1"/>
  <c r="L53" i="17"/>
  <c r="O53" i="17" s="1"/>
  <c r="L44" i="17"/>
  <c r="O44" i="17" s="1"/>
  <c r="L42" i="17"/>
  <c r="O42" i="17" s="1"/>
  <c r="L41" i="17"/>
  <c r="O41" i="17" s="1"/>
  <c r="L40" i="17"/>
  <c r="O40" i="17" s="1"/>
  <c r="L56" i="16"/>
  <c r="L55" i="16"/>
  <c r="L53" i="16"/>
  <c r="O53" i="16" s="1"/>
  <c r="L52" i="16"/>
  <c r="O52" i="16" s="1"/>
  <c r="L49" i="16"/>
  <c r="L48" i="16"/>
  <c r="L38" i="16"/>
  <c r="L100" i="14"/>
  <c r="O100" i="14" s="1"/>
  <c r="L89" i="14"/>
  <c r="O89" i="14" s="1"/>
  <c r="L88" i="14"/>
  <c r="O88" i="14" s="1"/>
  <c r="L87" i="14"/>
  <c r="O87" i="14" s="1"/>
  <c r="L47" i="14"/>
  <c r="L46" i="14"/>
  <c r="L42" i="14"/>
  <c r="O42" i="14" s="1"/>
  <c r="L38" i="14"/>
  <c r="O38" i="14" s="1"/>
  <c r="L87" i="21"/>
  <c r="O87" i="21" s="1"/>
  <c r="L86" i="21"/>
  <c r="O86" i="21" s="1"/>
  <c r="L56" i="21"/>
  <c r="O56" i="21" s="1"/>
  <c r="L55" i="21"/>
  <c r="O55" i="21" s="1"/>
  <c r="L54" i="21"/>
  <c r="O54" i="21" s="1"/>
  <c r="L40" i="21"/>
  <c r="O40" i="21" s="1"/>
  <c r="L38" i="21"/>
  <c r="O38" i="21" s="1"/>
  <c r="L102" i="15"/>
  <c r="L101" i="15"/>
  <c r="L97" i="15"/>
  <c r="O97" i="15" s="1"/>
  <c r="L96" i="15"/>
  <c r="O96" i="15" s="1"/>
  <c r="L95" i="15"/>
  <c r="O95" i="15" s="1"/>
  <c r="L94" i="15"/>
  <c r="O94" i="15" s="1"/>
  <c r="L87" i="15"/>
  <c r="O87" i="15" s="1"/>
  <c r="L82" i="15"/>
  <c r="O82" i="15" s="1"/>
  <c r="L71" i="15"/>
  <c r="O71" i="15" s="1"/>
  <c r="L69" i="15"/>
  <c r="O69" i="15" s="1"/>
  <c r="L67" i="15"/>
  <c r="O67" i="15" s="1"/>
  <c r="L66" i="15"/>
  <c r="O66" i="15" s="1"/>
  <c r="L65" i="15"/>
  <c r="O65" i="15" s="1"/>
  <c r="L64" i="15"/>
  <c r="O64" i="15" s="1"/>
  <c r="L63" i="15"/>
  <c r="O63" i="15" s="1"/>
  <c r="L57" i="15"/>
  <c r="O57" i="15" s="1"/>
  <c r="L56" i="15"/>
  <c r="O56" i="15" s="1"/>
  <c r="L55" i="15"/>
  <c r="O55" i="15" s="1"/>
  <c r="L46" i="15"/>
  <c r="O46" i="15" s="1"/>
  <c r="L39" i="15"/>
  <c r="O39" i="15" s="1"/>
  <c r="L38" i="15"/>
  <c r="O38" i="15" s="1"/>
  <c r="L33" i="15"/>
  <c r="O33" i="15" s="1"/>
  <c r="L38" i="13"/>
  <c r="M54" i="1"/>
  <c r="M95" i="1"/>
  <c r="M48" i="22"/>
  <c r="M86" i="22"/>
  <c r="M32" i="22"/>
  <c r="O106" i="21"/>
  <c r="O104" i="21"/>
  <c r="O105" i="21"/>
  <c r="AD95" i="21"/>
  <c r="AD96" i="21"/>
  <c r="AD97" i="21"/>
  <c r="AD98" i="21"/>
  <c r="AD99" i="21"/>
  <c r="AD102" i="21"/>
  <c r="AD103" i="21"/>
  <c r="AD94" i="21"/>
  <c r="AD93" i="21"/>
  <c r="AD82" i="21"/>
  <c r="AD84" i="21"/>
  <c r="AD85" i="21"/>
  <c r="AD86" i="21"/>
  <c r="AD87" i="21"/>
  <c r="AD88" i="21"/>
  <c r="AD89" i="21"/>
  <c r="AD90" i="21"/>
  <c r="AD91" i="21"/>
  <c r="AD92" i="21"/>
  <c r="AD83"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54" i="21"/>
  <c r="AD53" i="21"/>
  <c r="AD52" i="21"/>
  <c r="AD32" i="21"/>
  <c r="AC102" i="21"/>
  <c r="L102" i="21" s="1"/>
  <c r="O102" i="21" s="1"/>
  <c r="AC99" i="21"/>
  <c r="L99" i="21" s="1"/>
  <c r="O99" i="21" s="1"/>
  <c r="AC98" i="21"/>
  <c r="L98" i="21" s="1"/>
  <c r="O98" i="21" s="1"/>
  <c r="AC97" i="21"/>
  <c r="L97" i="21" s="1"/>
  <c r="O97" i="21" s="1"/>
  <c r="AC95" i="21"/>
  <c r="L95" i="21" s="1"/>
  <c r="O95" i="21" s="1"/>
  <c r="AC94" i="21"/>
  <c r="L94" i="21" s="1"/>
  <c r="O94" i="21" s="1"/>
  <c r="AC93" i="21"/>
  <c r="L93" i="21" s="1"/>
  <c r="O93" i="21" s="1"/>
  <c r="AC92" i="21"/>
  <c r="L92" i="21" s="1"/>
  <c r="O92" i="21" s="1"/>
  <c r="AC91" i="21"/>
  <c r="L91" i="21" s="1"/>
  <c r="O91" i="21" s="1"/>
  <c r="AC90" i="21"/>
  <c r="L90" i="21" s="1"/>
  <c r="O90" i="21" s="1"/>
  <c r="AC89" i="21"/>
  <c r="L89" i="21" s="1"/>
  <c r="O89" i="21" s="1"/>
  <c r="AC88" i="21"/>
  <c r="L88" i="21" s="1"/>
  <c r="O88" i="21" s="1"/>
  <c r="AC87" i="21"/>
  <c r="AC86" i="21"/>
  <c r="AC85" i="21"/>
  <c r="L85" i="21" s="1"/>
  <c r="O85" i="21" s="1"/>
  <c r="AC84" i="21"/>
  <c r="L84" i="21" s="1"/>
  <c r="O84" i="21" s="1"/>
  <c r="AC83" i="21"/>
  <c r="L83" i="21" s="1"/>
  <c r="O83" i="21" s="1"/>
  <c r="AC82" i="21"/>
  <c r="L82" i="21" s="1"/>
  <c r="O82" i="21" s="1"/>
  <c r="AC81" i="21"/>
  <c r="L81" i="21" s="1"/>
  <c r="O81" i="21" s="1"/>
  <c r="AC79" i="21"/>
  <c r="L79" i="21" s="1"/>
  <c r="O79" i="21" s="1"/>
  <c r="AC78" i="21"/>
  <c r="L78" i="21" s="1"/>
  <c r="O78" i="21" s="1"/>
  <c r="AC77" i="21"/>
  <c r="L77" i="21" s="1"/>
  <c r="O77" i="21" s="1"/>
  <c r="AC76" i="21"/>
  <c r="L76" i="21" s="1"/>
  <c r="O76" i="21" s="1"/>
  <c r="AC75" i="21"/>
  <c r="L75" i="21" s="1"/>
  <c r="O75" i="21" s="1"/>
  <c r="AC74" i="21"/>
  <c r="L74" i="21" s="1"/>
  <c r="O74" i="21" s="1"/>
  <c r="AC72" i="21"/>
  <c r="L72" i="21" s="1"/>
  <c r="O72" i="21" s="1"/>
  <c r="AC71" i="21"/>
  <c r="L71" i="21" s="1"/>
  <c r="O71" i="21" s="1"/>
  <c r="AC70" i="21"/>
  <c r="L70" i="21" s="1"/>
  <c r="O70" i="21" s="1"/>
  <c r="AC69" i="21"/>
  <c r="L69" i="21" s="1"/>
  <c r="O69" i="21" s="1"/>
  <c r="AC68" i="21"/>
  <c r="L68" i="21" s="1"/>
  <c r="O68" i="21" s="1"/>
  <c r="AC67" i="21"/>
  <c r="L67" i="21" s="1"/>
  <c r="O67" i="21" s="1"/>
  <c r="AC66" i="21"/>
  <c r="L66" i="21" s="1"/>
  <c r="O66" i="21" s="1"/>
  <c r="AC65" i="21"/>
  <c r="L65" i="21" s="1"/>
  <c r="O65" i="21" s="1"/>
  <c r="AC64" i="21"/>
  <c r="L64" i="21" s="1"/>
  <c r="O64" i="21" s="1"/>
  <c r="AC63" i="21"/>
  <c r="L63" i="21" s="1"/>
  <c r="O63" i="21" s="1"/>
  <c r="AC62" i="21"/>
  <c r="L62" i="21" s="1"/>
  <c r="O62" i="21" s="1"/>
  <c r="AC61" i="21"/>
  <c r="L61" i="21" s="1"/>
  <c r="O61" i="21" s="1"/>
  <c r="AC60" i="21"/>
  <c r="L60" i="21" s="1"/>
  <c r="O60" i="21" s="1"/>
  <c r="AC59" i="21"/>
  <c r="L59" i="21" s="1"/>
  <c r="O59" i="21" s="1"/>
  <c r="AC58" i="21"/>
  <c r="L58" i="21" s="1"/>
  <c r="O58" i="21" s="1"/>
  <c r="AC51" i="21"/>
  <c r="L51" i="21" s="1"/>
  <c r="O51" i="21" s="1"/>
  <c r="AC50" i="21"/>
  <c r="L50" i="21" s="1"/>
  <c r="O50" i="21" s="1"/>
  <c r="AD50" i="21"/>
  <c r="AD49" i="21"/>
  <c r="AD48" i="21"/>
  <c r="AD46" i="21"/>
  <c r="AD45" i="21"/>
  <c r="AC57" i="21"/>
  <c r="L57" i="21" s="1"/>
  <c r="O57" i="21" s="1"/>
  <c r="AC56" i="21"/>
  <c r="AC55" i="21"/>
  <c r="AC54" i="21"/>
  <c r="AC53" i="21"/>
  <c r="L53" i="21" s="1"/>
  <c r="O53" i="21" s="1"/>
  <c r="AC52" i="21"/>
  <c r="L52" i="21" s="1"/>
  <c r="AC49" i="21"/>
  <c r="L49" i="21" s="1"/>
  <c r="O49" i="21" s="1"/>
  <c r="AC48" i="21"/>
  <c r="L48" i="21" s="1"/>
  <c r="O48" i="21" s="1"/>
  <c r="AC47" i="21"/>
  <c r="L47" i="21" s="1"/>
  <c r="O47" i="21" s="1"/>
  <c r="AC46" i="21"/>
  <c r="L46" i="21" s="1"/>
  <c r="O46" i="21" s="1"/>
  <c r="AC45" i="21"/>
  <c r="L45" i="21" s="1"/>
  <c r="O45" i="21" s="1"/>
  <c r="AC44" i="21"/>
  <c r="L44" i="21" s="1"/>
  <c r="O44" i="21" s="1"/>
  <c r="AC43" i="21"/>
  <c r="L43" i="21" s="1"/>
  <c r="O43" i="21" s="1"/>
  <c r="AD51" i="21"/>
  <c r="AD47" i="21"/>
  <c r="AD44" i="21"/>
  <c r="AD43" i="21"/>
  <c r="AD42" i="21"/>
  <c r="AC42" i="21"/>
  <c r="L42" i="21" s="1"/>
  <c r="O42" i="21" s="1"/>
  <c r="AD41" i="21"/>
  <c r="AD40" i="21"/>
  <c r="AD39" i="21"/>
  <c r="AC38" i="21"/>
  <c r="AD38" i="21"/>
  <c r="AD37" i="21"/>
  <c r="L37" i="21"/>
  <c r="O37" i="21" s="1"/>
  <c r="AD35" i="21"/>
  <c r="AD33" i="21"/>
  <c r="L34" i="21"/>
  <c r="O34" i="21" s="1"/>
  <c r="AC33" i="21"/>
  <c r="L33" i="21" s="1"/>
  <c r="O33" i="21" s="1"/>
  <c r="AD36" i="21"/>
  <c r="AC32" i="21"/>
  <c r="AC31" i="21"/>
  <c r="L31" i="21" s="1"/>
  <c r="O31" i="21" s="1"/>
  <c r="AD31" i="21"/>
  <c r="AD105" i="21"/>
  <c r="AC105" i="21"/>
  <c r="AD104" i="21"/>
  <c r="AC104" i="21"/>
  <c r="AE54" i="19"/>
  <c r="AD54" i="19"/>
  <c r="L54" i="19" s="1"/>
  <c r="O68" i="20"/>
  <c r="O67" i="20"/>
  <c r="O66" i="20"/>
  <c r="O67" i="24"/>
  <c r="O66" i="24"/>
  <c r="O65" i="24"/>
  <c r="O86" i="19"/>
  <c r="AE103" i="18"/>
  <c r="AE102" i="18"/>
  <c r="AE99" i="18"/>
  <c r="AE98" i="18"/>
  <c r="AE97" i="18"/>
  <c r="AE96" i="18"/>
  <c r="AE95" i="18"/>
  <c r="AE94" i="18"/>
  <c r="AE93" i="18"/>
  <c r="AE92" i="18"/>
  <c r="AE91" i="18"/>
  <c r="AE90" i="18"/>
  <c r="AE89" i="18"/>
  <c r="AE88" i="18"/>
  <c r="AE87" i="18"/>
  <c r="AE86" i="18"/>
  <c r="AE85" i="18"/>
  <c r="L85" i="18" s="1"/>
  <c r="O85" i="18" s="1"/>
  <c r="AE84" i="18"/>
  <c r="L84" i="18" s="1"/>
  <c r="O84" i="18" s="1"/>
  <c r="AE83" i="18"/>
  <c r="AE82" i="18"/>
  <c r="AE81" i="18"/>
  <c r="L81" i="18" s="1"/>
  <c r="O81" i="18" s="1"/>
  <c r="AE80" i="18"/>
  <c r="AE79" i="18"/>
  <c r="AE78" i="18"/>
  <c r="AE77" i="18"/>
  <c r="AE76" i="18"/>
  <c r="AE75" i="18"/>
  <c r="AE74" i="18"/>
  <c r="AE73" i="18"/>
  <c r="AE72" i="18"/>
  <c r="AE71" i="18"/>
  <c r="AE70" i="18"/>
  <c r="AE69" i="18"/>
  <c r="AE68" i="18"/>
  <c r="AE67" i="18"/>
  <c r="AE66" i="18"/>
  <c r="AE65" i="18"/>
  <c r="AE64" i="18"/>
  <c r="AE63" i="18"/>
  <c r="AE62" i="18"/>
  <c r="AE61" i="18"/>
  <c r="AE60" i="18"/>
  <c r="AE59" i="18"/>
  <c r="AE58" i="18"/>
  <c r="AE57" i="18"/>
  <c r="AE56" i="18"/>
  <c r="AE55" i="18"/>
  <c r="AE54" i="18"/>
  <c r="AE51" i="18"/>
  <c r="AE50" i="18"/>
  <c r="AE49" i="18"/>
  <c r="AE48" i="18"/>
  <c r="AE47" i="18"/>
  <c r="AE46" i="18"/>
  <c r="AE45" i="18"/>
  <c r="AE44" i="18"/>
  <c r="AE43" i="18"/>
  <c r="AE42" i="18"/>
  <c r="AE41" i="18"/>
  <c r="AE40" i="18"/>
  <c r="AE39" i="18"/>
  <c r="AE38" i="18"/>
  <c r="AE37" i="18"/>
  <c r="AE36" i="18"/>
  <c r="AE35" i="18"/>
  <c r="AE34" i="18"/>
  <c r="AE33" i="18"/>
  <c r="AE32" i="18"/>
  <c r="AE31" i="18"/>
  <c r="AD102" i="18"/>
  <c r="L102" i="18" s="1"/>
  <c r="O102" i="18" s="1"/>
  <c r="AD99" i="18"/>
  <c r="AD98" i="18"/>
  <c r="AD97" i="18"/>
  <c r="AD95" i="18"/>
  <c r="AD94" i="18"/>
  <c r="AD93" i="18"/>
  <c r="AD92" i="18"/>
  <c r="AD91" i="18"/>
  <c r="AD90" i="18"/>
  <c r="AD89" i="18"/>
  <c r="AD88" i="18"/>
  <c r="AD87" i="18"/>
  <c r="AD86" i="18"/>
  <c r="AD84" i="18"/>
  <c r="AD83" i="18"/>
  <c r="AD82" i="18"/>
  <c r="AD79" i="18"/>
  <c r="AD78" i="18"/>
  <c r="AD77" i="18"/>
  <c r="AD76" i="18"/>
  <c r="AD75" i="18"/>
  <c r="AD74" i="18"/>
  <c r="AD73" i="18"/>
  <c r="AD72" i="18"/>
  <c r="AD71" i="18"/>
  <c r="AD70" i="18"/>
  <c r="AD69" i="18"/>
  <c r="AD68" i="18"/>
  <c r="AD67" i="18"/>
  <c r="AD66" i="18"/>
  <c r="AD65" i="18"/>
  <c r="AD64" i="18"/>
  <c r="AD63" i="18"/>
  <c r="AD62" i="18"/>
  <c r="AD61" i="18"/>
  <c r="AD60" i="18"/>
  <c r="AD59" i="18"/>
  <c r="AD58" i="18"/>
  <c r="AD57" i="18"/>
  <c r="L57" i="18" s="1"/>
  <c r="AD56" i="18"/>
  <c r="L56" i="18" s="1"/>
  <c r="AD55" i="18"/>
  <c r="L55" i="18" s="1"/>
  <c r="O55" i="18" s="1"/>
  <c r="AD54" i="18"/>
  <c r="AD51" i="18"/>
  <c r="L51" i="18" s="1"/>
  <c r="O51" i="18" s="1"/>
  <c r="AD50" i="18"/>
  <c r="L50" i="18" s="1"/>
  <c r="O50" i="18" s="1"/>
  <c r="AD49" i="18"/>
  <c r="L49" i="18" s="1"/>
  <c r="O49" i="18" s="1"/>
  <c r="AD48" i="18"/>
  <c r="L48" i="18" s="1"/>
  <c r="AD47" i="18"/>
  <c r="L47" i="18" s="1"/>
  <c r="AD46" i="18"/>
  <c r="AD45" i="18"/>
  <c r="AD44" i="18"/>
  <c r="AD43" i="18"/>
  <c r="AD42" i="18"/>
  <c r="AD41" i="18"/>
  <c r="AD40" i="18"/>
  <c r="AD39" i="18"/>
  <c r="AD38" i="18"/>
  <c r="AD37" i="18"/>
  <c r="L37" i="18" s="1"/>
  <c r="AD36" i="18"/>
  <c r="AD33" i="18"/>
  <c r="AD32" i="18"/>
  <c r="AD31" i="18"/>
  <c r="AD104" i="17"/>
  <c r="AD103" i="17"/>
  <c r="AD100" i="17"/>
  <c r="L100" i="17" s="1"/>
  <c r="O100" i="17" s="1"/>
  <c r="AD99" i="17"/>
  <c r="L99" i="17" s="1"/>
  <c r="O99" i="17" s="1"/>
  <c r="AD98" i="17"/>
  <c r="L98" i="17" s="1"/>
  <c r="O98" i="17" s="1"/>
  <c r="AD97" i="17"/>
  <c r="AD96" i="17"/>
  <c r="AD95" i="17"/>
  <c r="AD94" i="17"/>
  <c r="AD93" i="17"/>
  <c r="AD92" i="17"/>
  <c r="AD91" i="17"/>
  <c r="AD90" i="17"/>
  <c r="AD89" i="17"/>
  <c r="AD88" i="17"/>
  <c r="AD87" i="17"/>
  <c r="AD86" i="17"/>
  <c r="L86" i="17" s="1"/>
  <c r="O86" i="17" s="1"/>
  <c r="AD85" i="17"/>
  <c r="AD84" i="17"/>
  <c r="AD83" i="17"/>
  <c r="L83" i="17" s="1"/>
  <c r="O83" i="17" s="1"/>
  <c r="AD82" i="17"/>
  <c r="L82" i="17" s="1"/>
  <c r="O82" i="17" s="1"/>
  <c r="AD81" i="17"/>
  <c r="AD80" i="17"/>
  <c r="AD79" i="17"/>
  <c r="AD78" i="17"/>
  <c r="AD77" i="17"/>
  <c r="AD76" i="17"/>
  <c r="AD75" i="17"/>
  <c r="AD74" i="17"/>
  <c r="AD73" i="17"/>
  <c r="AD72" i="17"/>
  <c r="AD71" i="17"/>
  <c r="AD70" i="17"/>
  <c r="AD69" i="17"/>
  <c r="AD68" i="17"/>
  <c r="AD67" i="17"/>
  <c r="AD66" i="17"/>
  <c r="AD65" i="17"/>
  <c r="AD64" i="17"/>
  <c r="AD63" i="17"/>
  <c r="AD62" i="17"/>
  <c r="AD61" i="17"/>
  <c r="AD60" i="17"/>
  <c r="AD59" i="17"/>
  <c r="AD58" i="17"/>
  <c r="AD57" i="17"/>
  <c r="AD56" i="17"/>
  <c r="AD55" i="17"/>
  <c r="AD52" i="17"/>
  <c r="L52" i="17" s="1"/>
  <c r="O52" i="17" s="1"/>
  <c r="AD51" i="17"/>
  <c r="AD50" i="17"/>
  <c r="AD49" i="17"/>
  <c r="AD48" i="17"/>
  <c r="AD47" i="17"/>
  <c r="AD46" i="17"/>
  <c r="AD45" i="17"/>
  <c r="AD44" i="17"/>
  <c r="AD43" i="17"/>
  <c r="AD42" i="17"/>
  <c r="AD41" i="17"/>
  <c r="AD40" i="17"/>
  <c r="AD39" i="17"/>
  <c r="AD38" i="17"/>
  <c r="AD37" i="17"/>
  <c r="AD36" i="17"/>
  <c r="AD35" i="17"/>
  <c r="L35" i="17" s="1"/>
  <c r="O35" i="17" s="1"/>
  <c r="AD34" i="17"/>
  <c r="L34" i="17" s="1"/>
  <c r="O34" i="17" s="1"/>
  <c r="AD33" i="17"/>
  <c r="L33" i="17" s="1"/>
  <c r="O33" i="17" s="1"/>
  <c r="AD32" i="17"/>
  <c r="L32" i="17" s="1"/>
  <c r="O32" i="17" s="1"/>
  <c r="AD31" i="17"/>
  <c r="AC103" i="17"/>
  <c r="AC100" i="17"/>
  <c r="AC99" i="17"/>
  <c r="AC98" i="17"/>
  <c r="AC96" i="17"/>
  <c r="AC95" i="17"/>
  <c r="AC94" i="17"/>
  <c r="AC93" i="17"/>
  <c r="AC92" i="17"/>
  <c r="AC91" i="17"/>
  <c r="AC90" i="17"/>
  <c r="AC89" i="17"/>
  <c r="AC88" i="17"/>
  <c r="L88" i="17" s="1"/>
  <c r="O88" i="17" s="1"/>
  <c r="AC87" i="17"/>
  <c r="AC84" i="17"/>
  <c r="AC83" i="17"/>
  <c r="AC80" i="17"/>
  <c r="AC79" i="17"/>
  <c r="AC78" i="17"/>
  <c r="AC77" i="17"/>
  <c r="AC76" i="17"/>
  <c r="L76" i="17" s="1"/>
  <c r="O76" i="17" s="1"/>
  <c r="AC75" i="17"/>
  <c r="AC74" i="17"/>
  <c r="L74" i="17" s="1"/>
  <c r="O74" i="17" s="1"/>
  <c r="AC73" i="17"/>
  <c r="L73" i="17" s="1"/>
  <c r="O73" i="17" s="1"/>
  <c r="AC72" i="17"/>
  <c r="L72" i="17" s="1"/>
  <c r="O72" i="17" s="1"/>
  <c r="AC71" i="17"/>
  <c r="AC70" i="17"/>
  <c r="AC69" i="17"/>
  <c r="L69" i="17" s="1"/>
  <c r="O69" i="17" s="1"/>
  <c r="AC68" i="17"/>
  <c r="AC67" i="17"/>
  <c r="AC66" i="17"/>
  <c r="AC65" i="17"/>
  <c r="AC64" i="17"/>
  <c r="AC63" i="17"/>
  <c r="AC62" i="17"/>
  <c r="AC61" i="17"/>
  <c r="AC60" i="17"/>
  <c r="L60" i="17" s="1"/>
  <c r="O60" i="17" s="1"/>
  <c r="AC59" i="17"/>
  <c r="AC58" i="17"/>
  <c r="L58" i="17" s="1"/>
  <c r="AC57" i="17"/>
  <c r="L57" i="17" s="1"/>
  <c r="AC56" i="17"/>
  <c r="L56" i="17" s="1"/>
  <c r="O56" i="17" s="1"/>
  <c r="AC55" i="17"/>
  <c r="AC52" i="17"/>
  <c r="AC51" i="17"/>
  <c r="AC50" i="17"/>
  <c r="AC49" i="17"/>
  <c r="AC48" i="17"/>
  <c r="AC47" i="17"/>
  <c r="AC46" i="17"/>
  <c r="AC45" i="17"/>
  <c r="AC44" i="17"/>
  <c r="AC43" i="17"/>
  <c r="AC42" i="17"/>
  <c r="AC41" i="17"/>
  <c r="AC40" i="17"/>
  <c r="AC39" i="17"/>
  <c r="AC38" i="17"/>
  <c r="AC35" i="17"/>
  <c r="AC34" i="17"/>
  <c r="AC33" i="17"/>
  <c r="AC32" i="17"/>
  <c r="AC31" i="17"/>
  <c r="AD103" i="16"/>
  <c r="AD102" i="16"/>
  <c r="AD99" i="16"/>
  <c r="AD98" i="16"/>
  <c r="AD97" i="16"/>
  <c r="AD96" i="16"/>
  <c r="AD95" i="16"/>
  <c r="AD94" i="16"/>
  <c r="L94" i="16" s="1"/>
  <c r="O94" i="16" s="1"/>
  <c r="AD93" i="16"/>
  <c r="L93" i="16" s="1"/>
  <c r="O93" i="16" s="1"/>
  <c r="AD92" i="16"/>
  <c r="L92" i="16" s="1"/>
  <c r="O92" i="16" s="1"/>
  <c r="AD91" i="16"/>
  <c r="AD90" i="16"/>
  <c r="AD89" i="16"/>
  <c r="AD88" i="16"/>
  <c r="AD87" i="16"/>
  <c r="AD86" i="16"/>
  <c r="AD85" i="16"/>
  <c r="AD84" i="16"/>
  <c r="AD83" i="16"/>
  <c r="AD82" i="16"/>
  <c r="AD81" i="16"/>
  <c r="AD80" i="16"/>
  <c r="L80" i="16" s="1"/>
  <c r="O80" i="16" s="1"/>
  <c r="AD79" i="16"/>
  <c r="AD78" i="16"/>
  <c r="AD77" i="16"/>
  <c r="AD76" i="16"/>
  <c r="AD75" i="16"/>
  <c r="AD74" i="16"/>
  <c r="AD73" i="16"/>
  <c r="AD72" i="16"/>
  <c r="AD71" i="16"/>
  <c r="AD70" i="16"/>
  <c r="AD69" i="16"/>
  <c r="AD68" i="16"/>
  <c r="L68" i="16" s="1"/>
  <c r="O68" i="16" s="1"/>
  <c r="AD67" i="16"/>
  <c r="AD66" i="16"/>
  <c r="AD65" i="16"/>
  <c r="AD64" i="16"/>
  <c r="AD63" i="16"/>
  <c r="AD62" i="16"/>
  <c r="L62" i="16" s="1"/>
  <c r="O62" i="16" s="1"/>
  <c r="AD61" i="16"/>
  <c r="AD60" i="16"/>
  <c r="AD59" i="16"/>
  <c r="AD58" i="16"/>
  <c r="AD57" i="16"/>
  <c r="AD56" i="16"/>
  <c r="AD55" i="16"/>
  <c r="AD54" i="16"/>
  <c r="L54" i="16" s="1"/>
  <c r="O54" i="16" s="1"/>
  <c r="AD51" i="16"/>
  <c r="AD50" i="16"/>
  <c r="L50" i="16" s="1"/>
  <c r="O50" i="16" s="1"/>
  <c r="AD49" i="16"/>
  <c r="AD48" i="16"/>
  <c r="AD47" i="16"/>
  <c r="L47" i="16" s="1"/>
  <c r="O47" i="16" s="1"/>
  <c r="AD46" i="16"/>
  <c r="L46" i="16" s="1"/>
  <c r="O46" i="16" s="1"/>
  <c r="AD45" i="16"/>
  <c r="L45" i="16" s="1"/>
  <c r="O45" i="16" s="1"/>
  <c r="AD44" i="16"/>
  <c r="L44" i="16" s="1"/>
  <c r="O44" i="16" s="1"/>
  <c r="AD43" i="16"/>
  <c r="L43" i="16" s="1"/>
  <c r="O43" i="16" s="1"/>
  <c r="AD42" i="16"/>
  <c r="L42" i="16" s="1"/>
  <c r="O42" i="16" s="1"/>
  <c r="AD41" i="16"/>
  <c r="AD40" i="16"/>
  <c r="AD39" i="16"/>
  <c r="AD38" i="16"/>
  <c r="AD37" i="16"/>
  <c r="L37" i="16" s="1"/>
  <c r="O37" i="16" s="1"/>
  <c r="AD36" i="16"/>
  <c r="AD35" i="16"/>
  <c r="AD34" i="16"/>
  <c r="L34" i="16" s="1"/>
  <c r="O34" i="16" s="1"/>
  <c r="AD33" i="16"/>
  <c r="L33" i="16" s="1"/>
  <c r="O33" i="16" s="1"/>
  <c r="AD32" i="16"/>
  <c r="L32" i="16" s="1"/>
  <c r="O32" i="16" s="1"/>
  <c r="AD31" i="16"/>
  <c r="AC102" i="16"/>
  <c r="L102" i="16" s="1"/>
  <c r="O102" i="16" s="1"/>
  <c r="AC99" i="16"/>
  <c r="AC98" i="16"/>
  <c r="AC97" i="16"/>
  <c r="L97" i="16" s="1"/>
  <c r="O97" i="16" s="1"/>
  <c r="AC95" i="16"/>
  <c r="AC94" i="16"/>
  <c r="AC93" i="16"/>
  <c r="AC92" i="16"/>
  <c r="AC91" i="16"/>
  <c r="AC90" i="16"/>
  <c r="AC89" i="16"/>
  <c r="AC88" i="16"/>
  <c r="AC87" i="16"/>
  <c r="AC86" i="16"/>
  <c r="AC84" i="16"/>
  <c r="AC83" i="16"/>
  <c r="AC82" i="16"/>
  <c r="AC79" i="16"/>
  <c r="AC78" i="16"/>
  <c r="AC77" i="16"/>
  <c r="AC76" i="16"/>
  <c r="AC75" i="16"/>
  <c r="AC74" i="16"/>
  <c r="AC73" i="16"/>
  <c r="AC72" i="16"/>
  <c r="AC71" i="16"/>
  <c r="AC70" i="16"/>
  <c r="AC69" i="16"/>
  <c r="AC68" i="16"/>
  <c r="AC67" i="16"/>
  <c r="L67" i="16" s="1"/>
  <c r="O67" i="16" s="1"/>
  <c r="AC66" i="16"/>
  <c r="AC65" i="16"/>
  <c r="L65" i="16" s="1"/>
  <c r="O65" i="16" s="1"/>
  <c r="AC64" i="16"/>
  <c r="L64" i="16" s="1"/>
  <c r="O64" i="16" s="1"/>
  <c r="AC63" i="16"/>
  <c r="AC62" i="16"/>
  <c r="AC61" i="16"/>
  <c r="AC60" i="16"/>
  <c r="AC59" i="16"/>
  <c r="AC58" i="16"/>
  <c r="AC57" i="16"/>
  <c r="L57" i="16" s="1"/>
  <c r="AC56" i="16"/>
  <c r="AC55" i="16"/>
  <c r="AC51" i="16"/>
  <c r="AC50" i="16"/>
  <c r="AC49" i="16"/>
  <c r="AC48" i="16"/>
  <c r="AC47" i="16"/>
  <c r="AC46" i="16"/>
  <c r="AC45" i="16"/>
  <c r="AC44" i="16"/>
  <c r="AC43" i="16"/>
  <c r="AC42" i="16"/>
  <c r="AC41" i="16"/>
  <c r="AC40" i="16"/>
  <c r="AC39" i="16"/>
  <c r="AC38" i="16"/>
  <c r="AC37" i="16"/>
  <c r="AC34" i="16"/>
  <c r="AC33" i="16"/>
  <c r="AC32" i="16"/>
  <c r="AC31" i="16"/>
  <c r="AE36" i="14"/>
  <c r="AE42" i="14"/>
  <c r="AE101" i="14"/>
  <c r="AE100" i="14"/>
  <c r="AE97" i="14"/>
  <c r="AE96" i="14"/>
  <c r="AE95" i="14"/>
  <c r="AE94" i="14"/>
  <c r="L94" i="14" s="1"/>
  <c r="O94" i="14" s="1"/>
  <c r="AE93" i="14"/>
  <c r="L93" i="14" s="1"/>
  <c r="O93" i="14" s="1"/>
  <c r="AE92" i="14"/>
  <c r="L92" i="14" s="1"/>
  <c r="O92" i="14" s="1"/>
  <c r="AE91" i="14"/>
  <c r="L91" i="14" s="1"/>
  <c r="O91" i="14" s="1"/>
  <c r="AE90" i="14"/>
  <c r="L90" i="14" s="1"/>
  <c r="O90" i="14" s="1"/>
  <c r="AE89" i="14"/>
  <c r="AE88" i="14"/>
  <c r="AE87" i="14"/>
  <c r="AE86" i="14"/>
  <c r="AE85" i="14"/>
  <c r="AE84" i="14"/>
  <c r="AE83" i="14"/>
  <c r="L83" i="14" s="1"/>
  <c r="O83" i="14" s="1"/>
  <c r="AE82" i="14"/>
  <c r="AE81" i="14"/>
  <c r="AE80" i="14"/>
  <c r="AE79" i="14"/>
  <c r="L79" i="14" s="1"/>
  <c r="O79" i="14" s="1"/>
  <c r="AE78" i="14"/>
  <c r="L78" i="14" s="1"/>
  <c r="O78" i="14" s="1"/>
  <c r="AE77" i="14"/>
  <c r="L77" i="14" s="1"/>
  <c r="O77" i="14" s="1"/>
  <c r="AE76" i="14"/>
  <c r="L76" i="14" s="1"/>
  <c r="O76" i="14" s="1"/>
  <c r="AE75" i="14"/>
  <c r="L75" i="14" s="1"/>
  <c r="O75" i="14" s="1"/>
  <c r="AE74" i="14"/>
  <c r="L74" i="14" s="1"/>
  <c r="O74" i="14" s="1"/>
  <c r="AE73" i="14"/>
  <c r="AE72" i="14"/>
  <c r="AE71" i="14"/>
  <c r="AE70" i="14"/>
  <c r="AE69" i="14"/>
  <c r="AE68" i="14"/>
  <c r="AE67" i="14"/>
  <c r="AE66" i="14"/>
  <c r="AE65" i="14"/>
  <c r="AE64" i="14"/>
  <c r="L64" i="14" s="1"/>
  <c r="O64" i="14" s="1"/>
  <c r="AE63" i="14"/>
  <c r="L63" i="14" s="1"/>
  <c r="O63" i="14" s="1"/>
  <c r="AE62" i="14"/>
  <c r="L62" i="14" s="1"/>
  <c r="O62" i="14" s="1"/>
  <c r="AE61" i="14"/>
  <c r="L61" i="14" s="1"/>
  <c r="O61" i="14" s="1"/>
  <c r="AE60" i="14"/>
  <c r="L60" i="14" s="1"/>
  <c r="O60" i="14" s="1"/>
  <c r="AE59" i="14"/>
  <c r="L59" i="14" s="1"/>
  <c r="O59" i="14" s="1"/>
  <c r="AE58" i="14"/>
  <c r="L58" i="14" s="1"/>
  <c r="O58" i="14" s="1"/>
  <c r="AE57" i="14"/>
  <c r="AE56" i="14"/>
  <c r="AE55" i="14"/>
  <c r="AE54" i="14"/>
  <c r="AE53" i="14"/>
  <c r="AE52" i="14"/>
  <c r="AE49" i="14"/>
  <c r="AE48" i="14"/>
  <c r="AE47" i="14"/>
  <c r="AE46" i="14"/>
  <c r="AE45" i="14"/>
  <c r="L45" i="14" s="1"/>
  <c r="O45" i="14" s="1"/>
  <c r="AE44" i="14"/>
  <c r="L44" i="14" s="1"/>
  <c r="O44" i="14" s="1"/>
  <c r="AE43" i="14"/>
  <c r="L43" i="14" s="1"/>
  <c r="O43" i="14" s="1"/>
  <c r="AE41" i="14"/>
  <c r="L41" i="14" s="1"/>
  <c r="O41" i="14" s="1"/>
  <c r="AE40" i="14"/>
  <c r="L40" i="14" s="1"/>
  <c r="O40" i="14" s="1"/>
  <c r="AE39" i="14"/>
  <c r="L39" i="14" s="1"/>
  <c r="O39" i="14" s="1"/>
  <c r="L37" i="14"/>
  <c r="O37" i="14" s="1"/>
  <c r="AE34" i="14"/>
  <c r="AE33" i="14"/>
  <c r="AD100" i="14"/>
  <c r="AD97" i="14"/>
  <c r="AD96" i="14"/>
  <c r="AD95" i="14"/>
  <c r="AD93" i="14"/>
  <c r="AD92" i="14"/>
  <c r="AD91" i="14"/>
  <c r="AD90" i="14"/>
  <c r="AD89" i="14"/>
  <c r="AD88" i="14"/>
  <c r="AD87" i="14"/>
  <c r="AD86" i="14"/>
  <c r="L86" i="14" s="1"/>
  <c r="O86" i="14" s="1"/>
  <c r="AD85" i="14"/>
  <c r="AD84" i="14"/>
  <c r="AD82" i="14"/>
  <c r="AD81" i="14"/>
  <c r="AD80" i="14"/>
  <c r="AD77" i="14"/>
  <c r="AD76" i="14"/>
  <c r="AD75" i="14"/>
  <c r="AD74" i="14"/>
  <c r="AD73" i="14"/>
  <c r="L73" i="14" s="1"/>
  <c r="O73" i="14" s="1"/>
  <c r="AD72" i="14"/>
  <c r="L72" i="14" s="1"/>
  <c r="O72" i="14" s="1"/>
  <c r="AD71" i="14"/>
  <c r="L71" i="14" s="1"/>
  <c r="O71" i="14" s="1"/>
  <c r="AD70" i="14"/>
  <c r="L70" i="14" s="1"/>
  <c r="O70" i="14" s="1"/>
  <c r="AD69" i="14"/>
  <c r="AD68" i="14"/>
  <c r="AD67" i="14"/>
  <c r="AD66" i="14"/>
  <c r="AD65" i="14"/>
  <c r="AD64" i="14"/>
  <c r="AD63" i="14"/>
  <c r="AD62" i="14"/>
  <c r="AD61" i="14"/>
  <c r="AD60" i="14"/>
  <c r="AD59" i="14"/>
  <c r="AD58" i="14"/>
  <c r="AD57" i="14"/>
  <c r="L57" i="14" s="1"/>
  <c r="O57" i="14" s="1"/>
  <c r="AD56" i="14"/>
  <c r="L56" i="14" s="1"/>
  <c r="O56" i="14" s="1"/>
  <c r="AD55" i="14"/>
  <c r="L55" i="14" s="1"/>
  <c r="AD54" i="14"/>
  <c r="L54" i="14" s="1"/>
  <c r="AD53" i="14"/>
  <c r="L53" i="14" s="1"/>
  <c r="AD52" i="14"/>
  <c r="AD49" i="14"/>
  <c r="AD48" i="14"/>
  <c r="AD47" i="14"/>
  <c r="AD46" i="14"/>
  <c r="AD45" i="14"/>
  <c r="AD44" i="14"/>
  <c r="AD43" i="14"/>
  <c r="AD42" i="14"/>
  <c r="AD41" i="14"/>
  <c r="AD40" i="14"/>
  <c r="AD39" i="14"/>
  <c r="AD38" i="14"/>
  <c r="AD37" i="14"/>
  <c r="AD36" i="14"/>
  <c r="L36" i="14" s="1"/>
  <c r="AD35" i="14"/>
  <c r="L35" i="14" s="1"/>
  <c r="O35" i="14" s="1"/>
  <c r="AD32" i="14"/>
  <c r="L32" i="14" s="1"/>
  <c r="O32" i="14" s="1"/>
  <c r="AD31" i="14"/>
  <c r="AD101" i="15"/>
  <c r="AD98" i="15"/>
  <c r="L98" i="15" s="1"/>
  <c r="O98" i="15" s="1"/>
  <c r="AD97" i="15"/>
  <c r="AD96" i="15"/>
  <c r="AD94" i="15"/>
  <c r="AD93" i="15"/>
  <c r="L93" i="15" s="1"/>
  <c r="O93" i="15" s="1"/>
  <c r="AD92" i="15"/>
  <c r="L92" i="15" s="1"/>
  <c r="O92" i="15" s="1"/>
  <c r="AD91" i="15"/>
  <c r="L91" i="15" s="1"/>
  <c r="O91" i="15" s="1"/>
  <c r="AD90" i="15"/>
  <c r="L90" i="15" s="1"/>
  <c r="O90" i="15" s="1"/>
  <c r="AD89" i="15"/>
  <c r="L89" i="15" s="1"/>
  <c r="O89" i="15" s="1"/>
  <c r="AD88" i="15"/>
  <c r="L88" i="15" s="1"/>
  <c r="O88" i="15" s="1"/>
  <c r="AD87" i="15"/>
  <c r="AD86" i="15"/>
  <c r="L86" i="15" s="1"/>
  <c r="O86" i="15" s="1"/>
  <c r="AD85" i="15"/>
  <c r="L85" i="15" s="1"/>
  <c r="O85" i="15" s="1"/>
  <c r="AD83" i="15"/>
  <c r="L83" i="15" s="1"/>
  <c r="O83" i="15" s="1"/>
  <c r="AD82" i="15"/>
  <c r="AD81" i="15"/>
  <c r="L81" i="15" s="1"/>
  <c r="O81" i="15" s="1"/>
  <c r="AD78" i="15"/>
  <c r="L78" i="15" s="1"/>
  <c r="O78" i="15" s="1"/>
  <c r="AD77" i="15"/>
  <c r="L77" i="15" s="1"/>
  <c r="O77" i="15" s="1"/>
  <c r="AD76" i="15"/>
  <c r="L76" i="15" s="1"/>
  <c r="O76" i="15" s="1"/>
  <c r="AD75" i="15"/>
  <c r="L75" i="15" s="1"/>
  <c r="O75" i="15" s="1"/>
  <c r="AD74" i="15"/>
  <c r="L74" i="15" s="1"/>
  <c r="O74" i="15" s="1"/>
  <c r="AD73" i="15"/>
  <c r="L73" i="15" s="1"/>
  <c r="O73" i="15" s="1"/>
  <c r="AD72" i="15"/>
  <c r="L72" i="15" s="1"/>
  <c r="O72" i="15" s="1"/>
  <c r="AD71" i="15"/>
  <c r="AD70" i="15"/>
  <c r="L70" i="15" s="1"/>
  <c r="O70" i="15" s="1"/>
  <c r="AD69" i="15"/>
  <c r="AD68" i="15"/>
  <c r="L68" i="15" s="1"/>
  <c r="O68" i="15" s="1"/>
  <c r="AD67" i="15"/>
  <c r="AD66" i="15"/>
  <c r="AD65" i="15"/>
  <c r="AD64" i="15"/>
  <c r="AD63" i="15"/>
  <c r="AD62" i="15"/>
  <c r="L62" i="15" s="1"/>
  <c r="O62" i="15" s="1"/>
  <c r="AD61" i="15"/>
  <c r="L61" i="15" s="1"/>
  <c r="O61" i="15" s="1"/>
  <c r="AD60" i="15"/>
  <c r="L60" i="15" s="1"/>
  <c r="O60" i="15" s="1"/>
  <c r="AD59" i="15"/>
  <c r="L59" i="15" s="1"/>
  <c r="O59" i="15" s="1"/>
  <c r="AD58" i="15"/>
  <c r="L58" i="15" s="1"/>
  <c r="O58" i="15" s="1"/>
  <c r="AD57" i="15"/>
  <c r="AD56" i="15"/>
  <c r="AD55" i="15"/>
  <c r="AD54" i="15"/>
  <c r="L54" i="15" s="1"/>
  <c r="O54" i="15" s="1"/>
  <c r="AD51" i="15"/>
  <c r="L51" i="15" s="1"/>
  <c r="O51" i="15" s="1"/>
  <c r="AD50" i="15"/>
  <c r="L50" i="15" s="1"/>
  <c r="O50" i="15" s="1"/>
  <c r="AD49" i="15"/>
  <c r="L49" i="15" s="1"/>
  <c r="O49" i="15" s="1"/>
  <c r="AD48" i="15"/>
  <c r="L48" i="15" s="1"/>
  <c r="O48" i="15" s="1"/>
  <c r="AD47" i="15"/>
  <c r="L47" i="15" s="1"/>
  <c r="O47" i="15" s="1"/>
  <c r="AD46" i="15"/>
  <c r="AD45" i="15"/>
  <c r="L45" i="15" s="1"/>
  <c r="O45" i="15" s="1"/>
  <c r="AD44" i="15"/>
  <c r="L44" i="15" s="1"/>
  <c r="O44" i="15" s="1"/>
  <c r="AD43" i="15"/>
  <c r="L43" i="15" s="1"/>
  <c r="O43" i="15" s="1"/>
  <c r="AD42" i="15"/>
  <c r="L42" i="15" s="1"/>
  <c r="O42" i="15" s="1"/>
  <c r="AD41" i="15"/>
  <c r="L41" i="15" s="1"/>
  <c r="O41" i="15" s="1"/>
  <c r="AD40" i="15"/>
  <c r="L40" i="15" s="1"/>
  <c r="O40" i="15" s="1"/>
  <c r="AD39" i="15"/>
  <c r="AD38" i="15"/>
  <c r="AD37" i="15"/>
  <c r="AD34" i="15"/>
  <c r="L34" i="15" s="1"/>
  <c r="O34" i="15" s="1"/>
  <c r="AD33" i="15"/>
  <c r="AE102" i="15"/>
  <c r="AE101" i="15"/>
  <c r="AE98" i="15"/>
  <c r="AE97" i="15"/>
  <c r="AE96" i="15"/>
  <c r="AE95" i="15"/>
  <c r="AE94" i="15"/>
  <c r="AE93" i="15"/>
  <c r="AE92" i="15"/>
  <c r="AE91" i="15"/>
  <c r="AE90" i="15"/>
  <c r="AE89" i="15"/>
  <c r="AE88" i="15"/>
  <c r="AE87" i="15"/>
  <c r="AE86" i="15"/>
  <c r="AE85" i="15"/>
  <c r="AE84" i="15"/>
  <c r="AE83" i="15"/>
  <c r="AE82" i="15"/>
  <c r="AE81" i="15"/>
  <c r="AE80" i="15"/>
  <c r="AE79" i="15"/>
  <c r="AE78"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8" i="15"/>
  <c r="AE47" i="15"/>
  <c r="AE46" i="15"/>
  <c r="AE45" i="15"/>
  <c r="AE44" i="15"/>
  <c r="AE43" i="15"/>
  <c r="AE42" i="15"/>
  <c r="AE41" i="15"/>
  <c r="AE40" i="15"/>
  <c r="AE39" i="15"/>
  <c r="AE38" i="15"/>
  <c r="L37" i="15"/>
  <c r="O37" i="15" s="1"/>
  <c r="AE36" i="15"/>
  <c r="AE35" i="15"/>
  <c r="AE34" i="15"/>
  <c r="AE33" i="15"/>
  <c r="AE32" i="15"/>
  <c r="AD32" i="15"/>
  <c r="L32" i="15" s="1"/>
  <c r="O32" i="15" s="1"/>
  <c r="AE31" i="15"/>
  <c r="AD31" i="15"/>
  <c r="L31" i="15" s="1"/>
  <c r="O31" i="15" s="1"/>
  <c r="GV56" i="1" l="1"/>
  <c r="GS88" i="1"/>
  <c r="GV88" i="1" s="1"/>
  <c r="GV57" i="1"/>
  <c r="GV40" i="1"/>
  <c r="GV55" i="1"/>
  <c r="GV105" i="1"/>
  <c r="GV94" i="1"/>
  <c r="GV43" i="1"/>
  <c r="GV91" i="1"/>
  <c r="GR48" i="1"/>
  <c r="GV85" i="1"/>
  <c r="GV90" i="1"/>
  <c r="GV104" i="1"/>
  <c r="GV92" i="1"/>
  <c r="GV46" i="1"/>
  <c r="GW47" i="1"/>
  <c r="GV37" i="1"/>
  <c r="GV39" i="1"/>
  <c r="FT95" i="22"/>
  <c r="O83" i="19"/>
  <c r="L82" i="19"/>
  <c r="O82" i="19" s="1"/>
  <c r="L39" i="21"/>
  <c r="O39" i="21" s="1"/>
  <c r="L32" i="21"/>
  <c r="O32" i="21" s="1"/>
  <c r="GV98" i="1"/>
  <c r="GV54" i="1"/>
  <c r="O88" i="22"/>
  <c r="FT94" i="22"/>
  <c r="FT44" i="22"/>
  <c r="FT43" i="22"/>
  <c r="L41" i="19"/>
  <c r="O41" i="19" s="1"/>
  <c r="L43" i="19"/>
  <c r="O43" i="19" s="1"/>
  <c r="L44" i="19"/>
  <c r="O44" i="19" s="1"/>
  <c r="L45" i="19"/>
  <c r="O45" i="19" s="1"/>
  <c r="L83" i="18"/>
  <c r="O83" i="18" s="1"/>
  <c r="L99" i="18"/>
  <c r="O99" i="18" s="1"/>
  <c r="L96" i="18"/>
  <c r="O96" i="18" s="1"/>
  <c r="L38" i="18"/>
  <c r="O38" i="18" s="1"/>
  <c r="L80" i="18"/>
  <c r="O80" i="18" s="1"/>
  <c r="L33" i="18"/>
  <c r="O33" i="18" s="1"/>
  <c r="L38" i="17"/>
  <c r="O38" i="17" s="1"/>
  <c r="L48" i="17"/>
  <c r="O48" i="17" s="1"/>
  <c r="L67" i="17"/>
  <c r="O67" i="17" s="1"/>
  <c r="L71" i="17"/>
  <c r="O71" i="17" s="1"/>
  <c r="L59" i="17"/>
  <c r="O59" i="17" s="1"/>
  <c r="L75" i="17"/>
  <c r="O75" i="17" s="1"/>
  <c r="L91" i="17"/>
  <c r="O91" i="17" s="1"/>
  <c r="L55" i="17"/>
  <c r="O55" i="17" s="1"/>
  <c r="L39" i="17"/>
  <c r="L43" i="17"/>
  <c r="O43" i="17" s="1"/>
  <c r="L61" i="17"/>
  <c r="O61" i="17" s="1"/>
  <c r="L77" i="17"/>
  <c r="O77" i="17" s="1"/>
  <c r="L93" i="17"/>
  <c r="O93" i="17" s="1"/>
  <c r="L66" i="17"/>
  <c r="O66" i="17" s="1"/>
  <c r="L50" i="17"/>
  <c r="L62" i="17"/>
  <c r="O62" i="17" s="1"/>
  <c r="L78" i="17"/>
  <c r="O78" i="17" s="1"/>
  <c r="L94" i="17"/>
  <c r="O94" i="17" s="1"/>
  <c r="L49" i="17"/>
  <c r="L84" i="17"/>
  <c r="O84" i="17" s="1"/>
  <c r="L51" i="17"/>
  <c r="O51" i="17" s="1"/>
  <c r="L70" i="17"/>
  <c r="O70" i="17" s="1"/>
  <c r="L45" i="17"/>
  <c r="O45" i="17" s="1"/>
  <c r="L63" i="17"/>
  <c r="O63" i="17" s="1"/>
  <c r="L79" i="17"/>
  <c r="O79" i="17" s="1"/>
  <c r="L95" i="17"/>
  <c r="O95" i="17" s="1"/>
  <c r="L68" i="17"/>
  <c r="O68" i="17" s="1"/>
  <c r="L87" i="17"/>
  <c r="O87" i="17" s="1"/>
  <c r="L46" i="17"/>
  <c r="O46" i="17" s="1"/>
  <c r="L64" i="17"/>
  <c r="O64" i="17" s="1"/>
  <c r="L80" i="17"/>
  <c r="O80" i="17" s="1"/>
  <c r="L96" i="17"/>
  <c r="O96" i="17" s="1"/>
  <c r="L47" i="17"/>
  <c r="O47" i="17" s="1"/>
  <c r="L65" i="17"/>
  <c r="O65" i="17" s="1"/>
  <c r="L81" i="17"/>
  <c r="O81" i="17" s="1"/>
  <c r="L97" i="17"/>
  <c r="O97" i="17" s="1"/>
  <c r="L31" i="17"/>
  <c r="O31" i="17" s="1"/>
  <c r="L31" i="16"/>
  <c r="O31" i="16" s="1"/>
  <c r="L63" i="16"/>
  <c r="O63" i="16" s="1"/>
  <c r="L99" i="16"/>
  <c r="O99" i="16" s="1"/>
  <c r="L84" i="16"/>
  <c r="O84" i="16" s="1"/>
  <c r="L51" i="16"/>
  <c r="O51" i="16" s="1"/>
  <c r="L69" i="16"/>
  <c r="O69" i="16" s="1"/>
  <c r="L85" i="16"/>
  <c r="O85" i="16" s="1"/>
  <c r="L77" i="16"/>
  <c r="O77" i="16" s="1"/>
  <c r="L95" i="16"/>
  <c r="O95" i="16" s="1"/>
  <c r="L81" i="16"/>
  <c r="O81" i="16" s="1"/>
  <c r="L66" i="16"/>
  <c r="O66" i="16" s="1"/>
  <c r="L83" i="16"/>
  <c r="O83" i="16" s="1"/>
  <c r="L70" i="16"/>
  <c r="O70" i="16" s="1"/>
  <c r="L86" i="16"/>
  <c r="O86" i="16" s="1"/>
  <c r="L98" i="16"/>
  <c r="O98" i="16" s="1"/>
  <c r="L76" i="16"/>
  <c r="O76" i="16" s="1"/>
  <c r="L72" i="16"/>
  <c r="O72" i="16" s="1"/>
  <c r="L88" i="16"/>
  <c r="O88" i="16" s="1"/>
  <c r="L60" i="16"/>
  <c r="O60" i="16" s="1"/>
  <c r="L78" i="16"/>
  <c r="O78" i="16" s="1"/>
  <c r="L79" i="16"/>
  <c r="O79" i="16" s="1"/>
  <c r="L82" i="16"/>
  <c r="O82" i="16" s="1"/>
  <c r="L39" i="16"/>
  <c r="O39" i="16" s="1"/>
  <c r="L73" i="16"/>
  <c r="O73" i="16" s="1"/>
  <c r="L89" i="16"/>
  <c r="O89" i="16" s="1"/>
  <c r="L61" i="16"/>
  <c r="O61" i="16" s="1"/>
  <c r="L71" i="16"/>
  <c r="O71" i="16" s="1"/>
  <c r="L40" i="16"/>
  <c r="O40" i="16" s="1"/>
  <c r="L58" i="16"/>
  <c r="O58" i="16" s="1"/>
  <c r="L74" i="16"/>
  <c r="O74" i="16" s="1"/>
  <c r="L90" i="16"/>
  <c r="O90" i="16" s="1"/>
  <c r="L87" i="16"/>
  <c r="O87" i="16" s="1"/>
  <c r="L41" i="16"/>
  <c r="O41" i="16" s="1"/>
  <c r="L59" i="16"/>
  <c r="O59" i="16" s="1"/>
  <c r="L75" i="16"/>
  <c r="O75" i="16" s="1"/>
  <c r="L91" i="16"/>
  <c r="O91" i="16" s="1"/>
  <c r="L95" i="14"/>
  <c r="O95" i="14" s="1"/>
  <c r="L80" i="14"/>
  <c r="O80" i="14" s="1"/>
  <c r="L96" i="14"/>
  <c r="O96" i="14" s="1"/>
  <c r="L65" i="14"/>
  <c r="O65" i="14" s="1"/>
  <c r="L81" i="14"/>
  <c r="O81" i="14" s="1"/>
  <c r="L97" i="14"/>
  <c r="O97" i="14" s="1"/>
  <c r="L48" i="14"/>
  <c r="O48" i="14" s="1"/>
  <c r="L66" i="14"/>
  <c r="O66" i="14" s="1"/>
  <c r="L82" i="14"/>
  <c r="O82" i="14" s="1"/>
  <c r="O49" i="14"/>
  <c r="L67" i="14"/>
  <c r="O67" i="14" s="1"/>
  <c r="L52" i="14"/>
  <c r="O52" i="14" s="1"/>
  <c r="L68" i="14"/>
  <c r="O68" i="14" s="1"/>
  <c r="L84" i="14"/>
  <c r="O84" i="14" s="1"/>
  <c r="L69" i="14"/>
  <c r="O69" i="14" s="1"/>
  <c r="L85" i="14"/>
  <c r="O85" i="14" s="1"/>
  <c r="O54" i="19"/>
  <c r="GV36" i="1"/>
  <c r="GV81" i="1"/>
  <c r="GR49" i="1"/>
  <c r="GV53" i="1"/>
  <c r="GV82" i="1"/>
  <c r="GV86" i="1"/>
  <c r="GV60" i="1"/>
  <c r="GV61" i="1"/>
  <c r="GS48" i="1"/>
  <c r="GP38" i="1"/>
  <c r="GU38" i="1" s="1"/>
  <c r="GV62" i="1"/>
  <c r="GU48" i="1"/>
  <c r="GT48" i="1"/>
  <c r="GV80" i="1"/>
  <c r="GV83" i="1"/>
  <c r="GV70" i="1"/>
  <c r="GS49" i="1"/>
  <c r="L51" i="24"/>
  <c r="O51" i="24" s="1"/>
  <c r="FT79" i="22"/>
  <c r="L31" i="19"/>
  <c r="L31" i="14"/>
  <c r="O31" i="14" s="1"/>
  <c r="L70" i="18"/>
  <c r="O70" i="18" s="1"/>
  <c r="L39" i="18"/>
  <c r="O39" i="18" s="1"/>
  <c r="L73" i="18"/>
  <c r="O73" i="18" s="1"/>
  <c r="L89" i="18"/>
  <c r="O89" i="18" s="1"/>
  <c r="L67" i="18"/>
  <c r="O67" i="18" s="1"/>
  <c r="L68" i="18"/>
  <c r="O68" i="18" s="1"/>
  <c r="L69" i="18"/>
  <c r="O69" i="18" s="1"/>
  <c r="L36" i="18"/>
  <c r="O36" i="18" s="1"/>
  <c r="L86" i="18"/>
  <c r="O86" i="18" s="1"/>
  <c r="L71" i="18"/>
  <c r="O71" i="18" s="1"/>
  <c r="L88" i="18"/>
  <c r="O88" i="18" s="1"/>
  <c r="L58" i="18"/>
  <c r="O58" i="18" s="1"/>
  <c r="L74" i="18"/>
  <c r="O74" i="18" s="1"/>
  <c r="L90" i="18"/>
  <c r="O90" i="18" s="1"/>
  <c r="L54" i="18"/>
  <c r="O54" i="18" s="1"/>
  <c r="L87" i="18"/>
  <c r="O87" i="18" s="1"/>
  <c r="L59" i="18"/>
  <c r="O59" i="18" s="1"/>
  <c r="L75" i="18"/>
  <c r="O75" i="18" s="1"/>
  <c r="L91" i="18"/>
  <c r="O91" i="18" s="1"/>
  <c r="L60" i="18"/>
  <c r="O60" i="18" s="1"/>
  <c r="L76" i="18"/>
  <c r="O76" i="18" s="1"/>
  <c r="L92" i="18"/>
  <c r="O92" i="18" s="1"/>
  <c r="L61" i="18"/>
  <c r="O61" i="18" s="1"/>
  <c r="L77" i="18"/>
  <c r="O77" i="18" s="1"/>
  <c r="L93" i="18"/>
  <c r="O93" i="18" s="1"/>
  <c r="L62" i="18"/>
  <c r="O62" i="18" s="1"/>
  <c r="L78" i="18"/>
  <c r="O78" i="18" s="1"/>
  <c r="L94" i="18"/>
  <c r="O94" i="18" s="1"/>
  <c r="L72" i="18"/>
  <c r="O72" i="18" s="1"/>
  <c r="L63" i="18"/>
  <c r="O63" i="18" s="1"/>
  <c r="L79" i="18"/>
  <c r="O79" i="18" s="1"/>
  <c r="L95" i="18"/>
  <c r="O95" i="18" s="1"/>
  <c r="L64" i="18"/>
  <c r="O64" i="18" s="1"/>
  <c r="L31" i="18"/>
  <c r="L65" i="18"/>
  <c r="O65" i="18" s="1"/>
  <c r="L97" i="18"/>
  <c r="O97" i="18" s="1"/>
  <c r="L32" i="18"/>
  <c r="L66" i="18"/>
  <c r="O66" i="18" s="1"/>
  <c r="L82" i="18"/>
  <c r="O82" i="18" s="1"/>
  <c r="L98" i="18"/>
  <c r="O98" i="18" s="1"/>
  <c r="AE106" i="13"/>
  <c r="AE105"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L83" i="13" s="1"/>
  <c r="O83" i="13" s="1"/>
  <c r="AE82" i="13"/>
  <c r="AD92" i="13"/>
  <c r="AD91" i="13"/>
  <c r="AD90" i="13"/>
  <c r="AD89" i="13"/>
  <c r="AD88" i="13"/>
  <c r="AD85" i="13"/>
  <c r="AD84" i="13"/>
  <c r="AD83" i="13"/>
  <c r="AD78" i="13"/>
  <c r="AE81" i="13"/>
  <c r="AE80" i="13"/>
  <c r="AE79" i="13"/>
  <c r="AE78" i="13"/>
  <c r="L78" i="13" s="1"/>
  <c r="O78" i="13" s="1"/>
  <c r="AE77" i="13"/>
  <c r="L77" i="13" s="1"/>
  <c r="O77" i="13" s="1"/>
  <c r="AE76" i="13"/>
  <c r="L76" i="13" s="1"/>
  <c r="O76" i="13" s="1"/>
  <c r="AE75" i="13"/>
  <c r="L75" i="13" s="1"/>
  <c r="O75" i="13" s="1"/>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c r="AD57" i="13"/>
  <c r="L57" i="13" s="1"/>
  <c r="O57" i="13" s="1"/>
  <c r="AD56" i="13"/>
  <c r="L56" i="13" s="1"/>
  <c r="O56" i="13" s="1"/>
  <c r="AD55" i="13"/>
  <c r="AD54" i="13"/>
  <c r="AD53" i="13"/>
  <c r="AD52" i="13"/>
  <c r="AD50" i="13"/>
  <c r="L50" i="13" s="1"/>
  <c r="AD49" i="13"/>
  <c r="AE63" i="13"/>
  <c r="AE62" i="13"/>
  <c r="AE61" i="13"/>
  <c r="AE60" i="13"/>
  <c r="AE59" i="13"/>
  <c r="AE58" i="13"/>
  <c r="AE57" i="13"/>
  <c r="AE56" i="13"/>
  <c r="AE55" i="13"/>
  <c r="L55" i="13" s="1"/>
  <c r="O55" i="13" s="1"/>
  <c r="AE54" i="13"/>
  <c r="AE53" i="13"/>
  <c r="L53" i="13" s="1"/>
  <c r="O53" i="13" s="1"/>
  <c r="AE52" i="13"/>
  <c r="L52" i="13" s="1"/>
  <c r="O52" i="13" s="1"/>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L42" i="13" s="1"/>
  <c r="O42" i="13" s="1"/>
  <c r="AE41" i="13"/>
  <c r="AD42" i="13"/>
  <c r="AD41" i="13"/>
  <c r="AD40" i="13"/>
  <c r="AE40" i="13"/>
  <c r="AE39" i="13"/>
  <c r="AD39" i="13"/>
  <c r="AD34" i="13"/>
  <c r="AE36" i="13"/>
  <c r="AE34" i="13"/>
  <c r="AE33" i="13"/>
  <c r="AE32" i="13"/>
  <c r="L32" i="13" s="1"/>
  <c r="O32" i="13" s="1"/>
  <c r="AD33" i="13"/>
  <c r="AD32" i="13"/>
  <c r="AD31" i="13"/>
  <c r="L31" i="13" s="1"/>
  <c r="O31" i="13" s="1"/>
  <c r="AE35" i="13"/>
  <c r="L35" i="13" s="1"/>
  <c r="O35" i="13" s="1"/>
  <c r="AD35" i="13"/>
  <c r="GV49" i="1" l="1"/>
  <c r="L33" i="13"/>
  <c r="O33" i="13" s="1"/>
  <c r="L45" i="13"/>
  <c r="O45" i="13" s="1"/>
  <c r="L79" i="13"/>
  <c r="O79" i="13" s="1"/>
  <c r="L96" i="13"/>
  <c r="O96" i="13" s="1"/>
  <c r="L39" i="13"/>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L70" i="13"/>
  <c r="O70" i="13" s="1"/>
  <c r="L71" i="13"/>
  <c r="O71" i="13" s="1"/>
  <c r="L54" i="13"/>
  <c r="O54" i="13" s="1"/>
  <c r="L72" i="13"/>
  <c r="O72" i="13" s="1"/>
  <c r="GW48" i="1"/>
  <c r="L85" i="13"/>
  <c r="O85" i="13" s="1"/>
  <c r="L86" i="13"/>
  <c r="O86" i="13" s="1"/>
  <c r="L82" i="13"/>
  <c r="O82" i="13" s="1"/>
  <c r="L81" i="13"/>
  <c r="O81" i="13" s="1"/>
  <c r="O7" i="4" l="1"/>
  <c r="E32" i="22" l="1"/>
  <c r="I69" i="22"/>
  <c r="I43" i="24"/>
  <c r="I78" i="1"/>
  <c r="I44" i="20"/>
  <c r="E44" i="20"/>
  <c r="E48" i="22"/>
  <c r="J45" i="19"/>
  <c r="J64" i="19"/>
  <c r="B42" i="20"/>
  <c r="M42" i="20" s="1"/>
  <c r="J58" i="19"/>
  <c r="I95" i="1"/>
  <c r="J52" i="19"/>
  <c r="P2951" i="19"/>
  <c r="E42" i="20"/>
  <c r="J61" i="19"/>
  <c r="J57" i="19"/>
  <c r="I94" i="1"/>
  <c r="J50" i="19"/>
  <c r="B2951" i="19"/>
  <c r="I80" i="19"/>
  <c r="J59" i="19"/>
  <c r="B67" i="1"/>
  <c r="M67" i="1" s="1"/>
  <c r="E67" i="1"/>
  <c r="I20" i="1"/>
  <c r="J75" i="19"/>
  <c r="E45" i="19"/>
  <c r="J62" i="19"/>
  <c r="E72" i="1"/>
  <c r="B72" i="1"/>
  <c r="ES67" i="1"/>
  <c r="J74" i="19"/>
  <c r="I81" i="19"/>
  <c r="J60" i="19"/>
  <c r="I101" i="1"/>
  <c r="J56" i="19"/>
  <c r="J49" i="19"/>
  <c r="K21" i="19"/>
  <c r="E81" i="19"/>
  <c r="E82" i="19"/>
  <c r="E83" i="19"/>
  <c r="E72" i="16"/>
  <c r="E73" i="16"/>
  <c r="E73" i="13"/>
  <c r="E73" i="18"/>
  <c r="E76" i="14"/>
  <c r="E73" i="21"/>
  <c r="E71" i="14"/>
  <c r="E72" i="15"/>
  <c r="E74" i="13"/>
  <c r="A14" i="2"/>
  <c r="E74" i="17"/>
  <c r="E78" i="21"/>
  <c r="A132" i="2"/>
  <c r="E72" i="13"/>
  <c r="E71" i="16"/>
  <c r="E72" i="21"/>
  <c r="E78" i="18"/>
  <c r="A13" i="2"/>
  <c r="E78" i="16"/>
  <c r="A15" i="2"/>
  <c r="A11" i="2"/>
  <c r="E69" i="14"/>
  <c r="E73" i="17"/>
  <c r="E77" i="15"/>
  <c r="A12" i="2"/>
  <c r="E71" i="15"/>
  <c r="E79" i="13"/>
  <c r="E79" i="17"/>
  <c r="A10" i="2"/>
  <c r="E70" i="14"/>
  <c r="H26" i="15"/>
  <c r="H25" i="15"/>
  <c r="H26" i="13"/>
  <c r="H25" i="13"/>
  <c r="H26" i="21"/>
  <c r="H25" i="21"/>
  <c r="H26" i="14"/>
  <c r="H27" i="19"/>
  <c r="N2" i="20"/>
  <c r="H26" i="19"/>
  <c r="H25" i="14"/>
  <c r="H26" i="20"/>
  <c r="H25" i="20"/>
  <c r="H26" i="16"/>
  <c r="K27" i="22"/>
  <c r="B31" i="1"/>
  <c r="H25" i="18"/>
  <c r="H25" i="16"/>
  <c r="K26" i="22"/>
  <c r="H26" i="17"/>
  <c r="H26" i="24"/>
  <c r="H26" i="18"/>
  <c r="N30" i="13"/>
  <c r="H25" i="17"/>
  <c r="H25" i="24"/>
  <c r="B32" i="1"/>
  <c r="N30" i="15"/>
  <c r="N30" i="21"/>
  <c r="N30" i="17"/>
  <c r="N30" i="18"/>
  <c r="N30" i="16"/>
  <c r="N30" i="20"/>
  <c r="N30" i="19"/>
  <c r="N30" i="22"/>
  <c r="N30" i="24"/>
  <c r="N35" i="1"/>
  <c r="N30" i="14"/>
  <c r="O30" i="14"/>
  <c r="M30" i="14"/>
  <c r="E102" i="17"/>
  <c r="B98" i="14"/>
  <c r="B83" i="19"/>
  <c r="B102" i="17"/>
  <c r="M100" i="16"/>
  <c r="M83" i="19"/>
  <c r="M80" i="19"/>
  <c r="B101" i="16"/>
  <c r="M101" i="18"/>
  <c r="M100" i="15"/>
  <c r="E80" i="19"/>
  <c r="E101" i="18"/>
  <c r="E100" i="16"/>
  <c r="M101" i="21"/>
  <c r="B80" i="19"/>
  <c r="B101" i="18"/>
  <c r="M101" i="17"/>
  <c r="B100" i="16"/>
  <c r="E100" i="15"/>
  <c r="E101" i="21"/>
  <c r="B100" i="15"/>
  <c r="M82" i="19"/>
  <c r="E31" i="17"/>
  <c r="B81" i="19"/>
  <c r="E101" i="17"/>
  <c r="B101" i="21"/>
  <c r="B100" i="21"/>
  <c r="M100" i="18"/>
  <c r="B101" i="17"/>
  <c r="M99" i="14"/>
  <c r="B82" i="19"/>
  <c r="M99" i="15"/>
  <c r="E101" i="16"/>
  <c r="E100" i="18"/>
  <c r="E99" i="14"/>
  <c r="E99" i="15"/>
  <c r="B100" i="18"/>
  <c r="B99" i="14"/>
  <c r="M100" i="21"/>
  <c r="B99" i="15"/>
  <c r="M81" i="19"/>
  <c r="M98" i="14"/>
  <c r="M101" i="16"/>
  <c r="E100" i="21"/>
  <c r="M102" i="17"/>
  <c r="E98" i="14"/>
  <c r="M104" i="13"/>
  <c r="B104" i="13"/>
  <c r="M103" i="13"/>
  <c r="B103" i="13"/>
  <c r="E104" i="13"/>
  <c r="E103" i="13"/>
  <c r="E83" i="21"/>
  <c r="E82" i="15"/>
  <c r="E81" i="14"/>
  <c r="E83" i="16"/>
  <c r="E84" i="17"/>
  <c r="E83" i="18"/>
  <c r="FL30" i="22"/>
  <c r="FQ30" i="22"/>
  <c r="FN30" i="22"/>
  <c r="FJ30" i="22"/>
  <c r="FK30" i="22"/>
  <c r="FP30" i="22"/>
  <c r="FM30" i="22"/>
  <c r="FO30" i="22"/>
  <c r="FR30" i="22"/>
  <c r="ES107" i="1"/>
  <c r="ES92" i="1"/>
  <c r="ES76" i="1"/>
  <c r="ES62" i="1"/>
  <c r="ES46" i="1"/>
  <c r="ES86" i="1"/>
  <c r="ES55" i="1"/>
  <c r="ES100" i="1"/>
  <c r="ES114" i="1"/>
  <c r="EV38" i="1"/>
  <c r="ES68" i="1"/>
  <c r="ES52" i="1"/>
  <c r="ES112" i="1"/>
  <c r="ES111" i="1"/>
  <c r="ES36" i="1"/>
  <c r="ES106" i="1"/>
  <c r="ES91" i="1"/>
  <c r="EW75" i="1"/>
  <c r="ES61" i="1"/>
  <c r="ES45" i="1"/>
  <c r="ES57" i="1"/>
  <c r="ES102" i="1"/>
  <c r="ES56" i="1"/>
  <c r="ES40" i="1"/>
  <c r="ES115" i="1"/>
  <c r="ES54" i="1"/>
  <c r="ES113" i="1"/>
  <c r="ER38" i="1"/>
  <c r="ES51" i="1"/>
  <c r="ES96" i="1"/>
  <c r="ES50" i="1"/>
  <c r="V38" i="1"/>
  <c r="ES105" i="1"/>
  <c r="ES90" i="1"/>
  <c r="ES75" i="1"/>
  <c r="ES60" i="1"/>
  <c r="ES44" i="1"/>
  <c r="ES41" i="1"/>
  <c r="ES85" i="1"/>
  <c r="ES39" i="1"/>
  <c r="ES69" i="1"/>
  <c r="ES53" i="1"/>
  <c r="ES81" i="1"/>
  <c r="ES80" i="1"/>
  <c r="ES95" i="1"/>
  <c r="ES94" i="1"/>
  <c r="ES78" i="1"/>
  <c r="ES104" i="1"/>
  <c r="ES89" i="1"/>
  <c r="ES74" i="1"/>
  <c r="ES59" i="1"/>
  <c r="ES43" i="1"/>
  <c r="ES87" i="1"/>
  <c r="EW71" i="1"/>
  <c r="ES71" i="1"/>
  <c r="ES70" i="1"/>
  <c r="ES99" i="1"/>
  <c r="ES98" i="1"/>
  <c r="ES97" i="1"/>
  <c r="ES37" i="1"/>
  <c r="ES110" i="1"/>
  <c r="ES65" i="1"/>
  <c r="ES49" i="1"/>
  <c r="ES103" i="1"/>
  <c r="ES88" i="1"/>
  <c r="EW73" i="1"/>
  <c r="ES58" i="1"/>
  <c r="ES42" i="1"/>
  <c r="ES73" i="1"/>
  <c r="EW40" i="1"/>
  <c r="ES101" i="1"/>
  <c r="ES84" i="1"/>
  <c r="ES83" i="1"/>
  <c r="ES82" i="1"/>
  <c r="ES66" i="1"/>
  <c r="J74" i="1"/>
  <c r="ES79" i="1"/>
  <c r="ES109" i="1"/>
  <c r="ES64" i="1"/>
  <c r="ET48" i="1"/>
  <c r="ES108" i="1"/>
  <c r="ES93" i="1"/>
  <c r="ES77" i="1"/>
  <c r="ES63" i="1"/>
  <c r="ET47" i="1"/>
  <c r="FE100" i="22"/>
  <c r="FE71" i="22"/>
  <c r="FE58" i="22"/>
  <c r="FE42" i="22"/>
  <c r="FE49" i="22"/>
  <c r="FE106" i="22"/>
  <c r="FI63" i="22"/>
  <c r="FE76" i="22"/>
  <c r="FE33" i="22"/>
  <c r="FE89" i="22"/>
  <c r="FE46" i="22"/>
  <c r="FE74" i="22"/>
  <c r="FE45" i="22"/>
  <c r="FE102" i="22"/>
  <c r="FE99" i="22"/>
  <c r="FE70" i="22"/>
  <c r="FE57" i="22"/>
  <c r="FE41" i="22"/>
  <c r="FE78" i="22"/>
  <c r="FE91" i="22"/>
  <c r="FE48" i="22"/>
  <c r="FE98" i="22"/>
  <c r="FE69" i="22"/>
  <c r="FE56" i="22"/>
  <c r="FE40" i="22"/>
  <c r="FE90" i="22"/>
  <c r="FE62" i="22"/>
  <c r="FE61" i="22"/>
  <c r="FE60" i="22"/>
  <c r="FE97" i="22"/>
  <c r="FE68" i="22"/>
  <c r="FE55" i="22"/>
  <c r="FE39" i="22"/>
  <c r="FI64" i="22"/>
  <c r="FE50" i="22"/>
  <c r="FE96" i="22"/>
  <c r="FE88" i="22"/>
  <c r="FE67" i="22"/>
  <c r="FE54" i="22"/>
  <c r="FE38" i="22"/>
  <c r="FE82" i="22"/>
  <c r="FE105" i="22"/>
  <c r="FE47" i="22"/>
  <c r="FE75" i="22"/>
  <c r="FE103" i="22"/>
  <c r="FE31" i="22"/>
  <c r="FE73" i="22"/>
  <c r="FE95" i="22"/>
  <c r="FE87" i="22"/>
  <c r="FI66" i="22"/>
  <c r="FE53" i="22"/>
  <c r="FE37" i="22"/>
  <c r="FE79" i="22"/>
  <c r="FE83" i="22"/>
  <c r="FE94" i="22"/>
  <c r="FE86" i="22"/>
  <c r="FE81" i="22"/>
  <c r="FE66" i="22"/>
  <c r="FE52" i="22"/>
  <c r="FE36" i="22"/>
  <c r="FE84" i="22"/>
  <c r="FE35" i="22"/>
  <c r="FE92" i="22"/>
  <c r="FE64" i="22"/>
  <c r="FE34" i="22"/>
  <c r="FE77" i="22"/>
  <c r="FI33" i="22"/>
  <c r="FE63" i="22"/>
  <c r="FE104" i="22"/>
  <c r="FE32" i="22"/>
  <c r="FE93" i="22"/>
  <c r="FE85" i="22"/>
  <c r="FE80" i="22"/>
  <c r="FE65" i="22"/>
  <c r="FE51" i="22"/>
  <c r="FI35" i="22"/>
  <c r="FE44" i="22"/>
  <c r="FE101" i="22"/>
  <c r="FE72" i="22"/>
  <c r="FE59" i="22"/>
  <c r="FE43" i="22"/>
  <c r="O30" i="19"/>
  <c r="M36" i="13"/>
  <c r="B36" i="13"/>
  <c r="O30" i="24"/>
  <c r="O35" i="1"/>
  <c r="O30" i="22"/>
  <c r="O30" i="20"/>
  <c r="O30" i="17"/>
  <c r="S30" i="18"/>
  <c r="R30" i="18"/>
  <c r="O30" i="18"/>
  <c r="M30" i="20"/>
  <c r="M30" i="24"/>
  <c r="M30" i="16"/>
  <c r="M30" i="17"/>
  <c r="M35" i="1"/>
  <c r="M30" i="21"/>
  <c r="M30" i="22"/>
  <c r="M30" i="19"/>
  <c r="M30" i="15"/>
  <c r="M30" i="18"/>
  <c r="E51" i="15"/>
  <c r="O30" i="16"/>
  <c r="R30" i="21"/>
  <c r="O30" i="21"/>
  <c r="S30" i="14"/>
  <c r="R30" i="14"/>
  <c r="S30" i="21"/>
  <c r="O30" i="15"/>
  <c r="S30" i="15"/>
  <c r="R30" i="15"/>
  <c r="E93" i="14"/>
  <c r="M92" i="13"/>
  <c r="M76" i="13"/>
  <c r="M60" i="13"/>
  <c r="M44" i="13"/>
  <c r="A295" i="23"/>
  <c r="F186" i="23"/>
  <c r="B146" i="23"/>
  <c r="A125" i="23"/>
  <c r="A106" i="23"/>
  <c r="A15" i="23"/>
  <c r="A285" i="2"/>
  <c r="F196" i="2"/>
  <c r="A180" i="2"/>
  <c r="A161" i="2"/>
  <c r="A142" i="2"/>
  <c r="A124" i="2"/>
  <c r="A105" i="2"/>
  <c r="J62" i="20"/>
  <c r="E57" i="20"/>
  <c r="E51" i="20"/>
  <c r="B36" i="20"/>
  <c r="M36" i="20" s="1"/>
  <c r="D30" i="20"/>
  <c r="G18" i="20"/>
  <c r="B10" i="20"/>
  <c r="E114" i="1"/>
  <c r="E108" i="1"/>
  <c r="B102" i="1"/>
  <c r="M102" i="1" s="1"/>
  <c r="E93" i="1"/>
  <c r="B86" i="1"/>
  <c r="M86" i="1" s="1"/>
  <c r="B78" i="1"/>
  <c r="M78" i="1" s="1"/>
  <c r="B71" i="1"/>
  <c r="M71" i="1" s="1"/>
  <c r="B64" i="1"/>
  <c r="M64" i="1" s="1"/>
  <c r="E56" i="1"/>
  <c r="E48" i="1"/>
  <c r="E35" i="1"/>
  <c r="J26" i="1"/>
  <c r="B18" i="1"/>
  <c r="B11" i="1"/>
  <c r="B64" i="24"/>
  <c r="M64" i="24" s="1"/>
  <c r="B58" i="24"/>
  <c r="M58" i="24" s="1"/>
  <c r="I52" i="24"/>
  <c r="E45" i="24"/>
  <c r="E38" i="24"/>
  <c r="E31" i="24"/>
  <c r="B21" i="24"/>
  <c r="I13" i="24"/>
  <c r="N2" i="24"/>
  <c r="J101" i="22"/>
  <c r="B95" i="22"/>
  <c r="M95" i="22" s="1"/>
  <c r="E88" i="22"/>
  <c r="E80" i="22"/>
  <c r="E72" i="22"/>
  <c r="E65" i="22"/>
  <c r="J58" i="22"/>
  <c r="B52" i="22"/>
  <c r="M52" i="22" s="1"/>
  <c r="B44" i="22"/>
  <c r="M44" i="22" s="1"/>
  <c r="B36" i="22"/>
  <c r="M36" i="22" s="1"/>
  <c r="E30" i="22"/>
  <c r="L21" i="22"/>
  <c r="L16" i="22"/>
  <c r="G9" i="22"/>
  <c r="E78" i="19"/>
  <c r="E70" i="19"/>
  <c r="E62" i="19"/>
  <c r="E55" i="19"/>
  <c r="E47" i="19"/>
  <c r="E95" i="21"/>
  <c r="M91" i="13"/>
  <c r="M75" i="13"/>
  <c r="M59" i="13"/>
  <c r="M43" i="13"/>
  <c r="A294" i="23"/>
  <c r="E186" i="23"/>
  <c r="A162" i="23"/>
  <c r="A140" i="23"/>
  <c r="A124" i="23"/>
  <c r="A105" i="23"/>
  <c r="A13" i="23"/>
  <c r="A273" i="2"/>
  <c r="E196" i="2"/>
  <c r="A160" i="2"/>
  <c r="A141" i="2"/>
  <c r="A123" i="2"/>
  <c r="C83" i="2"/>
  <c r="A8" i="2"/>
  <c r="E62" i="20"/>
  <c r="B57" i="20"/>
  <c r="M57" i="20" s="1"/>
  <c r="B51" i="20"/>
  <c r="M51" i="20" s="1"/>
  <c r="B44" i="20"/>
  <c r="M44" i="20" s="1"/>
  <c r="E35" i="20"/>
  <c r="C30" i="20"/>
  <c r="B18" i="20"/>
  <c r="L9" i="20"/>
  <c r="B114" i="1"/>
  <c r="M114" i="1" s="1"/>
  <c r="B108" i="1"/>
  <c r="M108" i="1" s="1"/>
  <c r="E101" i="1"/>
  <c r="B93" i="1"/>
  <c r="M93" i="1" s="1"/>
  <c r="E85" i="1"/>
  <c r="E77" i="1"/>
  <c r="E70" i="1"/>
  <c r="J63" i="1"/>
  <c r="B56" i="1"/>
  <c r="M56" i="1" s="1"/>
  <c r="B48" i="1"/>
  <c r="M48" i="1" s="1"/>
  <c r="I40" i="1"/>
  <c r="D35" i="1"/>
  <c r="G26" i="1"/>
  <c r="I17" i="1"/>
  <c r="B10" i="1"/>
  <c r="E63" i="24"/>
  <c r="E52" i="24"/>
  <c r="B45" i="24"/>
  <c r="M45" i="24" s="1"/>
  <c r="B38" i="24"/>
  <c r="M38" i="24" s="1"/>
  <c r="B31" i="24"/>
  <c r="M31" i="24" s="1"/>
  <c r="B20" i="24"/>
  <c r="G13" i="24"/>
  <c r="N1" i="24"/>
  <c r="E101" i="22"/>
  <c r="E94" i="22"/>
  <c r="B88" i="22"/>
  <c r="M88" i="22" s="1"/>
  <c r="B80" i="22"/>
  <c r="M80" i="22" s="1"/>
  <c r="B72" i="22"/>
  <c r="M72" i="22" s="1"/>
  <c r="B65" i="22"/>
  <c r="M65" i="22" s="1"/>
  <c r="E58" i="22"/>
  <c r="E51" i="22"/>
  <c r="E43" i="22"/>
  <c r="W35" i="22"/>
  <c r="U35" i="22" s="1"/>
  <c r="D30" i="22"/>
  <c r="G21" i="22"/>
  <c r="G16" i="22"/>
  <c r="B9" i="22"/>
  <c r="B78" i="19"/>
  <c r="M78" i="19" s="1"/>
  <c r="B70" i="19"/>
  <c r="M70" i="19" s="1"/>
  <c r="B62" i="19"/>
  <c r="M62" i="19" s="1"/>
  <c r="B55" i="19"/>
  <c r="M55" i="19" s="1"/>
  <c r="B47" i="19"/>
  <c r="M47" i="19" s="1"/>
  <c r="B39" i="19"/>
  <c r="M39" i="19" s="1"/>
  <c r="B31" i="19"/>
  <c r="M31" i="19" s="1"/>
  <c r="G22" i="19"/>
  <c r="K17" i="19"/>
  <c r="G11" i="19"/>
  <c r="C108" i="18"/>
  <c r="E94" i="18"/>
  <c r="E86" i="18"/>
  <c r="E70" i="18"/>
  <c r="E62" i="18"/>
  <c r="I55" i="18"/>
  <c r="E94" i="15"/>
  <c r="M90" i="13"/>
  <c r="M74" i="13"/>
  <c r="M58" i="13"/>
  <c r="M42" i="13"/>
  <c r="A286" i="23"/>
  <c r="D211" i="23"/>
  <c r="G185" i="23"/>
  <c r="A139" i="23"/>
  <c r="A123" i="23"/>
  <c r="A104" i="23"/>
  <c r="A12" i="23"/>
  <c r="A272" i="2"/>
  <c r="G195" i="2"/>
  <c r="A179" i="2"/>
  <c r="E179" i="2" s="1"/>
  <c r="A158" i="2"/>
  <c r="A140" i="2"/>
  <c r="A122" i="2"/>
  <c r="A79" i="2"/>
  <c r="A7" i="2"/>
  <c r="AF37" i="13" s="1"/>
  <c r="B62" i="20"/>
  <c r="M62" i="20" s="1"/>
  <c r="I56" i="20"/>
  <c r="E50" i="20"/>
  <c r="H43" i="20"/>
  <c r="B35" i="20"/>
  <c r="M35" i="20" s="1"/>
  <c r="B30" i="20"/>
  <c r="G17" i="20"/>
  <c r="G9" i="20"/>
  <c r="E113" i="1"/>
  <c r="E107" i="1"/>
  <c r="B101" i="1"/>
  <c r="M101" i="1" s="1"/>
  <c r="E92" i="1"/>
  <c r="B85" i="1"/>
  <c r="M85" i="1" s="1"/>
  <c r="B77" i="1"/>
  <c r="M77" i="1" s="1"/>
  <c r="B70" i="1"/>
  <c r="M70" i="1" s="1"/>
  <c r="E63" i="1"/>
  <c r="E55" i="1"/>
  <c r="E47" i="1"/>
  <c r="E40" i="1"/>
  <c r="C35" i="1"/>
  <c r="J25" i="1"/>
  <c r="G17" i="1"/>
  <c r="L9" i="1"/>
  <c r="B63" i="24"/>
  <c r="M63" i="24" s="1"/>
  <c r="B52" i="24"/>
  <c r="M52" i="24" s="1"/>
  <c r="H44" i="24"/>
  <c r="E37" i="24"/>
  <c r="G19" i="24"/>
  <c r="B13" i="24"/>
  <c r="K118" i="22"/>
  <c r="B101" i="22"/>
  <c r="M101" i="22" s="1"/>
  <c r="B94" i="22"/>
  <c r="M94" i="22" s="1"/>
  <c r="E87" i="22"/>
  <c r="E79" i="22"/>
  <c r="E71" i="22"/>
  <c r="I64" i="22"/>
  <c r="B58" i="22"/>
  <c r="M58" i="22" s="1"/>
  <c r="B51" i="22"/>
  <c r="M51" i="22" s="1"/>
  <c r="B43" i="22"/>
  <c r="M43" i="22" s="1"/>
  <c r="I35" i="22"/>
  <c r="C30" i="22"/>
  <c r="B21" i="22"/>
  <c r="L15" i="22"/>
  <c r="A8" i="22"/>
  <c r="E77" i="19"/>
  <c r="E69" i="19"/>
  <c r="E61" i="19"/>
  <c r="E54" i="19"/>
  <c r="E46" i="19"/>
  <c r="E38" i="19"/>
  <c r="I21" i="19"/>
  <c r="I17" i="19"/>
  <c r="B11" i="19"/>
  <c r="J103" i="18"/>
  <c r="B94" i="18"/>
  <c r="M94" i="18" s="1"/>
  <c r="B86" i="18"/>
  <c r="M86" i="18" s="1"/>
  <c r="B78" i="18"/>
  <c r="M78" i="18" s="1"/>
  <c r="B70" i="18"/>
  <c r="M70" i="18" s="1"/>
  <c r="B62" i="18"/>
  <c r="M62" i="18" s="1"/>
  <c r="E55" i="18"/>
  <c r="E47" i="18"/>
  <c r="E96" i="13"/>
  <c r="M89" i="13"/>
  <c r="M73" i="13"/>
  <c r="M57" i="13"/>
  <c r="M41" i="13"/>
  <c r="A285" i="23"/>
  <c r="D210" i="23"/>
  <c r="F185" i="23"/>
  <c r="A161" i="23"/>
  <c r="B137" i="23"/>
  <c r="A122" i="23"/>
  <c r="A102" i="23"/>
  <c r="A11" i="23"/>
  <c r="A268" i="2"/>
  <c r="F195" i="2"/>
  <c r="A177" i="2"/>
  <c r="A251" i="2" s="1"/>
  <c r="O30" i="13"/>
  <c r="M88" i="13"/>
  <c r="M72" i="13"/>
  <c r="M56" i="13"/>
  <c r="M40" i="13"/>
  <c r="A284" i="23"/>
  <c r="D205" i="23"/>
  <c r="E185" i="23"/>
  <c r="A137" i="23"/>
  <c r="A121" i="23"/>
  <c r="C80" i="23"/>
  <c r="A10" i="23"/>
  <c r="A267" i="2"/>
  <c r="E195" i="2"/>
  <c r="A175" i="2"/>
  <c r="B155" i="2"/>
  <c r="A136" i="2"/>
  <c r="A119" i="2"/>
  <c r="A53" i="2"/>
  <c r="A4" i="2"/>
  <c r="E61" i="20"/>
  <c r="B56" i="20"/>
  <c r="M56" i="20" s="1"/>
  <c r="E49" i="20"/>
  <c r="B43" i="20"/>
  <c r="M43" i="20" s="1"/>
  <c r="B34" i="20"/>
  <c r="M34" i="20" s="1"/>
  <c r="A29" i="20"/>
  <c r="G16" i="20"/>
  <c r="A8" i="20"/>
  <c r="E112" i="1"/>
  <c r="E106" i="1"/>
  <c r="B100" i="1"/>
  <c r="M100" i="1" s="1"/>
  <c r="E91" i="1"/>
  <c r="B84" i="1"/>
  <c r="M84" i="1" s="1"/>
  <c r="B76" i="1"/>
  <c r="M76" i="1" s="1"/>
  <c r="B69" i="1"/>
  <c r="M69" i="1" s="1"/>
  <c r="E62" i="1"/>
  <c r="E46" i="1"/>
  <c r="E39" i="1"/>
  <c r="A35" i="1"/>
  <c r="J24" i="1"/>
  <c r="I16" i="1"/>
  <c r="B9" i="1"/>
  <c r="B62" i="24"/>
  <c r="M62" i="24" s="1"/>
  <c r="B57" i="24"/>
  <c r="M57" i="24" s="1"/>
  <c r="B51" i="24"/>
  <c r="M51" i="24" s="1"/>
  <c r="B44" i="24"/>
  <c r="M44" i="24" s="1"/>
  <c r="E36" i="24"/>
  <c r="E30" i="24"/>
  <c r="J18" i="24"/>
  <c r="J11" i="24"/>
  <c r="C111" i="22"/>
  <c r="E100" i="22"/>
  <c r="E93" i="22"/>
  <c r="E86" i="22"/>
  <c r="E78" i="22"/>
  <c r="E70" i="22"/>
  <c r="B64" i="22"/>
  <c r="M64" i="22" s="1"/>
  <c r="E57" i="22"/>
  <c r="B50" i="22"/>
  <c r="M50" i="22" s="1"/>
  <c r="B42" i="22"/>
  <c r="M42" i="22" s="1"/>
  <c r="B35" i="22"/>
  <c r="M35" i="22" s="1"/>
  <c r="A30" i="22"/>
  <c r="G20" i="22"/>
  <c r="B15" i="22"/>
  <c r="E76" i="19"/>
  <c r="M106" i="13"/>
  <c r="M87" i="13"/>
  <c r="M71" i="13"/>
  <c r="M55" i="13"/>
  <c r="M39" i="13"/>
  <c r="A283" i="23"/>
  <c r="D204" i="23"/>
  <c r="F184" i="23"/>
  <c r="A160" i="23"/>
  <c r="B136" i="23"/>
  <c r="A119" i="23"/>
  <c r="A76" i="23"/>
  <c r="A8" i="23"/>
  <c r="G194" i="2"/>
  <c r="D44" i="20" s="1"/>
  <c r="A174" i="2"/>
  <c r="B154" i="2"/>
  <c r="A135" i="2"/>
  <c r="A118" i="2"/>
  <c r="A29" i="2"/>
  <c r="A3" i="2"/>
  <c r="B61" i="20"/>
  <c r="M61" i="20" s="1"/>
  <c r="J55" i="20"/>
  <c r="B49" i="20"/>
  <c r="M49" i="20" s="1"/>
  <c r="E41" i="20"/>
  <c r="E33" i="20"/>
  <c r="G15" i="20"/>
  <c r="B112" i="1"/>
  <c r="M112" i="1" s="1"/>
  <c r="B106" i="1"/>
  <c r="M106" i="1" s="1"/>
  <c r="E99" i="1"/>
  <c r="B91" i="1"/>
  <c r="M91" i="1" s="1"/>
  <c r="E83" i="1"/>
  <c r="I75" i="1"/>
  <c r="E68" i="1"/>
  <c r="B62" i="1"/>
  <c r="M62" i="1" s="1"/>
  <c r="E53" i="1"/>
  <c r="B46" i="1"/>
  <c r="M46" i="1" s="1"/>
  <c r="B39" i="1"/>
  <c r="M39" i="1" s="1"/>
  <c r="A34" i="1"/>
  <c r="G24" i="1"/>
  <c r="G16" i="1"/>
  <c r="A8" i="1"/>
  <c r="J61" i="24"/>
  <c r="E56" i="24"/>
  <c r="E50" i="24"/>
  <c r="E43" i="24"/>
  <c r="B36" i="24"/>
  <c r="M36" i="24" s="1"/>
  <c r="D30" i="24"/>
  <c r="G18" i="24"/>
  <c r="G11" i="24"/>
  <c r="M105" i="13"/>
  <c r="M86" i="13"/>
  <c r="M70" i="13"/>
  <c r="M54" i="13"/>
  <c r="M38" i="13"/>
  <c r="A282" i="23"/>
  <c r="D203" i="23"/>
  <c r="E184" i="23"/>
  <c r="A136" i="23"/>
  <c r="A118" i="23"/>
  <c r="C50" i="23"/>
  <c r="A7" i="23"/>
  <c r="F194" i="2"/>
  <c r="B153" i="2"/>
  <c r="A134" i="2"/>
  <c r="A117" i="2"/>
  <c r="A28" i="2"/>
  <c r="A2" i="2"/>
  <c r="J60" i="20"/>
  <c r="E55" i="20"/>
  <c r="E48" i="20"/>
  <c r="B41" i="20"/>
  <c r="M41" i="20" s="1"/>
  <c r="B33" i="20"/>
  <c r="M33" i="20" s="1"/>
  <c r="B15" i="20"/>
  <c r="J111" i="1"/>
  <c r="E105" i="1"/>
  <c r="B99" i="1"/>
  <c r="M99" i="1" s="1"/>
  <c r="E90" i="1"/>
  <c r="B83" i="1"/>
  <c r="M83" i="1" s="1"/>
  <c r="E75" i="1"/>
  <c r="B68" i="1"/>
  <c r="M68" i="1" s="1"/>
  <c r="E61" i="1"/>
  <c r="B53" i="1"/>
  <c r="M53" i="1" s="1"/>
  <c r="E45" i="1"/>
  <c r="B24" i="1"/>
  <c r="G15" i="1"/>
  <c r="E61" i="24"/>
  <c r="B56" i="24"/>
  <c r="M56" i="24" s="1"/>
  <c r="B50" i="24"/>
  <c r="M50" i="24" s="1"/>
  <c r="B43" i="24"/>
  <c r="M43" i="24" s="1"/>
  <c r="E35" i="24"/>
  <c r="C30" i="24"/>
  <c r="B18" i="24"/>
  <c r="B11" i="24"/>
  <c r="B106" i="22"/>
  <c r="M106" i="22" s="1"/>
  <c r="J99" i="22"/>
  <c r="B85" i="22"/>
  <c r="M85" i="22" s="1"/>
  <c r="E77" i="22"/>
  <c r="E69" i="22"/>
  <c r="E63" i="22"/>
  <c r="E56" i="22"/>
  <c r="B49" i="22"/>
  <c r="M49" i="22" s="1"/>
  <c r="B41" i="22"/>
  <c r="M41" i="22" s="1"/>
  <c r="B34" i="22"/>
  <c r="M34" i="22" s="1"/>
  <c r="G19" i="22"/>
  <c r="L13" i="22"/>
  <c r="E75" i="19"/>
  <c r="M102" i="13"/>
  <c r="M85" i="13"/>
  <c r="M69" i="13"/>
  <c r="M53" i="13"/>
  <c r="M37" i="13"/>
  <c r="A281" i="23"/>
  <c r="D202" i="23"/>
  <c r="A156" i="23"/>
  <c r="B135" i="23"/>
  <c r="A116" i="23"/>
  <c r="A50" i="23"/>
  <c r="A6" i="23"/>
  <c r="E194" i="2"/>
  <c r="A170" i="2"/>
  <c r="E170" i="2" s="1"/>
  <c r="A151" i="2"/>
  <c r="A133" i="2"/>
  <c r="A116" i="2"/>
  <c r="A27" i="2"/>
  <c r="K77" i="20"/>
  <c r="E60" i="20"/>
  <c r="B55" i="20"/>
  <c r="M55" i="20" s="1"/>
  <c r="B48" i="20"/>
  <c r="M48" i="20" s="1"/>
  <c r="E40" i="20"/>
  <c r="H32" i="20"/>
  <c r="H24" i="20"/>
  <c r="B14" i="20"/>
  <c r="E111" i="1"/>
  <c r="B105" i="1"/>
  <c r="M105" i="1" s="1"/>
  <c r="E98" i="1"/>
  <c r="B90" i="1"/>
  <c r="M90" i="1" s="1"/>
  <c r="E82" i="1"/>
  <c r="B75" i="1"/>
  <c r="M75" i="1" s="1"/>
  <c r="B61" i="1"/>
  <c r="M61" i="1" s="1"/>
  <c r="J52" i="1"/>
  <c r="B45" i="1"/>
  <c r="M45" i="1" s="1"/>
  <c r="I38" i="1"/>
  <c r="A23" i="1"/>
  <c r="B15" i="1"/>
  <c r="B61" i="24"/>
  <c r="M61" i="24" s="1"/>
  <c r="I55" i="24"/>
  <c r="E49" i="24"/>
  <c r="H42" i="24"/>
  <c r="B35" i="24"/>
  <c r="M35" i="24" s="1"/>
  <c r="B30" i="24"/>
  <c r="J17" i="24"/>
  <c r="B10" i="24"/>
  <c r="E105" i="22"/>
  <c r="E99" i="22"/>
  <c r="E84" i="22"/>
  <c r="B77" i="22"/>
  <c r="M77" i="22" s="1"/>
  <c r="B69" i="22"/>
  <c r="M69" i="22" s="1"/>
  <c r="B63" i="22"/>
  <c r="M63" i="22" s="1"/>
  <c r="B56" i="22"/>
  <c r="M56" i="22" s="1"/>
  <c r="E40" i="22"/>
  <c r="W33" i="22"/>
  <c r="U33" i="22" s="1"/>
  <c r="B19" i="22"/>
  <c r="I13" i="22"/>
  <c r="N2" i="22"/>
  <c r="B75" i="19"/>
  <c r="M75" i="19" s="1"/>
  <c r="B67" i="19"/>
  <c r="M67" i="19" s="1"/>
  <c r="B59" i="19"/>
  <c r="M59" i="19" s="1"/>
  <c r="B52" i="19"/>
  <c r="M52" i="19" s="1"/>
  <c r="B44" i="19"/>
  <c r="M44" i="19" s="1"/>
  <c r="B36" i="19"/>
  <c r="M36" i="19" s="1"/>
  <c r="B30" i="19"/>
  <c r="G20" i="19"/>
  <c r="G16" i="19"/>
  <c r="B9" i="19"/>
  <c r="M101" i="13"/>
  <c r="M84" i="13"/>
  <c r="M68" i="13"/>
  <c r="M52" i="13"/>
  <c r="M35" i="13"/>
  <c r="A280" i="23"/>
  <c r="A199" i="23"/>
  <c r="A134" i="23"/>
  <c r="A115" i="23"/>
  <c r="A26" i="23"/>
  <c r="A4" i="23"/>
  <c r="D219" i="2"/>
  <c r="G193" i="2"/>
  <c r="A150" i="2"/>
  <c r="A115" i="2"/>
  <c r="A25" i="2"/>
  <c r="A77" i="20"/>
  <c r="B60" i="20"/>
  <c r="M60" i="20" s="1"/>
  <c r="I54" i="20"/>
  <c r="E47" i="20"/>
  <c r="B40" i="20"/>
  <c r="M40" i="20" s="1"/>
  <c r="E32" i="20"/>
  <c r="B24" i="20"/>
  <c r="L13" i="20"/>
  <c r="B111" i="1"/>
  <c r="M111" i="1" s="1"/>
  <c r="E104" i="1"/>
  <c r="B98" i="1"/>
  <c r="M98" i="1" s="1"/>
  <c r="B82" i="1"/>
  <c r="M82" i="1" s="1"/>
  <c r="E60" i="1"/>
  <c r="E52" i="1"/>
  <c r="E44" i="1"/>
  <c r="E38" i="1"/>
  <c r="B30" i="1"/>
  <c r="B21" i="1"/>
  <c r="B14" i="1"/>
  <c r="J60" i="24"/>
  <c r="E55" i="24"/>
  <c r="B49" i="24"/>
  <c r="M49" i="24" s="1"/>
  <c r="E42" i="24"/>
  <c r="E34" i="24"/>
  <c r="A30" i="24"/>
  <c r="G17" i="24"/>
  <c r="L9" i="24"/>
  <c r="B105" i="22"/>
  <c r="M105" i="22" s="1"/>
  <c r="B99" i="22"/>
  <c r="M99" i="22" s="1"/>
  <c r="E92" i="22"/>
  <c r="B84" i="22"/>
  <c r="M84" i="22" s="1"/>
  <c r="E76" i="22"/>
  <c r="E68" i="22"/>
  <c r="E62" i="22"/>
  <c r="J55" i="22"/>
  <c r="E47" i="22"/>
  <c r="B40" i="22"/>
  <c r="M40" i="22" s="1"/>
  <c r="I33" i="22"/>
  <c r="K25" i="22"/>
  <c r="L18" i="22"/>
  <c r="G13" i="22"/>
  <c r="N1" i="22"/>
  <c r="E74" i="19"/>
  <c r="E66" i="19"/>
  <c r="E58" i="19"/>
  <c r="E51" i="19"/>
  <c r="E43" i="19"/>
  <c r="M100" i="13"/>
  <c r="M83" i="13"/>
  <c r="M67" i="13"/>
  <c r="M51" i="13"/>
  <c r="M34" i="13"/>
  <c r="A278" i="23"/>
  <c r="A198" i="23"/>
  <c r="A155" i="23"/>
  <c r="A133" i="23"/>
  <c r="A114" i="23"/>
  <c r="A25" i="23"/>
  <c r="A3" i="23"/>
  <c r="D218" i="2"/>
  <c r="F193" i="2"/>
  <c r="A169" i="2"/>
  <c r="E169" i="2" s="1"/>
  <c r="A148" i="2"/>
  <c r="A131" i="2"/>
  <c r="A114" i="2"/>
  <c r="A24" i="2"/>
  <c r="C70" i="20"/>
  <c r="J59" i="20"/>
  <c r="E54" i="20"/>
  <c r="B47" i="20"/>
  <c r="M47" i="20" s="1"/>
  <c r="E39" i="20"/>
  <c r="B32" i="20"/>
  <c r="M32" i="20" s="1"/>
  <c r="G23" i="20"/>
  <c r="I13" i="20"/>
  <c r="J110" i="1"/>
  <c r="B104" i="1"/>
  <c r="M104" i="1" s="1"/>
  <c r="E97" i="1"/>
  <c r="E89" i="1"/>
  <c r="E81" i="1"/>
  <c r="E74" i="1"/>
  <c r="J66" i="1"/>
  <c r="B60" i="1"/>
  <c r="M60" i="1" s="1"/>
  <c r="B52" i="1"/>
  <c r="M52" i="1" s="1"/>
  <c r="B44" i="1"/>
  <c r="M44" i="1" s="1"/>
  <c r="B38" i="1"/>
  <c r="M38" i="1" s="1"/>
  <c r="M99" i="13"/>
  <c r="M82" i="13"/>
  <c r="M66" i="13"/>
  <c r="M50" i="13"/>
  <c r="M33" i="13"/>
  <c r="A277" i="23"/>
  <c r="F188" i="23"/>
  <c r="A172" i="23"/>
  <c r="A153" i="23"/>
  <c r="A132" i="23"/>
  <c r="A113" i="23"/>
  <c r="A24" i="23"/>
  <c r="A2" i="23"/>
  <c r="D213" i="2"/>
  <c r="E193" i="2"/>
  <c r="A147" i="2"/>
  <c r="A130" i="2"/>
  <c r="A113" i="2"/>
  <c r="A22" i="2"/>
  <c r="E65" i="20"/>
  <c r="E59" i="20"/>
  <c r="B54" i="20"/>
  <c r="M54" i="20" s="1"/>
  <c r="H46" i="20"/>
  <c r="B39" i="20"/>
  <c r="M39" i="20" s="1"/>
  <c r="H31" i="20"/>
  <c r="A23" i="20"/>
  <c r="G13" i="20"/>
  <c r="N1" i="20"/>
  <c r="E110" i="1"/>
  <c r="J103" i="1"/>
  <c r="B97" i="1"/>
  <c r="M97" i="1" s="1"/>
  <c r="B89" i="1"/>
  <c r="M89" i="1" s="1"/>
  <c r="B81" i="1"/>
  <c r="M81" i="1" s="1"/>
  <c r="B74" i="1"/>
  <c r="M74" i="1" s="1"/>
  <c r="E66" i="1"/>
  <c r="E59" i="1"/>
  <c r="E51" i="1"/>
  <c r="E43" i="1"/>
  <c r="G29" i="1"/>
  <c r="B20" i="1"/>
  <c r="I13" i="1"/>
  <c r="N2" i="1"/>
  <c r="B60" i="24"/>
  <c r="M60" i="24" s="1"/>
  <c r="J54" i="24"/>
  <c r="B48" i="24"/>
  <c r="M48" i="24" s="1"/>
  <c r="E41" i="24"/>
  <c r="E33" i="24"/>
  <c r="J16" i="24"/>
  <c r="B9" i="24"/>
  <c r="B104" i="22"/>
  <c r="M104" i="22" s="1"/>
  <c r="B98" i="22"/>
  <c r="M98" i="22" s="1"/>
  <c r="E91" i="22"/>
  <c r="B83" i="22"/>
  <c r="M83" i="22" s="1"/>
  <c r="E75" i="22"/>
  <c r="E67" i="22"/>
  <c r="E61" i="22"/>
  <c r="B55" i="22"/>
  <c r="M55" i="22" s="1"/>
  <c r="J46" i="22"/>
  <c r="B39" i="22"/>
  <c r="M39" i="22" s="1"/>
  <c r="B33" i="22"/>
  <c r="M33" i="22" s="1"/>
  <c r="K24" i="22"/>
  <c r="B18" i="22"/>
  <c r="L11" i="22"/>
  <c r="A96" i="19"/>
  <c r="E73" i="19"/>
  <c r="E65" i="19"/>
  <c r="E57" i="19"/>
  <c r="E50" i="19"/>
  <c r="E42" i="19"/>
  <c r="E34" i="19"/>
  <c r="I19" i="19"/>
  <c r="B14" i="19"/>
  <c r="E98" i="18"/>
  <c r="B90" i="18"/>
  <c r="M90" i="18" s="1"/>
  <c r="B82" i="18"/>
  <c r="M82" i="18" s="1"/>
  <c r="B74" i="18"/>
  <c r="M74" i="18" s="1"/>
  <c r="B66" i="18"/>
  <c r="M66" i="18" s="1"/>
  <c r="B58" i="18"/>
  <c r="M58" i="18" s="1"/>
  <c r="E51" i="18"/>
  <c r="E43" i="18"/>
  <c r="M98" i="13"/>
  <c r="M81" i="13"/>
  <c r="M65" i="13"/>
  <c r="M49" i="13"/>
  <c r="M32" i="13"/>
  <c r="A265" i="23"/>
  <c r="E188" i="23"/>
  <c r="A152" i="23"/>
  <c r="A130" i="23"/>
  <c r="A112" i="23"/>
  <c r="A22" i="23"/>
  <c r="A294" i="2"/>
  <c r="D212" i="2"/>
  <c r="F192" i="2"/>
  <c r="A168" i="2"/>
  <c r="E168" i="2" s="1"/>
  <c r="B145" i="2"/>
  <c r="A129" i="2"/>
  <c r="A111" i="2"/>
  <c r="A21" i="2"/>
  <c r="B65" i="20"/>
  <c r="M65" i="20" s="1"/>
  <c r="B59" i="20"/>
  <c r="M59" i="20" s="1"/>
  <c r="I53" i="20"/>
  <c r="E46" i="20"/>
  <c r="E38" i="20"/>
  <c r="E31" i="20"/>
  <c r="B21" i="20"/>
  <c r="B13" i="20"/>
  <c r="K127" i="1"/>
  <c r="B110" i="1"/>
  <c r="M110" i="1" s="1"/>
  <c r="E103" i="1"/>
  <c r="E96" i="1"/>
  <c r="E88" i="1"/>
  <c r="E80" i="1"/>
  <c r="I73" i="1"/>
  <c r="B66" i="1"/>
  <c r="M66" i="1" s="1"/>
  <c r="B59" i="1"/>
  <c r="M59" i="1" s="1"/>
  <c r="B51" i="1"/>
  <c r="M51" i="1" s="1"/>
  <c r="B43" i="1"/>
  <c r="M43" i="1" s="1"/>
  <c r="B37" i="1"/>
  <c r="M37" i="1" s="1"/>
  <c r="A29" i="1"/>
  <c r="I19" i="1"/>
  <c r="G13" i="1"/>
  <c r="N1" i="1"/>
  <c r="J59" i="24"/>
  <c r="E54" i="24"/>
  <c r="M97" i="13"/>
  <c r="M80" i="13"/>
  <c r="M64" i="13"/>
  <c r="M48" i="13"/>
  <c r="M31" i="13"/>
  <c r="A264" i="23"/>
  <c r="G187" i="23"/>
  <c r="A171" i="23"/>
  <c r="A150" i="23"/>
  <c r="A129" i="23"/>
  <c r="A111" i="23"/>
  <c r="A21" i="23"/>
  <c r="A293" i="2"/>
  <c r="D211" i="2"/>
  <c r="E192" i="2"/>
  <c r="A145" i="2"/>
  <c r="A128" i="2"/>
  <c r="A19" i="2"/>
  <c r="E64" i="20"/>
  <c r="E53" i="20"/>
  <c r="B46" i="20"/>
  <c r="M46" i="20" s="1"/>
  <c r="B38" i="20"/>
  <c r="M38" i="20" s="1"/>
  <c r="B31" i="20"/>
  <c r="M31" i="20" s="1"/>
  <c r="G20" i="20"/>
  <c r="L11" i="20"/>
  <c r="A127" i="1"/>
  <c r="J109" i="1"/>
  <c r="B103" i="1"/>
  <c r="M103" i="1" s="1"/>
  <c r="B96" i="1"/>
  <c r="M96" i="1" s="1"/>
  <c r="B88" i="1"/>
  <c r="M88" i="1" s="1"/>
  <c r="B80" i="1"/>
  <c r="M80" i="1" s="1"/>
  <c r="E73" i="1"/>
  <c r="J65" i="1"/>
  <c r="E58" i="1"/>
  <c r="E50" i="1"/>
  <c r="E42" i="1"/>
  <c r="E36" i="1"/>
  <c r="J28" i="1"/>
  <c r="G19" i="1"/>
  <c r="B13" i="1"/>
  <c r="K76" i="24"/>
  <c r="E59" i="24"/>
  <c r="B54" i="24"/>
  <c r="M54" i="24" s="1"/>
  <c r="B47" i="24"/>
  <c r="M47" i="24" s="1"/>
  <c r="E40" i="24"/>
  <c r="H32" i="24"/>
  <c r="H24" i="24"/>
  <c r="G15" i="24"/>
  <c r="B103" i="22"/>
  <c r="M103" i="22" s="1"/>
  <c r="B97" i="22"/>
  <c r="M97" i="22" s="1"/>
  <c r="E90" i="22"/>
  <c r="B82" i="22"/>
  <c r="M82" i="22" s="1"/>
  <c r="E74" i="22"/>
  <c r="I66" i="22"/>
  <c r="E60" i="22"/>
  <c r="B54" i="22"/>
  <c r="M54" i="22" s="1"/>
  <c r="B46" i="22"/>
  <c r="M46" i="22" s="1"/>
  <c r="B38" i="22"/>
  <c r="M38" i="22" s="1"/>
  <c r="E31" i="22"/>
  <c r="M22" i="22"/>
  <c r="L17" i="22"/>
  <c r="G11" i="22"/>
  <c r="E84" i="19"/>
  <c r="E72" i="19"/>
  <c r="E64" i="19"/>
  <c r="E56" i="19"/>
  <c r="E49" i="19"/>
  <c r="E41" i="19"/>
  <c r="E33" i="19"/>
  <c r="H25" i="19"/>
  <c r="B19" i="19"/>
  <c r="I13" i="19"/>
  <c r="E97" i="18"/>
  <c r="B89" i="18"/>
  <c r="M89" i="18" s="1"/>
  <c r="B81" i="18"/>
  <c r="M81" i="18" s="1"/>
  <c r="B73" i="18"/>
  <c r="M73" i="18" s="1"/>
  <c r="B65" i="18"/>
  <c r="M65" i="18" s="1"/>
  <c r="E57" i="18"/>
  <c r="E50" i="18"/>
  <c r="E95" i="18"/>
  <c r="M95" i="13"/>
  <c r="M79" i="13"/>
  <c r="M63" i="13"/>
  <c r="M47" i="13"/>
  <c r="M30" i="13"/>
  <c r="A260" i="23"/>
  <c r="F187" i="23"/>
  <c r="A169" i="23"/>
  <c r="A240" i="23" s="1"/>
  <c r="A149" i="23"/>
  <c r="A128" i="23"/>
  <c r="A110" i="23"/>
  <c r="A19" i="23"/>
  <c r="A289" i="2"/>
  <c r="D210" i="2"/>
  <c r="A164" i="2"/>
  <c r="M61" i="13"/>
  <c r="A126" i="2"/>
  <c r="E58" i="20"/>
  <c r="L30" i="20"/>
  <c r="B109" i="1"/>
  <c r="M109" i="1" s="1"/>
  <c r="E79" i="1"/>
  <c r="B50" i="1"/>
  <c r="M50" i="1" s="1"/>
  <c r="G25" i="1"/>
  <c r="E60" i="24"/>
  <c r="B42" i="24"/>
  <c r="M42" i="24" s="1"/>
  <c r="A23" i="24"/>
  <c r="E103" i="22"/>
  <c r="E89" i="22"/>
  <c r="B71" i="22"/>
  <c r="M71" i="22" s="1"/>
  <c r="E55" i="22"/>
  <c r="E37" i="22"/>
  <c r="M21" i="22"/>
  <c r="E67" i="19"/>
  <c r="E53" i="19"/>
  <c r="B40" i="19"/>
  <c r="M40" i="19" s="1"/>
  <c r="C30" i="19"/>
  <c r="I18" i="19"/>
  <c r="J9" i="19"/>
  <c r="B98" i="18"/>
  <c r="M98" i="18" s="1"/>
  <c r="B87" i="18"/>
  <c r="M87" i="18" s="1"/>
  <c r="B76" i="18"/>
  <c r="M76" i="18" s="1"/>
  <c r="E65" i="18"/>
  <c r="B56" i="18"/>
  <c r="M56" i="18" s="1"/>
  <c r="B46" i="18"/>
  <c r="M46" i="18" s="1"/>
  <c r="E37" i="18"/>
  <c r="E30" i="18"/>
  <c r="J19" i="18"/>
  <c r="G13" i="18"/>
  <c r="N1" i="18"/>
  <c r="E97" i="17"/>
  <c r="B89" i="17"/>
  <c r="M89" i="17" s="1"/>
  <c r="B81" i="17"/>
  <c r="M81" i="17" s="1"/>
  <c r="B73" i="17"/>
  <c r="M73" i="17" s="1"/>
  <c r="B65" i="17"/>
  <c r="M65" i="17" s="1"/>
  <c r="I57" i="17"/>
  <c r="E50" i="17"/>
  <c r="E42" i="17"/>
  <c r="E34" i="17"/>
  <c r="A29" i="17"/>
  <c r="B18" i="17"/>
  <c r="B11" i="17"/>
  <c r="J103" i="16"/>
  <c r="B94" i="16"/>
  <c r="M94" i="16" s="1"/>
  <c r="B86" i="16"/>
  <c r="M86" i="16" s="1"/>
  <c r="B78" i="16"/>
  <c r="M78" i="16" s="1"/>
  <c r="B70" i="16"/>
  <c r="M70" i="16" s="1"/>
  <c r="B62" i="16"/>
  <c r="M62" i="16" s="1"/>
  <c r="E55" i="16"/>
  <c r="E47" i="16"/>
  <c r="E39" i="16"/>
  <c r="E31" i="16"/>
  <c r="G21" i="16"/>
  <c r="B15" i="16"/>
  <c r="B97" i="14"/>
  <c r="M97" i="14" s="1"/>
  <c r="E88" i="14"/>
  <c r="E80" i="14"/>
  <c r="E72" i="14"/>
  <c r="E64" i="14"/>
  <c r="E56" i="14"/>
  <c r="B50" i="14"/>
  <c r="M50" i="14" s="1"/>
  <c r="B42" i="14"/>
  <c r="M42" i="14" s="1"/>
  <c r="B34" i="14"/>
  <c r="M34" i="14" s="1"/>
  <c r="G17" i="14"/>
  <c r="L9" i="14"/>
  <c r="E103" i="21"/>
  <c r="B93" i="21"/>
  <c r="M93" i="21" s="1"/>
  <c r="M46" i="13"/>
  <c r="A125" i="2"/>
  <c r="B58" i="20"/>
  <c r="M58" i="20" s="1"/>
  <c r="E30" i="20"/>
  <c r="J108" i="1"/>
  <c r="B79" i="1"/>
  <c r="M79" i="1" s="1"/>
  <c r="E49" i="1"/>
  <c r="G20" i="1"/>
  <c r="B59" i="24"/>
  <c r="M59" i="24" s="1"/>
  <c r="B41" i="24"/>
  <c r="M41" i="24" s="1"/>
  <c r="B19" i="24"/>
  <c r="J102" i="22"/>
  <c r="B89" i="22"/>
  <c r="M89" i="22" s="1"/>
  <c r="B70" i="22"/>
  <c r="M70" i="22" s="1"/>
  <c r="E54" i="22"/>
  <c r="B37" i="22"/>
  <c r="M37" i="22" s="1"/>
  <c r="L20" i="22"/>
  <c r="K96" i="19"/>
  <c r="B66" i="19"/>
  <c r="M66" i="19" s="1"/>
  <c r="B53" i="19"/>
  <c r="M53" i="19" s="1"/>
  <c r="E39" i="19"/>
  <c r="A30" i="19"/>
  <c r="G18" i="19"/>
  <c r="G9" i="19"/>
  <c r="B97" i="18"/>
  <c r="M97" i="18" s="1"/>
  <c r="E85" i="18"/>
  <c r="E75" i="18"/>
  <c r="E64" i="18"/>
  <c r="B55" i="18"/>
  <c r="M55" i="18" s="1"/>
  <c r="E45" i="18"/>
  <c r="B37" i="18"/>
  <c r="M37" i="18" s="1"/>
  <c r="D30" i="18"/>
  <c r="G19" i="18"/>
  <c r="B13" i="18"/>
  <c r="K116" i="17"/>
  <c r="B97" i="17"/>
  <c r="M97" i="17" s="1"/>
  <c r="E88" i="17"/>
  <c r="E80" i="17"/>
  <c r="E72" i="17"/>
  <c r="E64" i="17"/>
  <c r="E57" i="17"/>
  <c r="B50" i="17"/>
  <c r="M50" i="17" s="1"/>
  <c r="B42" i="17"/>
  <c r="M42" i="17" s="1"/>
  <c r="B34" i="17"/>
  <c r="M34" i="17" s="1"/>
  <c r="J17" i="17"/>
  <c r="B10" i="17"/>
  <c r="H103" i="16"/>
  <c r="E93" i="16"/>
  <c r="E85" i="16"/>
  <c r="E77" i="16"/>
  <c r="E69" i="16"/>
  <c r="E61" i="16"/>
  <c r="B55" i="16"/>
  <c r="M55" i="16" s="1"/>
  <c r="B47" i="16"/>
  <c r="M47" i="16" s="1"/>
  <c r="B39" i="16"/>
  <c r="M39" i="16" s="1"/>
  <c r="B31" i="16"/>
  <c r="M31" i="16" s="1"/>
  <c r="B21" i="16"/>
  <c r="B14" i="16"/>
  <c r="E96" i="14"/>
  <c r="B88" i="14"/>
  <c r="M88" i="14" s="1"/>
  <c r="B80" i="14"/>
  <c r="M80" i="14" s="1"/>
  <c r="B72" i="14"/>
  <c r="M72" i="14" s="1"/>
  <c r="B64" i="14"/>
  <c r="M64" i="14" s="1"/>
  <c r="B56" i="14"/>
  <c r="M56" i="14" s="1"/>
  <c r="E49" i="14"/>
  <c r="E41" i="14"/>
  <c r="E33" i="14"/>
  <c r="H24" i="14"/>
  <c r="A17" i="14"/>
  <c r="J9" i="14"/>
  <c r="B103" i="21"/>
  <c r="M103" i="21" s="1"/>
  <c r="E92" i="21"/>
  <c r="E84" i="21"/>
  <c r="E76" i="21"/>
  <c r="E68" i="21"/>
  <c r="E60" i="21"/>
  <c r="B54" i="21"/>
  <c r="M54" i="21" s="1"/>
  <c r="B46" i="21"/>
  <c r="M46" i="21" s="1"/>
  <c r="B38" i="21"/>
  <c r="M38" i="21" s="1"/>
  <c r="M45" i="13"/>
  <c r="A121" i="2"/>
  <c r="E56" i="20"/>
  <c r="A30" i="20"/>
  <c r="B107" i="1"/>
  <c r="M107" i="1" s="1"/>
  <c r="E78" i="1"/>
  <c r="B49" i="1"/>
  <c r="M49" i="1" s="1"/>
  <c r="B19" i="1"/>
  <c r="J58" i="24"/>
  <c r="B40" i="24"/>
  <c r="M40" i="24" s="1"/>
  <c r="A17" i="24"/>
  <c r="E102" i="22"/>
  <c r="B87" i="22"/>
  <c r="M87" i="22" s="1"/>
  <c r="B68" i="22"/>
  <c r="M68" i="22" s="1"/>
  <c r="E53" i="22"/>
  <c r="E36" i="22"/>
  <c r="B20" i="22"/>
  <c r="C89" i="19"/>
  <c r="B65" i="19"/>
  <c r="M65" i="19" s="1"/>
  <c r="E52" i="19"/>
  <c r="B38" i="19"/>
  <c r="M38" i="19" s="1"/>
  <c r="A29" i="19"/>
  <c r="B18" i="19"/>
  <c r="A8" i="19"/>
  <c r="E96" i="18"/>
  <c r="B85" i="18"/>
  <c r="M85" i="18" s="1"/>
  <c r="B75" i="18"/>
  <c r="M75" i="18" s="1"/>
  <c r="B64" i="18"/>
  <c r="M64" i="18" s="1"/>
  <c r="E54" i="18"/>
  <c r="B45" i="18"/>
  <c r="M45" i="18" s="1"/>
  <c r="E36" i="18"/>
  <c r="C30" i="18"/>
  <c r="B19" i="18"/>
  <c r="L11" i="18"/>
  <c r="A116" i="17"/>
  <c r="B96" i="17"/>
  <c r="M96" i="17" s="1"/>
  <c r="B88" i="17"/>
  <c r="M88" i="17" s="1"/>
  <c r="B80" i="17"/>
  <c r="M80" i="17" s="1"/>
  <c r="B72" i="17"/>
  <c r="M72" i="17" s="1"/>
  <c r="B64" i="17"/>
  <c r="M64" i="17" s="1"/>
  <c r="B57" i="17"/>
  <c r="M57" i="17" s="1"/>
  <c r="E49" i="17"/>
  <c r="E41" i="17"/>
  <c r="E33" i="17"/>
  <c r="G17" i="17"/>
  <c r="L9" i="17"/>
  <c r="E103" i="16"/>
  <c r="B93" i="16"/>
  <c r="M93" i="16" s="1"/>
  <c r="B85" i="16"/>
  <c r="M85" i="16" s="1"/>
  <c r="B77" i="16"/>
  <c r="M77" i="16" s="1"/>
  <c r="B69" i="16"/>
  <c r="M69" i="16" s="1"/>
  <c r="B61" i="16"/>
  <c r="M61" i="16" s="1"/>
  <c r="E54" i="16"/>
  <c r="E46" i="16"/>
  <c r="E38" i="16"/>
  <c r="G20" i="16"/>
  <c r="L13" i="16"/>
  <c r="B96" i="14"/>
  <c r="M96" i="14" s="1"/>
  <c r="E87" i="14"/>
  <c r="E79" i="14"/>
  <c r="E63" i="14"/>
  <c r="I55" i="14"/>
  <c r="B49" i="14"/>
  <c r="M49" i="14" s="1"/>
  <c r="B41" i="14"/>
  <c r="M41" i="14" s="1"/>
  <c r="B33" i="14"/>
  <c r="M33" i="14" s="1"/>
  <c r="B24" i="14"/>
  <c r="J16" i="14"/>
  <c r="G9" i="14"/>
  <c r="E102" i="21"/>
  <c r="B92" i="21"/>
  <c r="M92" i="21" s="1"/>
  <c r="A259" i="23"/>
  <c r="B147" i="23"/>
  <c r="A107" i="2"/>
  <c r="B52" i="20"/>
  <c r="M52" i="20" s="1"/>
  <c r="B19" i="20"/>
  <c r="E102" i="1"/>
  <c r="I71" i="1"/>
  <c r="E41" i="1"/>
  <c r="A17" i="1"/>
  <c r="B55" i="24"/>
  <c r="M55" i="24" s="1"/>
  <c r="B37" i="24"/>
  <c r="M37" i="24" s="1"/>
  <c r="B14" i="24"/>
  <c r="B100" i="22"/>
  <c r="M100" i="22" s="1"/>
  <c r="E82" i="22"/>
  <c r="B66" i="22"/>
  <c r="M66" i="22" s="1"/>
  <c r="E50" i="22"/>
  <c r="E33" i="22"/>
  <c r="G17" i="22"/>
  <c r="B79" i="19"/>
  <c r="M79" i="19" s="1"/>
  <c r="B63" i="19"/>
  <c r="M63" i="19" s="1"/>
  <c r="B49" i="19"/>
  <c r="M49" i="19" s="1"/>
  <c r="E36" i="19"/>
  <c r="G24" i="19"/>
  <c r="K16" i="19"/>
  <c r="N2" i="19"/>
  <c r="E93" i="18"/>
  <c r="E72" i="18"/>
  <c r="E61" i="18"/>
  <c r="B53" i="18"/>
  <c r="M53" i="18" s="1"/>
  <c r="B43" i="18"/>
  <c r="M43" i="18" s="1"/>
  <c r="B35" i="18"/>
  <c r="M35" i="18" s="1"/>
  <c r="A29" i="18"/>
  <c r="B18" i="18"/>
  <c r="B11" i="18"/>
  <c r="H104" i="17"/>
  <c r="E94" i="17"/>
  <c r="E86" i="17"/>
  <c r="E78" i="17"/>
  <c r="E70" i="17"/>
  <c r="E62" i="17"/>
  <c r="B56" i="17"/>
  <c r="M56" i="17" s="1"/>
  <c r="B48" i="17"/>
  <c r="M48" i="17" s="1"/>
  <c r="B40" i="17"/>
  <c r="M40" i="17" s="1"/>
  <c r="B32" i="17"/>
  <c r="M32" i="17" s="1"/>
  <c r="G23" i="17"/>
  <c r="G16" i="17"/>
  <c r="B9" i="17"/>
  <c r="B102" i="16"/>
  <c r="M102" i="16" s="1"/>
  <c r="E91" i="16"/>
  <c r="E75" i="16"/>
  <c r="E67" i="16"/>
  <c r="E59" i="16"/>
  <c r="B53" i="16"/>
  <c r="M53" i="16" s="1"/>
  <c r="B45" i="16"/>
  <c r="M45" i="16" s="1"/>
  <c r="B37" i="16"/>
  <c r="M37" i="16" s="1"/>
  <c r="D30" i="16"/>
  <c r="G19" i="16"/>
  <c r="B13" i="16"/>
  <c r="N1" i="16"/>
  <c r="E94" i="14"/>
  <c r="B86" i="14"/>
  <c r="M86" i="14" s="1"/>
  <c r="B78" i="14"/>
  <c r="M78" i="14" s="1"/>
  <c r="B70" i="14"/>
  <c r="M70" i="14" s="1"/>
  <c r="B62" i="14"/>
  <c r="M62" i="14" s="1"/>
  <c r="A127" i="23"/>
  <c r="C53" i="2"/>
  <c r="B50" i="20"/>
  <c r="M50" i="20" s="1"/>
  <c r="A17" i="20"/>
  <c r="E100" i="1"/>
  <c r="E71" i="1"/>
  <c r="B41" i="1"/>
  <c r="M41" i="1" s="1"/>
  <c r="L13" i="1"/>
  <c r="I53" i="24"/>
  <c r="B34" i="24"/>
  <c r="M34" i="24" s="1"/>
  <c r="L13" i="24"/>
  <c r="E98" i="22"/>
  <c r="E81" i="22"/>
  <c r="J65" i="22"/>
  <c r="E49" i="22"/>
  <c r="A17" i="22"/>
  <c r="B77" i="19"/>
  <c r="M77" i="19" s="1"/>
  <c r="B61" i="19"/>
  <c r="M61" i="19" s="1"/>
  <c r="E48" i="19"/>
  <c r="E35" i="19"/>
  <c r="A24" i="19"/>
  <c r="I16" i="19"/>
  <c r="N1" i="19"/>
  <c r="B93" i="18"/>
  <c r="M93" i="18" s="1"/>
  <c r="B83" i="18"/>
  <c r="M83" i="18" s="1"/>
  <c r="B72" i="18"/>
  <c r="M72" i="18" s="1"/>
  <c r="B61" i="18"/>
  <c r="M61" i="18" s="1"/>
  <c r="E52" i="18"/>
  <c r="E42" i="18"/>
  <c r="E34" i="18"/>
  <c r="J17" i="18"/>
  <c r="B10" i="18"/>
  <c r="E104" i="17"/>
  <c r="B94" i="17"/>
  <c r="M94" i="17" s="1"/>
  <c r="B86" i="17"/>
  <c r="M86" i="17" s="1"/>
  <c r="B78" i="17"/>
  <c r="M78" i="17" s="1"/>
  <c r="B70" i="17"/>
  <c r="M70" i="17" s="1"/>
  <c r="B62" i="17"/>
  <c r="M62" i="17" s="1"/>
  <c r="E55" i="17"/>
  <c r="E47" i="17"/>
  <c r="E39" i="17"/>
  <c r="A23" i="17"/>
  <c r="G15" i="17"/>
  <c r="A8" i="17"/>
  <c r="E99" i="16"/>
  <c r="B91" i="16"/>
  <c r="M91" i="16" s="1"/>
  <c r="B83" i="16"/>
  <c r="M83" i="16" s="1"/>
  <c r="B75" i="16"/>
  <c r="M75" i="16" s="1"/>
  <c r="B67" i="16"/>
  <c r="M67" i="16" s="1"/>
  <c r="B59" i="16"/>
  <c r="M59" i="16" s="1"/>
  <c r="E52" i="16"/>
  <c r="E44" i="16"/>
  <c r="E36" i="16"/>
  <c r="C30" i="16"/>
  <c r="B19" i="16"/>
  <c r="L11" i="16"/>
  <c r="K113" i="14"/>
  <c r="B94" i="14"/>
  <c r="M94" i="14" s="1"/>
  <c r="E85" i="14"/>
  <c r="E77" i="14"/>
  <c r="E61" i="14"/>
  <c r="E187" i="23"/>
  <c r="A126" i="23"/>
  <c r="A18" i="2"/>
  <c r="H45" i="20"/>
  <c r="J11" i="20"/>
  <c r="E95" i="1"/>
  <c r="E69" i="1"/>
  <c r="B40" i="1"/>
  <c r="M40" i="1" s="1"/>
  <c r="L11" i="1"/>
  <c r="E53" i="24"/>
  <c r="B33" i="24"/>
  <c r="M33" i="24" s="1"/>
  <c r="L11" i="24"/>
  <c r="E97" i="22"/>
  <c r="B81" i="22"/>
  <c r="M81" i="22" s="1"/>
  <c r="E64" i="22"/>
  <c r="B47" i="22"/>
  <c r="M47" i="22" s="1"/>
  <c r="B31" i="22"/>
  <c r="M31" i="22" s="1"/>
  <c r="M16" i="22"/>
  <c r="B76" i="19"/>
  <c r="M76" i="19" s="1"/>
  <c r="E60" i="19"/>
  <c r="B48" i="19"/>
  <c r="M48" i="19" s="1"/>
  <c r="B35" i="19"/>
  <c r="M35" i="19" s="1"/>
  <c r="I22" i="19"/>
  <c r="G15" i="19"/>
  <c r="K115" i="18"/>
  <c r="E92" i="18"/>
  <c r="E82" i="18"/>
  <c r="E71" i="18"/>
  <c r="E60" i="18"/>
  <c r="B52" i="18"/>
  <c r="M52" i="18" s="1"/>
  <c r="B42" i="18"/>
  <c r="M42" i="18" s="1"/>
  <c r="B34" i="18"/>
  <c r="M34" i="18" s="1"/>
  <c r="G17" i="18"/>
  <c r="L9" i="18"/>
  <c r="B104" i="17"/>
  <c r="M104" i="17" s="1"/>
  <c r="E93" i="17"/>
  <c r="E85" i="17"/>
  <c r="E77" i="17"/>
  <c r="E69" i="17"/>
  <c r="E61" i="17"/>
  <c r="B55" i="17"/>
  <c r="M55" i="17" s="1"/>
  <c r="B47" i="17"/>
  <c r="M47" i="17" s="1"/>
  <c r="B39" i="17"/>
  <c r="M39" i="17" s="1"/>
  <c r="G21" i="17"/>
  <c r="B15" i="17"/>
  <c r="B99" i="16"/>
  <c r="M99" i="16" s="1"/>
  <c r="E90" i="16"/>
  <c r="E82" i="16"/>
  <c r="E74" i="16"/>
  <c r="E66" i="16"/>
  <c r="E58" i="16"/>
  <c r="B52" i="16"/>
  <c r="M52" i="16" s="1"/>
  <c r="B44" i="16"/>
  <c r="M44" i="16" s="1"/>
  <c r="B36" i="16"/>
  <c r="M36" i="16" s="1"/>
  <c r="B30" i="16"/>
  <c r="J18" i="16"/>
  <c r="J11" i="16"/>
  <c r="A113" i="14"/>
  <c r="B93" i="14"/>
  <c r="M93" i="14" s="1"/>
  <c r="B85" i="14"/>
  <c r="M85" i="14" s="1"/>
  <c r="B77" i="14"/>
  <c r="M77" i="14" s="1"/>
  <c r="B69" i="14"/>
  <c r="M69" i="14" s="1"/>
  <c r="B61" i="14"/>
  <c r="M61" i="14" s="1"/>
  <c r="B54" i="14"/>
  <c r="M54" i="14" s="1"/>
  <c r="E46" i="14"/>
  <c r="G186" i="23"/>
  <c r="A108" i="23"/>
  <c r="O38" i="16"/>
  <c r="E45" i="20"/>
  <c r="G11" i="20"/>
  <c r="E94" i="1"/>
  <c r="E65" i="1"/>
  <c r="B36" i="1"/>
  <c r="M36" i="1" s="1"/>
  <c r="J11" i="1"/>
  <c r="B53" i="24"/>
  <c r="M53" i="24" s="1"/>
  <c r="E32" i="24"/>
  <c r="G9" i="24"/>
  <c r="E96" i="22"/>
  <c r="I63" i="22"/>
  <c r="E46" i="22"/>
  <c r="G15" i="22"/>
  <c r="B74" i="19"/>
  <c r="M74" i="19" s="1"/>
  <c r="B60" i="19"/>
  <c r="M60" i="19" s="1"/>
  <c r="B46" i="19"/>
  <c r="M46" i="19" s="1"/>
  <c r="B34" i="19"/>
  <c r="M34" i="19" s="1"/>
  <c r="G21" i="19"/>
  <c r="B15" i="19"/>
  <c r="A115" i="18"/>
  <c r="B92" i="18"/>
  <c r="M92" i="18" s="1"/>
  <c r="E81" i="18"/>
  <c r="B71" i="18"/>
  <c r="M71" i="18" s="1"/>
  <c r="B60" i="18"/>
  <c r="M60" i="18" s="1"/>
  <c r="B51" i="18"/>
  <c r="M51" i="18" s="1"/>
  <c r="E41" i="18"/>
  <c r="E33" i="18"/>
  <c r="H24" i="18"/>
  <c r="A17" i="18"/>
  <c r="G9" i="18"/>
  <c r="E103" i="17"/>
  <c r="B93" i="17"/>
  <c r="M93" i="17" s="1"/>
  <c r="B85" i="17"/>
  <c r="M85" i="17" s="1"/>
  <c r="B77" i="17"/>
  <c r="M77" i="17" s="1"/>
  <c r="B69" i="17"/>
  <c r="M69" i="17" s="1"/>
  <c r="B61" i="17"/>
  <c r="M61" i="17" s="1"/>
  <c r="E54" i="17"/>
  <c r="E46" i="17"/>
  <c r="E38" i="17"/>
  <c r="B31" i="17"/>
  <c r="M31" i="17" s="1"/>
  <c r="B21" i="17"/>
  <c r="B14" i="17"/>
  <c r="E98" i="16"/>
  <c r="B90" i="16"/>
  <c r="M90" i="16" s="1"/>
  <c r="B82" i="16"/>
  <c r="M82" i="16" s="1"/>
  <c r="B74" i="16"/>
  <c r="M74" i="16" s="1"/>
  <c r="B66" i="16"/>
  <c r="M66" i="16" s="1"/>
  <c r="B58" i="16"/>
  <c r="M58" i="16" s="1"/>
  <c r="E51" i="16"/>
  <c r="E43" i="16"/>
  <c r="E35" i="16"/>
  <c r="A30" i="16"/>
  <c r="G18" i="16"/>
  <c r="G11" i="16"/>
  <c r="C106" i="14"/>
  <c r="E92" i="14"/>
  <c r="E84" i="14"/>
  <c r="E68" i="14"/>
  <c r="E60" i="14"/>
  <c r="I53" i="14"/>
  <c r="B46" i="14"/>
  <c r="M46" i="14" s="1"/>
  <c r="B38" i="14"/>
  <c r="M38" i="14" s="1"/>
  <c r="L30" i="14"/>
  <c r="B20" i="14"/>
  <c r="I13" i="14"/>
  <c r="E97" i="21"/>
  <c r="B89" i="21"/>
  <c r="M89" i="21" s="1"/>
  <c r="B81" i="21"/>
  <c r="M81" i="21" s="1"/>
  <c r="B73" i="21"/>
  <c r="M73" i="21" s="1"/>
  <c r="B65" i="21"/>
  <c r="M65" i="21" s="1"/>
  <c r="E57" i="21"/>
  <c r="E50" i="21"/>
  <c r="E96" i="17"/>
  <c r="A107" i="23"/>
  <c r="A163" i="2"/>
  <c r="B45" i="20"/>
  <c r="M45" i="20" s="1"/>
  <c r="B11" i="20"/>
  <c r="B94" i="1"/>
  <c r="M94" i="1" s="1"/>
  <c r="B65" i="1"/>
  <c r="M65" i="1" s="1"/>
  <c r="G11" i="1"/>
  <c r="E51" i="24"/>
  <c r="B32" i="24"/>
  <c r="M32" i="24" s="1"/>
  <c r="A8" i="24"/>
  <c r="B96" i="22"/>
  <c r="M96" i="22" s="1"/>
  <c r="B79" i="22"/>
  <c r="M79" i="22" s="1"/>
  <c r="B62" i="22"/>
  <c r="M62" i="22" s="1"/>
  <c r="E45" i="22"/>
  <c r="L30" i="22"/>
  <c r="B14" i="22"/>
  <c r="B73" i="19"/>
  <c r="M73" i="19" s="1"/>
  <c r="E59" i="19"/>
  <c r="B33" i="19"/>
  <c r="M33" i="19" s="1"/>
  <c r="B21" i="19"/>
  <c r="L13" i="19"/>
  <c r="H103" i="18"/>
  <c r="E91" i="18"/>
  <c r="E80" i="18"/>
  <c r="E69" i="18"/>
  <c r="E59" i="18"/>
  <c r="B50" i="18"/>
  <c r="M50" i="18" s="1"/>
  <c r="B41" i="18"/>
  <c r="M41" i="18" s="1"/>
  <c r="B33" i="18"/>
  <c r="M33" i="18" s="1"/>
  <c r="B24" i="18"/>
  <c r="J16" i="18"/>
  <c r="B9" i="18"/>
  <c r="B103" i="17"/>
  <c r="M103" i="17" s="1"/>
  <c r="E92" i="17"/>
  <c r="E76" i="17"/>
  <c r="E68" i="17"/>
  <c r="E60" i="17"/>
  <c r="B54" i="17"/>
  <c r="M54" i="17" s="1"/>
  <c r="B46" i="17"/>
  <c r="M46" i="17" s="1"/>
  <c r="B38" i="17"/>
  <c r="M38" i="17" s="1"/>
  <c r="G20" i="17"/>
  <c r="L13" i="17"/>
  <c r="B98" i="16"/>
  <c r="M98" i="16" s="1"/>
  <c r="E89" i="16"/>
  <c r="E81" i="16"/>
  <c r="E65" i="16"/>
  <c r="I57" i="16"/>
  <c r="B51" i="16"/>
  <c r="M51" i="16" s="1"/>
  <c r="B43" i="16"/>
  <c r="M43" i="16" s="1"/>
  <c r="B35" i="16"/>
  <c r="M35" i="16" s="1"/>
  <c r="A29" i="16"/>
  <c r="B18" i="16"/>
  <c r="B11" i="16"/>
  <c r="J101" i="14"/>
  <c r="B92" i="14"/>
  <c r="M92" i="14" s="1"/>
  <c r="B84" i="14"/>
  <c r="M84" i="14" s="1"/>
  <c r="B76" i="14"/>
  <c r="M76" i="14" s="1"/>
  <c r="B68" i="14"/>
  <c r="M68" i="14" s="1"/>
  <c r="B60" i="14"/>
  <c r="M60" i="14" s="1"/>
  <c r="E53" i="14"/>
  <c r="E45" i="14"/>
  <c r="E37" i="14"/>
  <c r="E30" i="14"/>
  <c r="J19" i="14"/>
  <c r="G13" i="14"/>
  <c r="N2" i="14"/>
  <c r="B97" i="21"/>
  <c r="M97" i="21" s="1"/>
  <c r="E88" i="21"/>
  <c r="E80" i="21"/>
  <c r="E64" i="21"/>
  <c r="B57" i="21"/>
  <c r="M57" i="21" s="1"/>
  <c r="B50" i="21"/>
  <c r="M50" i="21" s="1"/>
  <c r="B42" i="21"/>
  <c r="M42" i="21" s="1"/>
  <c r="B34" i="21"/>
  <c r="M34" i="21" s="1"/>
  <c r="G17" i="21"/>
  <c r="E95" i="16"/>
  <c r="A18" i="23"/>
  <c r="A157" i="2"/>
  <c r="A6" i="2"/>
  <c r="E43" i="20"/>
  <c r="B9" i="20"/>
  <c r="B92" i="1"/>
  <c r="M92" i="1" s="1"/>
  <c r="E64" i="1"/>
  <c r="L35" i="1"/>
  <c r="G9" i="1"/>
  <c r="E48" i="24"/>
  <c r="H31" i="24"/>
  <c r="E95" i="22"/>
  <c r="B78" i="22"/>
  <c r="M78" i="22" s="1"/>
  <c r="B61" i="22"/>
  <c r="M61" i="22" s="1"/>
  <c r="B45" i="22"/>
  <c r="M45" i="22" s="1"/>
  <c r="B30" i="22"/>
  <c r="B13" i="22"/>
  <c r="B72" i="19"/>
  <c r="M72" i="19" s="1"/>
  <c r="B58" i="19"/>
  <c r="M58" i="19" s="1"/>
  <c r="B45" i="19"/>
  <c r="M45" i="19" s="1"/>
  <c r="E32" i="19"/>
  <c r="K20" i="19"/>
  <c r="G13" i="19"/>
  <c r="E103" i="18"/>
  <c r="B91" i="18"/>
  <c r="M91" i="18" s="1"/>
  <c r="B80" i="18"/>
  <c r="M80" i="18" s="1"/>
  <c r="B69" i="18"/>
  <c r="M69" i="18" s="1"/>
  <c r="B59" i="18"/>
  <c r="M59" i="18" s="1"/>
  <c r="E49" i="18"/>
  <c r="E40" i="18"/>
  <c r="E32" i="18"/>
  <c r="G23" i="18"/>
  <c r="G16" i="18"/>
  <c r="A8" i="18"/>
  <c r="E100" i="17"/>
  <c r="B92" i="17"/>
  <c r="M92" i="17" s="1"/>
  <c r="B84" i="17"/>
  <c r="M84" i="17" s="1"/>
  <c r="B76" i="17"/>
  <c r="M76" i="17" s="1"/>
  <c r="B68" i="17"/>
  <c r="M68" i="17" s="1"/>
  <c r="B60" i="17"/>
  <c r="M60" i="17" s="1"/>
  <c r="E53" i="17"/>
  <c r="E45" i="17"/>
  <c r="E37" i="17"/>
  <c r="L30" i="17"/>
  <c r="B20" i="17"/>
  <c r="I13" i="17"/>
  <c r="E97" i="16"/>
  <c r="B89" i="16"/>
  <c r="M89" i="16" s="1"/>
  <c r="B81" i="16"/>
  <c r="M81" i="16" s="1"/>
  <c r="B73" i="16"/>
  <c r="M73" i="16" s="1"/>
  <c r="B65" i="16"/>
  <c r="M65" i="16" s="1"/>
  <c r="E57" i="16"/>
  <c r="E50" i="16"/>
  <c r="E42" i="16"/>
  <c r="E34" i="16"/>
  <c r="J17" i="16"/>
  <c r="B10" i="16"/>
  <c r="H101" i="14"/>
  <c r="E91" i="14"/>
  <c r="E83" i="14"/>
  <c r="E75" i="14"/>
  <c r="E67" i="14"/>
  <c r="E59" i="14"/>
  <c r="B53" i="14"/>
  <c r="M53" i="14" s="1"/>
  <c r="B45" i="14"/>
  <c r="M45" i="14" s="1"/>
  <c r="B37" i="14"/>
  <c r="M37" i="14" s="1"/>
  <c r="D30" i="14"/>
  <c r="G19" i="14"/>
  <c r="B13" i="14"/>
  <c r="N1" i="14"/>
  <c r="E96" i="21"/>
  <c r="B88" i="21"/>
  <c r="M88" i="21" s="1"/>
  <c r="B80" i="21"/>
  <c r="M80" i="21" s="1"/>
  <c r="B72" i="21"/>
  <c r="M72" i="21" s="1"/>
  <c r="B64" i="21"/>
  <c r="M64" i="21" s="1"/>
  <c r="I56" i="21"/>
  <c r="M94" i="13"/>
  <c r="A16" i="23"/>
  <c r="B144" i="2"/>
  <c r="B64" i="20"/>
  <c r="M64" i="20" s="1"/>
  <c r="E37" i="20"/>
  <c r="C120" i="1"/>
  <c r="B63" i="1"/>
  <c r="M63" i="1" s="1"/>
  <c r="B35" i="1"/>
  <c r="E47" i="24"/>
  <c r="L30" i="24"/>
  <c r="J93" i="22"/>
  <c r="B76" i="22"/>
  <c r="M76" i="22" s="1"/>
  <c r="B60" i="22"/>
  <c r="M60" i="22" s="1"/>
  <c r="E44" i="22"/>
  <c r="A29" i="22"/>
  <c r="J11" i="22"/>
  <c r="E71" i="19"/>
  <c r="B57" i="19"/>
  <c r="M57" i="19" s="1"/>
  <c r="E44" i="19"/>
  <c r="B32" i="19"/>
  <c r="M32" i="19" s="1"/>
  <c r="I20" i="19"/>
  <c r="B13" i="19"/>
  <c r="B103" i="18"/>
  <c r="M103" i="18" s="1"/>
  <c r="E90" i="18"/>
  <c r="E79" i="18"/>
  <c r="E68" i="18"/>
  <c r="E58" i="18"/>
  <c r="B49" i="18"/>
  <c r="M49" i="18" s="1"/>
  <c r="B40" i="18"/>
  <c r="M40" i="18" s="1"/>
  <c r="B32" i="18"/>
  <c r="M32" i="18" s="1"/>
  <c r="A23" i="18"/>
  <c r="G15" i="18"/>
  <c r="B100" i="17"/>
  <c r="M100" i="17" s="1"/>
  <c r="E91" i="17"/>
  <c r="E83" i="17"/>
  <c r="E75" i="17"/>
  <c r="E67" i="17"/>
  <c r="E59" i="17"/>
  <c r="B53" i="17"/>
  <c r="M53" i="17" s="1"/>
  <c r="B45" i="17"/>
  <c r="M45" i="17" s="1"/>
  <c r="B37" i="17"/>
  <c r="M37" i="17" s="1"/>
  <c r="E30" i="17"/>
  <c r="J19" i="17"/>
  <c r="G13" i="17"/>
  <c r="N2" i="17"/>
  <c r="B97" i="16"/>
  <c r="M97" i="16" s="1"/>
  <c r="E88" i="16"/>
  <c r="E80" i="16"/>
  <c r="E64" i="16"/>
  <c r="B57" i="16"/>
  <c r="M57" i="16" s="1"/>
  <c r="B50" i="16"/>
  <c r="M50" i="16" s="1"/>
  <c r="B42" i="16"/>
  <c r="M42" i="16" s="1"/>
  <c r="B34" i="16"/>
  <c r="M34" i="16" s="1"/>
  <c r="G17" i="16"/>
  <c r="L9" i="16"/>
  <c r="E101" i="14"/>
  <c r="B91" i="14"/>
  <c r="M91" i="14" s="1"/>
  <c r="B83" i="14"/>
  <c r="M83" i="14" s="1"/>
  <c r="B75" i="14"/>
  <c r="M75" i="14" s="1"/>
  <c r="B67" i="14"/>
  <c r="M67" i="14" s="1"/>
  <c r="B59" i="14"/>
  <c r="M59" i="14" s="1"/>
  <c r="E52" i="14"/>
  <c r="E44" i="14"/>
  <c r="E36" i="14"/>
  <c r="C30" i="14"/>
  <c r="B19" i="14"/>
  <c r="L11" i="14"/>
  <c r="K115" i="21"/>
  <c r="B96" i="21"/>
  <c r="M96" i="21" s="1"/>
  <c r="M93" i="13"/>
  <c r="A288" i="2"/>
  <c r="A144" i="2"/>
  <c r="E63" i="20"/>
  <c r="B37" i="20"/>
  <c r="M37" i="20" s="1"/>
  <c r="E115" i="1"/>
  <c r="E87" i="1"/>
  <c r="B58" i="1"/>
  <c r="M58" i="1" s="1"/>
  <c r="J29" i="1"/>
  <c r="A76" i="24"/>
  <c r="E46" i="24"/>
  <c r="A29" i="24"/>
  <c r="B93" i="22"/>
  <c r="M93" i="22" s="1"/>
  <c r="B75" i="22"/>
  <c r="M75" i="22" s="1"/>
  <c r="E59" i="22"/>
  <c r="E42" i="22"/>
  <c r="B24" i="22"/>
  <c r="B11" i="22"/>
  <c r="B71" i="19"/>
  <c r="M71" i="19" s="1"/>
  <c r="B56" i="19"/>
  <c r="M56" i="19" s="1"/>
  <c r="B43" i="19"/>
  <c r="M43" i="19" s="1"/>
  <c r="E31" i="19"/>
  <c r="B20" i="19"/>
  <c r="L11" i="19"/>
  <c r="E102" i="18"/>
  <c r="E89" i="18"/>
  <c r="B79" i="18"/>
  <c r="M79" i="18" s="1"/>
  <c r="B68" i="18"/>
  <c r="M68" i="18" s="1"/>
  <c r="I57" i="18"/>
  <c r="E48" i="18"/>
  <c r="E39" i="18"/>
  <c r="E31" i="18"/>
  <c r="G21" i="18"/>
  <c r="B15" i="18"/>
  <c r="E99" i="17"/>
  <c r="B91" i="17"/>
  <c r="M91" i="17" s="1"/>
  <c r="B83" i="17"/>
  <c r="M83" i="17" s="1"/>
  <c r="B75" i="17"/>
  <c r="M75" i="17" s="1"/>
  <c r="B67" i="17"/>
  <c r="M67" i="17" s="1"/>
  <c r="B59" i="17"/>
  <c r="M59" i="17" s="1"/>
  <c r="E52" i="17"/>
  <c r="E44" i="17"/>
  <c r="E36" i="17"/>
  <c r="D30" i="17"/>
  <c r="G19" i="17"/>
  <c r="B13" i="17"/>
  <c r="N1" i="17"/>
  <c r="E96" i="16"/>
  <c r="B88" i="16"/>
  <c r="M88" i="16" s="1"/>
  <c r="B80" i="16"/>
  <c r="M80" i="16" s="1"/>
  <c r="B72" i="16"/>
  <c r="M72" i="16" s="1"/>
  <c r="B64" i="16"/>
  <c r="M64" i="16" s="1"/>
  <c r="I56" i="16"/>
  <c r="E49" i="16"/>
  <c r="E41" i="16"/>
  <c r="E33" i="16"/>
  <c r="H24" i="16"/>
  <c r="A17" i="16"/>
  <c r="J9" i="16"/>
  <c r="B101" i="14"/>
  <c r="M101" i="14" s="1"/>
  <c r="E90" i="14"/>
  <c r="E82" i="14"/>
  <c r="E74" i="14"/>
  <c r="E66" i="14"/>
  <c r="E58" i="14"/>
  <c r="B52" i="14"/>
  <c r="M52" i="14" s="1"/>
  <c r="B44" i="14"/>
  <c r="M44" i="14" s="1"/>
  <c r="B36" i="14"/>
  <c r="M36" i="14" s="1"/>
  <c r="B30" i="14"/>
  <c r="J18" i="14"/>
  <c r="J11" i="14"/>
  <c r="A115" i="21"/>
  <c r="B95" i="21"/>
  <c r="M95" i="21" s="1"/>
  <c r="B87" i="21"/>
  <c r="M87" i="21" s="1"/>
  <c r="B79" i="21"/>
  <c r="M79" i="21" s="1"/>
  <c r="B71" i="21"/>
  <c r="M71" i="21" s="1"/>
  <c r="B63" i="21"/>
  <c r="M63" i="21" s="1"/>
  <c r="B56" i="21"/>
  <c r="M56" i="21" s="1"/>
  <c r="E48" i="21"/>
  <c r="E40" i="21"/>
  <c r="E32" i="21"/>
  <c r="G23" i="21"/>
  <c r="G16" i="21"/>
  <c r="M78" i="13"/>
  <c r="A167" i="23"/>
  <c r="A286" i="2"/>
  <c r="B143" i="2"/>
  <c r="B63" i="20"/>
  <c r="M63" i="20" s="1"/>
  <c r="E36" i="20"/>
  <c r="B115" i="1"/>
  <c r="M115" i="1" s="1"/>
  <c r="B87" i="1"/>
  <c r="M87" i="1" s="1"/>
  <c r="E57" i="1"/>
  <c r="G28" i="1"/>
  <c r="C69" i="24"/>
  <c r="B46" i="24"/>
  <c r="M46" i="24" s="1"/>
  <c r="A118" i="22"/>
  <c r="B92" i="22"/>
  <c r="M92" i="22" s="1"/>
  <c r="B74" i="22"/>
  <c r="M74" i="22" s="1"/>
  <c r="B59" i="22"/>
  <c r="M59" i="22" s="1"/>
  <c r="E41" i="22"/>
  <c r="A23" i="22"/>
  <c r="B10" i="22"/>
  <c r="B69" i="19"/>
  <c r="M69" i="19" s="1"/>
  <c r="B42" i="19"/>
  <c r="M42" i="19" s="1"/>
  <c r="L30" i="19"/>
  <c r="K19" i="19"/>
  <c r="J11" i="19"/>
  <c r="B102" i="18"/>
  <c r="M102" i="18" s="1"/>
  <c r="E88" i="18"/>
  <c r="E77" i="18"/>
  <c r="E67" i="18"/>
  <c r="B57" i="18"/>
  <c r="M57" i="18" s="1"/>
  <c r="B48" i="18"/>
  <c r="M48" i="18" s="1"/>
  <c r="B39" i="18"/>
  <c r="M39" i="18" s="1"/>
  <c r="B31" i="18"/>
  <c r="M31" i="18" s="1"/>
  <c r="B21" i="18"/>
  <c r="B14" i="18"/>
  <c r="B99" i="17"/>
  <c r="M99" i="17" s="1"/>
  <c r="E90" i="17"/>
  <c r="E82" i="17"/>
  <c r="E66" i="17"/>
  <c r="I58" i="17"/>
  <c r="B52" i="17"/>
  <c r="M52" i="17" s="1"/>
  <c r="B44" i="17"/>
  <c r="M44" i="17" s="1"/>
  <c r="B36" i="17"/>
  <c r="M36" i="17" s="1"/>
  <c r="C30" i="17"/>
  <c r="B19" i="17"/>
  <c r="L11" i="17"/>
  <c r="K115" i="16"/>
  <c r="B96" i="16"/>
  <c r="M96" i="16" s="1"/>
  <c r="E87" i="16"/>
  <c r="E79" i="16"/>
  <c r="E63" i="16"/>
  <c r="E56" i="16"/>
  <c r="B49" i="16"/>
  <c r="M49" i="16" s="1"/>
  <c r="B41" i="16"/>
  <c r="M41" i="16" s="1"/>
  <c r="B33" i="16"/>
  <c r="M33" i="16" s="1"/>
  <c r="B24" i="16"/>
  <c r="J16" i="16"/>
  <c r="G9" i="16"/>
  <c r="E100" i="14"/>
  <c r="B90" i="14"/>
  <c r="M90" i="14" s="1"/>
  <c r="B82" i="14"/>
  <c r="M82" i="14" s="1"/>
  <c r="B74" i="14"/>
  <c r="M74" i="14" s="1"/>
  <c r="B66" i="14"/>
  <c r="M66" i="14" s="1"/>
  <c r="B58" i="14"/>
  <c r="M58" i="14" s="1"/>
  <c r="E51" i="14"/>
  <c r="E43" i="14"/>
  <c r="E35" i="14"/>
  <c r="A30" i="14"/>
  <c r="G18" i="14"/>
  <c r="M77" i="13"/>
  <c r="A166" i="23"/>
  <c r="A207" i="2"/>
  <c r="A137" i="2"/>
  <c r="J61" i="20"/>
  <c r="E34" i="20"/>
  <c r="B113" i="1"/>
  <c r="M113" i="1" s="1"/>
  <c r="E86" i="1"/>
  <c r="B57" i="1"/>
  <c r="M57" i="1" s="1"/>
  <c r="M62" i="13"/>
  <c r="A206" i="2"/>
  <c r="A127" i="2"/>
  <c r="E109" i="1"/>
  <c r="E84" i="1"/>
  <c r="B55" i="1"/>
  <c r="M55" i="1" s="1"/>
  <c r="G27" i="1"/>
  <c r="E62" i="24"/>
  <c r="E44" i="24"/>
  <c r="B53" i="20"/>
  <c r="M53" i="20" s="1"/>
  <c r="E57" i="24"/>
  <c r="M17" i="22"/>
  <c r="B37" i="19"/>
  <c r="M37" i="19" s="1"/>
  <c r="B95" i="18"/>
  <c r="M95" i="18" s="1"/>
  <c r="E53" i="18"/>
  <c r="G18" i="18"/>
  <c r="B87" i="17"/>
  <c r="M87" i="17" s="1"/>
  <c r="E56" i="17"/>
  <c r="B24" i="17"/>
  <c r="B92" i="16"/>
  <c r="M92" i="16" s="1"/>
  <c r="B60" i="16"/>
  <c r="M60" i="16" s="1"/>
  <c r="E30" i="16"/>
  <c r="B95" i="14"/>
  <c r="M95" i="14" s="1"/>
  <c r="E62" i="14"/>
  <c r="B40" i="14"/>
  <c r="M40" i="14" s="1"/>
  <c r="B21" i="14"/>
  <c r="E89" i="21"/>
  <c r="B77" i="21"/>
  <c r="M77" i="21" s="1"/>
  <c r="B66" i="21"/>
  <c r="M66" i="21" s="1"/>
  <c r="B55" i="21"/>
  <c r="M55" i="21" s="1"/>
  <c r="E44" i="21"/>
  <c r="B35" i="21"/>
  <c r="M35" i="21" s="1"/>
  <c r="H24" i="21"/>
  <c r="G15" i="21"/>
  <c r="A8" i="21"/>
  <c r="E98" i="15"/>
  <c r="B90" i="15"/>
  <c r="M90" i="15" s="1"/>
  <c r="B82" i="15"/>
  <c r="M82" i="15" s="1"/>
  <c r="B74" i="15"/>
  <c r="M74" i="15" s="1"/>
  <c r="B66" i="15"/>
  <c r="M66" i="15" s="1"/>
  <c r="B58" i="15"/>
  <c r="M58" i="15" s="1"/>
  <c r="E43" i="15"/>
  <c r="E35" i="15"/>
  <c r="A30" i="15"/>
  <c r="G18" i="15"/>
  <c r="G11" i="15"/>
  <c r="C111" i="13"/>
  <c r="B98" i="13"/>
  <c r="B89" i="13"/>
  <c r="B81" i="13"/>
  <c r="B73" i="13"/>
  <c r="B65" i="13"/>
  <c r="I57" i="13"/>
  <c r="E50" i="13"/>
  <c r="E42" i="13"/>
  <c r="B34" i="13"/>
  <c r="H24" i="13"/>
  <c r="A17" i="13"/>
  <c r="J9" i="13"/>
  <c r="B26" i="4"/>
  <c r="B42" i="13"/>
  <c r="B24" i="13"/>
  <c r="G9" i="13"/>
  <c r="B17" i="4"/>
  <c r="C30" i="15"/>
  <c r="B96" i="18"/>
  <c r="M96" i="18" s="1"/>
  <c r="E77" i="21"/>
  <c r="B52" i="15"/>
  <c r="M52" i="15" s="1"/>
  <c r="E34" i="13"/>
  <c r="E52" i="20"/>
  <c r="H45" i="24"/>
  <c r="E73" i="22"/>
  <c r="L9" i="22"/>
  <c r="E30" i="19"/>
  <c r="B88" i="18"/>
  <c r="M88" i="18" s="1"/>
  <c r="B47" i="18"/>
  <c r="M47" i="18" s="1"/>
  <c r="L13" i="18"/>
  <c r="B82" i="17"/>
  <c r="M82" i="17" s="1"/>
  <c r="E51" i="17"/>
  <c r="J18" i="17"/>
  <c r="B87" i="16"/>
  <c r="M87" i="16" s="1"/>
  <c r="B56" i="16"/>
  <c r="M56" i="16" s="1"/>
  <c r="G23" i="16"/>
  <c r="E89" i="14"/>
  <c r="E57" i="14"/>
  <c r="E39" i="14"/>
  <c r="G20" i="14"/>
  <c r="C108" i="21"/>
  <c r="E87" i="21"/>
  <c r="B76" i="21"/>
  <c r="M76" i="21" s="1"/>
  <c r="E65" i="21"/>
  <c r="E54" i="21"/>
  <c r="B44" i="21"/>
  <c r="M44" i="21" s="1"/>
  <c r="E34" i="21"/>
  <c r="B24" i="21"/>
  <c r="B15" i="21"/>
  <c r="B98" i="15"/>
  <c r="M98" i="15" s="1"/>
  <c r="E89" i="15"/>
  <c r="E81" i="15"/>
  <c r="E73" i="15"/>
  <c r="E65" i="15"/>
  <c r="I57" i="15"/>
  <c r="B51" i="15"/>
  <c r="M51" i="15" s="1"/>
  <c r="B43" i="15"/>
  <c r="M43" i="15" s="1"/>
  <c r="B35" i="15"/>
  <c r="M35" i="15" s="1"/>
  <c r="A29" i="15"/>
  <c r="B18" i="15"/>
  <c r="B11" i="15"/>
  <c r="J106" i="13"/>
  <c r="E97" i="13"/>
  <c r="E88" i="13"/>
  <c r="E80" i="13"/>
  <c r="E64" i="13"/>
  <c r="E57" i="13"/>
  <c r="B50" i="13"/>
  <c r="E33" i="13"/>
  <c r="J16" i="13"/>
  <c r="B21" i="4"/>
  <c r="K11" i="4"/>
  <c r="K118" i="13"/>
  <c r="E92" i="16"/>
  <c r="E74" i="15"/>
  <c r="B58" i="13"/>
  <c r="B20" i="20"/>
  <c r="E39" i="24"/>
  <c r="B73" i="22"/>
  <c r="M73" i="22" s="1"/>
  <c r="D30" i="19"/>
  <c r="E87" i="18"/>
  <c r="E46" i="18"/>
  <c r="I13" i="18"/>
  <c r="E81" i="17"/>
  <c r="B51" i="17"/>
  <c r="M51" i="17" s="1"/>
  <c r="G18" i="17"/>
  <c r="E86" i="16"/>
  <c r="I55" i="16"/>
  <c r="A23" i="16"/>
  <c r="B89" i="14"/>
  <c r="M89" i="14" s="1"/>
  <c r="B57" i="14"/>
  <c r="M57" i="14" s="1"/>
  <c r="B39" i="14"/>
  <c r="M39" i="14" s="1"/>
  <c r="B18" i="14"/>
  <c r="J103" i="21"/>
  <c r="E86" i="21"/>
  <c r="E75" i="21"/>
  <c r="E63" i="21"/>
  <c r="E53" i="21"/>
  <c r="E43" i="21"/>
  <c r="E33" i="21"/>
  <c r="A23" i="21"/>
  <c r="B14" i="21"/>
  <c r="E97" i="15"/>
  <c r="B89" i="15"/>
  <c r="M89" i="15" s="1"/>
  <c r="B81" i="15"/>
  <c r="M81" i="15" s="1"/>
  <c r="B73" i="15"/>
  <c r="M73" i="15" s="1"/>
  <c r="B65" i="15"/>
  <c r="M65" i="15" s="1"/>
  <c r="E57" i="15"/>
  <c r="E50" i="15"/>
  <c r="E42" i="15"/>
  <c r="E34" i="15"/>
  <c r="J17" i="15"/>
  <c r="B10" i="15"/>
  <c r="H106" i="13"/>
  <c r="B97" i="13"/>
  <c r="B88" i="13"/>
  <c r="B80" i="13"/>
  <c r="B72" i="13"/>
  <c r="B64" i="13"/>
  <c r="B57" i="13"/>
  <c r="E49" i="13"/>
  <c r="E41" i="13"/>
  <c r="B33" i="13"/>
  <c r="G23" i="13"/>
  <c r="G16" i="13"/>
  <c r="B9" i="13"/>
  <c r="B75" i="15"/>
  <c r="M75" i="15" s="1"/>
  <c r="B35" i="13"/>
  <c r="E95" i="14"/>
  <c r="B9" i="21"/>
  <c r="J18" i="15"/>
  <c r="G19" i="20"/>
  <c r="B39" i="24"/>
  <c r="M39" i="24" s="1"/>
  <c r="B67" i="22"/>
  <c r="M67" i="22" s="1"/>
  <c r="B84" i="19"/>
  <c r="M84" i="19" s="1"/>
  <c r="E84" i="18"/>
  <c r="E44" i="18"/>
  <c r="J11" i="18"/>
  <c r="B49" i="17"/>
  <c r="M49" i="17" s="1"/>
  <c r="A17" i="17"/>
  <c r="E84" i="16"/>
  <c r="B54" i="16"/>
  <c r="M54" i="16" s="1"/>
  <c r="B20" i="16"/>
  <c r="B87" i="14"/>
  <c r="M87" i="14" s="1"/>
  <c r="E55" i="14"/>
  <c r="E38" i="14"/>
  <c r="J17" i="14"/>
  <c r="H103" i="21"/>
  <c r="B86" i="21"/>
  <c r="M86" i="21" s="1"/>
  <c r="B75" i="21"/>
  <c r="M75" i="21" s="1"/>
  <c r="E62" i="21"/>
  <c r="B53" i="21"/>
  <c r="M53" i="21" s="1"/>
  <c r="B43" i="21"/>
  <c r="M43" i="21" s="1"/>
  <c r="B33" i="21"/>
  <c r="M33" i="21" s="1"/>
  <c r="G21" i="21"/>
  <c r="L13" i="21"/>
  <c r="B97" i="15"/>
  <c r="M97" i="15" s="1"/>
  <c r="E88" i="15"/>
  <c r="E80" i="15"/>
  <c r="E64" i="15"/>
  <c r="B57" i="15"/>
  <c r="M57" i="15" s="1"/>
  <c r="B50" i="15"/>
  <c r="M50" i="15" s="1"/>
  <c r="B42" i="15"/>
  <c r="M42" i="15" s="1"/>
  <c r="B34" i="15"/>
  <c r="M34" i="15" s="1"/>
  <c r="G17" i="15"/>
  <c r="L9" i="15"/>
  <c r="E106" i="13"/>
  <c r="E95" i="13"/>
  <c r="E87" i="13"/>
  <c r="E71" i="13"/>
  <c r="E63" i="13"/>
  <c r="I56" i="13"/>
  <c r="B49" i="13"/>
  <c r="B41" i="13"/>
  <c r="E32" i="13"/>
  <c r="A23" i="13"/>
  <c r="G15" i="13"/>
  <c r="A8" i="13"/>
  <c r="E36" i="15"/>
  <c r="J17" i="13"/>
  <c r="E60" i="16"/>
  <c r="E90" i="15"/>
  <c r="E65" i="13"/>
  <c r="B148" i="23"/>
  <c r="B24" i="24"/>
  <c r="E66" i="22"/>
  <c r="E79" i="19"/>
  <c r="B25" i="19"/>
  <c r="B84" i="18"/>
  <c r="M84" i="18" s="1"/>
  <c r="B44" i="18"/>
  <c r="M44" i="18" s="1"/>
  <c r="G11" i="18"/>
  <c r="B79" i="17"/>
  <c r="M79" i="17" s="1"/>
  <c r="E48" i="17"/>
  <c r="J16" i="17"/>
  <c r="B84" i="16"/>
  <c r="M84" i="16" s="1"/>
  <c r="E53" i="16"/>
  <c r="J19" i="16"/>
  <c r="E86" i="14"/>
  <c r="B55" i="14"/>
  <c r="M55" i="14" s="1"/>
  <c r="B35" i="14"/>
  <c r="M35" i="14" s="1"/>
  <c r="G16" i="14"/>
  <c r="B102" i="21"/>
  <c r="M102" i="21" s="1"/>
  <c r="E85" i="21"/>
  <c r="E74" i="21"/>
  <c r="B62" i="21"/>
  <c r="M62" i="21" s="1"/>
  <c r="E52" i="21"/>
  <c r="E42" i="21"/>
  <c r="B32" i="21"/>
  <c r="M32" i="21" s="1"/>
  <c r="B21" i="21"/>
  <c r="I13" i="21"/>
  <c r="E96" i="15"/>
  <c r="B88" i="15"/>
  <c r="M88" i="15" s="1"/>
  <c r="B80" i="15"/>
  <c r="M80" i="15" s="1"/>
  <c r="B72" i="15"/>
  <c r="M72" i="15" s="1"/>
  <c r="B64" i="15"/>
  <c r="M64" i="15" s="1"/>
  <c r="I56" i="15"/>
  <c r="E49" i="15"/>
  <c r="E41" i="15"/>
  <c r="E33" i="15"/>
  <c r="H24" i="15"/>
  <c r="A17" i="15"/>
  <c r="J9" i="15"/>
  <c r="B106" i="13"/>
  <c r="B95" i="13"/>
  <c r="B87" i="13"/>
  <c r="B79" i="13"/>
  <c r="B71" i="13"/>
  <c r="B63" i="13"/>
  <c r="E56" i="13"/>
  <c r="E48" i="13"/>
  <c r="E40" i="13"/>
  <c r="B32" i="13"/>
  <c r="G21" i="13"/>
  <c r="B15" i="13"/>
  <c r="K10" i="4"/>
  <c r="E78" i="13"/>
  <c r="B56" i="13"/>
  <c r="B40" i="13"/>
  <c r="B21" i="13"/>
  <c r="E42" i="14"/>
  <c r="B67" i="15"/>
  <c r="M67" i="15" s="1"/>
  <c r="E58" i="13"/>
  <c r="E87" i="17"/>
  <c r="B45" i="21"/>
  <c r="M45" i="21" s="1"/>
  <c r="A118" i="13"/>
  <c r="G23" i="24"/>
  <c r="J57" i="22"/>
  <c r="E68" i="19"/>
  <c r="G19" i="19"/>
  <c r="B77" i="18"/>
  <c r="M77" i="18" s="1"/>
  <c r="E38" i="18"/>
  <c r="B74" i="17"/>
  <c r="M74" i="17" s="1"/>
  <c r="E43" i="17"/>
  <c r="J11" i="17"/>
  <c r="B79" i="16"/>
  <c r="M79" i="16" s="1"/>
  <c r="E48" i="16"/>
  <c r="G16" i="16"/>
  <c r="I54" i="14"/>
  <c r="E34" i="14"/>
  <c r="G15" i="14"/>
  <c r="E99" i="21"/>
  <c r="B85" i="21"/>
  <c r="M85" i="21" s="1"/>
  <c r="B74" i="21"/>
  <c r="M74" i="21" s="1"/>
  <c r="E61" i="21"/>
  <c r="B52" i="21"/>
  <c r="M52" i="21" s="1"/>
  <c r="E41" i="21"/>
  <c r="E31" i="21"/>
  <c r="G20" i="21"/>
  <c r="G13" i="21"/>
  <c r="N2" i="21"/>
  <c r="B96" i="15"/>
  <c r="M96" i="15" s="1"/>
  <c r="E87" i="15"/>
  <c r="E79" i="15"/>
  <c r="E63" i="15"/>
  <c r="E56" i="15"/>
  <c r="B49" i="15"/>
  <c r="M49" i="15" s="1"/>
  <c r="B41" i="15"/>
  <c r="M41" i="15" s="1"/>
  <c r="B33" i="15"/>
  <c r="M33" i="15" s="1"/>
  <c r="B24" i="15"/>
  <c r="J16" i="15"/>
  <c r="G9" i="15"/>
  <c r="E105" i="13"/>
  <c r="E94" i="13"/>
  <c r="E86" i="13"/>
  <c r="E70" i="13"/>
  <c r="E62" i="13"/>
  <c r="B48" i="13"/>
  <c r="E31" i="13"/>
  <c r="B14" i="13"/>
  <c r="K9" i="4"/>
  <c r="E90" i="21"/>
  <c r="L11" i="15"/>
  <c r="E1" i="4"/>
  <c r="L30" i="16"/>
  <c r="J16" i="21"/>
  <c r="J11" i="15"/>
  <c r="L9" i="13"/>
  <c r="G16" i="24"/>
  <c r="B57" i="22"/>
  <c r="M57" i="22" s="1"/>
  <c r="B68" i="19"/>
  <c r="M68" i="19" s="1"/>
  <c r="K18" i="19"/>
  <c r="E76" i="18"/>
  <c r="B38" i="18"/>
  <c r="M38" i="18" s="1"/>
  <c r="N2" i="18"/>
  <c r="B43" i="17"/>
  <c r="M43" i="17" s="1"/>
  <c r="G11" i="17"/>
  <c r="B48" i="16"/>
  <c r="M48" i="16" s="1"/>
  <c r="G15" i="16"/>
  <c r="B81" i="14"/>
  <c r="M81" i="14" s="1"/>
  <c r="E54" i="14"/>
  <c r="E32" i="14"/>
  <c r="B15" i="14"/>
  <c r="B99" i="21"/>
  <c r="M99" i="21" s="1"/>
  <c r="B84" i="21"/>
  <c r="M84" i="21" s="1"/>
  <c r="B61" i="21"/>
  <c r="M61" i="21" s="1"/>
  <c r="E51" i="21"/>
  <c r="B41" i="21"/>
  <c r="M41" i="21" s="1"/>
  <c r="B31" i="21"/>
  <c r="M31" i="21" s="1"/>
  <c r="B20" i="21"/>
  <c r="B13" i="21"/>
  <c r="N1" i="21"/>
  <c r="E95" i="15"/>
  <c r="B87" i="15"/>
  <c r="M87" i="15" s="1"/>
  <c r="B79" i="15"/>
  <c r="M79" i="15" s="1"/>
  <c r="B71" i="15"/>
  <c r="M71" i="15" s="1"/>
  <c r="B63" i="15"/>
  <c r="M63" i="15" s="1"/>
  <c r="B56" i="15"/>
  <c r="M56" i="15" s="1"/>
  <c r="E48" i="15"/>
  <c r="E40" i="15"/>
  <c r="E32" i="15"/>
  <c r="G23" i="15"/>
  <c r="G16" i="15"/>
  <c r="B9" i="15"/>
  <c r="B105" i="13"/>
  <c r="B94" i="13"/>
  <c r="B86" i="13"/>
  <c r="B78" i="13"/>
  <c r="B70" i="13"/>
  <c r="B62" i="13"/>
  <c r="E55" i="13"/>
  <c r="E47" i="13"/>
  <c r="E39" i="13"/>
  <c r="B31" i="13"/>
  <c r="G20" i="13"/>
  <c r="L13" i="13"/>
  <c r="K8" i="4"/>
  <c r="L30" i="13"/>
  <c r="E64" i="24"/>
  <c r="E101" i="15"/>
  <c r="B66" i="13"/>
  <c r="B63" i="14"/>
  <c r="M63" i="14" s="1"/>
  <c r="B30" i="15"/>
  <c r="G17" i="13"/>
  <c r="E76" i="1"/>
  <c r="B15" i="24"/>
  <c r="B53" i="22"/>
  <c r="M53" i="22" s="1"/>
  <c r="B64" i="19"/>
  <c r="M64" i="19" s="1"/>
  <c r="G17" i="19"/>
  <c r="E74" i="18"/>
  <c r="B36" i="18"/>
  <c r="M36" i="18" s="1"/>
  <c r="C109" i="17"/>
  <c r="E71" i="17"/>
  <c r="B41" i="17"/>
  <c r="M41" i="17" s="1"/>
  <c r="J9" i="17"/>
  <c r="E76" i="16"/>
  <c r="B46" i="16"/>
  <c r="M46" i="16" s="1"/>
  <c r="I13" i="16"/>
  <c r="B79" i="14"/>
  <c r="M79" i="14" s="1"/>
  <c r="B51" i="14"/>
  <c r="M51" i="14" s="1"/>
  <c r="B32" i="14"/>
  <c r="M32" i="14" s="1"/>
  <c r="B14" i="14"/>
  <c r="E98" i="21"/>
  <c r="E71" i="21"/>
  <c r="B60" i="21"/>
  <c r="M60" i="21" s="1"/>
  <c r="B51" i="21"/>
  <c r="M51" i="21" s="1"/>
  <c r="B40" i="21"/>
  <c r="M40" i="21" s="1"/>
  <c r="J19" i="21"/>
  <c r="L11" i="21"/>
  <c r="K114" i="15"/>
  <c r="B95" i="15"/>
  <c r="M95" i="15" s="1"/>
  <c r="E86" i="15"/>
  <c r="E78" i="15"/>
  <c r="E70" i="15"/>
  <c r="E62" i="15"/>
  <c r="I55" i="15"/>
  <c r="B48" i="15"/>
  <c r="M48" i="15" s="1"/>
  <c r="B40" i="15"/>
  <c r="M40" i="15" s="1"/>
  <c r="B32" i="15"/>
  <c r="M32" i="15" s="1"/>
  <c r="A23" i="15"/>
  <c r="G15" i="15"/>
  <c r="A8" i="15"/>
  <c r="E102" i="13"/>
  <c r="E93" i="13"/>
  <c r="E85" i="13"/>
  <c r="E77" i="13"/>
  <c r="E69" i="13"/>
  <c r="E61" i="13"/>
  <c r="B55" i="13"/>
  <c r="B47" i="13"/>
  <c r="B39" i="13"/>
  <c r="B20" i="13"/>
  <c r="I13" i="13"/>
  <c r="K7" i="4"/>
  <c r="G22" i="22"/>
  <c r="E45" i="21"/>
  <c r="B19" i="15"/>
  <c r="B54" i="18"/>
  <c r="M54" i="18" s="1"/>
  <c r="B90" i="21"/>
  <c r="M90" i="21" s="1"/>
  <c r="B44" i="15"/>
  <c r="M44" i="15" s="1"/>
  <c r="B30" i="4"/>
  <c r="B73" i="1"/>
  <c r="M73" i="1" s="1"/>
  <c r="E106" i="22"/>
  <c r="E52" i="22"/>
  <c r="E63" i="19"/>
  <c r="A17" i="19"/>
  <c r="E35" i="18"/>
  <c r="J104" i="17"/>
  <c r="B71" i="17"/>
  <c r="M71" i="17" s="1"/>
  <c r="E40" i="17"/>
  <c r="G9" i="17"/>
  <c r="B76" i="16"/>
  <c r="M76" i="16" s="1"/>
  <c r="E45" i="16"/>
  <c r="G13" i="16"/>
  <c r="E78" i="14"/>
  <c r="E50" i="14"/>
  <c r="E31" i="14"/>
  <c r="L13" i="14"/>
  <c r="B98" i="21"/>
  <c r="M98" i="21" s="1"/>
  <c r="B83" i="21"/>
  <c r="M83" i="21" s="1"/>
  <c r="E70" i="21"/>
  <c r="E59" i="21"/>
  <c r="E49" i="21"/>
  <c r="E39" i="21"/>
  <c r="L30" i="21"/>
  <c r="G19" i="21"/>
  <c r="J11" i="21"/>
  <c r="A114" i="15"/>
  <c r="B94" i="15"/>
  <c r="M94" i="15" s="1"/>
  <c r="B86" i="15"/>
  <c r="M86" i="15" s="1"/>
  <c r="B78" i="15"/>
  <c r="M78" i="15" s="1"/>
  <c r="B70" i="15"/>
  <c r="M70" i="15" s="1"/>
  <c r="B62" i="15"/>
  <c r="M62" i="15" s="1"/>
  <c r="E55" i="15"/>
  <c r="E47" i="15"/>
  <c r="E39" i="15"/>
  <c r="E31" i="15"/>
  <c r="G21" i="15"/>
  <c r="B15" i="15"/>
  <c r="B102" i="13"/>
  <c r="B93" i="13"/>
  <c r="B85" i="13"/>
  <c r="B77" i="13"/>
  <c r="B69" i="13"/>
  <c r="B61" i="13"/>
  <c r="E54" i="13"/>
  <c r="E46" i="13"/>
  <c r="E38" i="13"/>
  <c r="E30" i="13"/>
  <c r="J19" i="13"/>
  <c r="G13" i="13"/>
  <c r="N2" i="13"/>
  <c r="K6" i="4"/>
  <c r="K4" i="4"/>
  <c r="A109" i="2"/>
  <c r="E97" i="14"/>
  <c r="B67" i="21"/>
  <c r="M67" i="21" s="1"/>
  <c r="B91" i="15"/>
  <c r="M91" i="15" s="1"/>
  <c r="B99" i="13"/>
  <c r="B10" i="13"/>
  <c r="E40" i="14"/>
  <c r="E89" i="13"/>
  <c r="A300" i="23"/>
  <c r="B47" i="1"/>
  <c r="M47" i="1" s="1"/>
  <c r="E104" i="22"/>
  <c r="E39" i="22"/>
  <c r="B10" i="19"/>
  <c r="B67" i="18"/>
  <c r="M67" i="18" s="1"/>
  <c r="E98" i="17"/>
  <c r="B66" i="17"/>
  <c r="M66" i="17" s="1"/>
  <c r="E35" i="17"/>
  <c r="A115" i="16"/>
  <c r="B71" i="16"/>
  <c r="M71" i="16" s="1"/>
  <c r="E40" i="16"/>
  <c r="B9" i="16"/>
  <c r="E73" i="14"/>
  <c r="E48" i="14"/>
  <c r="B31" i="14"/>
  <c r="M31" i="14" s="1"/>
  <c r="G11" i="14"/>
  <c r="E94" i="21"/>
  <c r="E82" i="21"/>
  <c r="B70" i="21"/>
  <c r="M70" i="21" s="1"/>
  <c r="B59" i="21"/>
  <c r="M59" i="21" s="1"/>
  <c r="B49" i="21"/>
  <c r="M49" i="21" s="1"/>
  <c r="B39" i="21"/>
  <c r="M39" i="21" s="1"/>
  <c r="E30" i="21"/>
  <c r="B19" i="21"/>
  <c r="G11" i="21"/>
  <c r="C107" i="15"/>
  <c r="E93" i="15"/>
  <c r="E85" i="15"/>
  <c r="E69" i="15"/>
  <c r="E61" i="15"/>
  <c r="B55" i="15"/>
  <c r="M55" i="15" s="1"/>
  <c r="B47" i="15"/>
  <c r="M47" i="15" s="1"/>
  <c r="B39" i="15"/>
  <c r="M39" i="15" s="1"/>
  <c r="B31" i="15"/>
  <c r="M31" i="15" s="1"/>
  <c r="B21" i="15"/>
  <c r="B14" i="15"/>
  <c r="E101" i="13"/>
  <c r="E92" i="13"/>
  <c r="E84" i="13"/>
  <c r="E76" i="13"/>
  <c r="E68" i="13"/>
  <c r="E60" i="13"/>
  <c r="B54" i="13"/>
  <c r="B46" i="13"/>
  <c r="B38" i="13"/>
  <c r="D30" i="13"/>
  <c r="G19" i="13"/>
  <c r="B13" i="13"/>
  <c r="N1" i="13"/>
  <c r="K5" i="4"/>
  <c r="L59" i="4"/>
  <c r="A30" i="17"/>
  <c r="B65" i="14"/>
  <c r="M65" i="14" s="1"/>
  <c r="I55" i="21"/>
  <c r="B83" i="15"/>
  <c r="M83" i="15" s="1"/>
  <c r="B90" i="13"/>
  <c r="B36" i="4"/>
  <c r="G21" i="14"/>
  <c r="B101" i="15"/>
  <c r="M101" i="15" s="1"/>
  <c r="E81" i="13"/>
  <c r="A299" i="23"/>
  <c r="B42" i="1"/>
  <c r="M42" i="1" s="1"/>
  <c r="B102" i="22"/>
  <c r="M102" i="22" s="1"/>
  <c r="E38" i="22"/>
  <c r="B54" i="19"/>
  <c r="M54" i="19" s="1"/>
  <c r="L9" i="19"/>
  <c r="E66" i="18"/>
  <c r="L30" i="18"/>
  <c r="B98" i="17"/>
  <c r="M98" i="17" s="1"/>
  <c r="E65" i="17"/>
  <c r="B35" i="17"/>
  <c r="M35" i="17" s="1"/>
  <c r="C108" i="16"/>
  <c r="E70" i="16"/>
  <c r="B40" i="16"/>
  <c r="M40" i="16" s="1"/>
  <c r="A8" i="16"/>
  <c r="B73" i="14"/>
  <c r="M73" i="14" s="1"/>
  <c r="B48" i="14"/>
  <c r="M48" i="14" s="1"/>
  <c r="B11" i="14"/>
  <c r="B94" i="21"/>
  <c r="M94" i="21" s="1"/>
  <c r="B82" i="21"/>
  <c r="M82" i="21" s="1"/>
  <c r="E69" i="21"/>
  <c r="E58" i="21"/>
  <c r="B48" i="21"/>
  <c r="M48" i="21" s="1"/>
  <c r="E38" i="21"/>
  <c r="D30" i="21"/>
  <c r="J18" i="21"/>
  <c r="B11" i="21"/>
  <c r="J102" i="15"/>
  <c r="B93" i="15"/>
  <c r="M93" i="15" s="1"/>
  <c r="B85" i="15"/>
  <c r="M85" i="15" s="1"/>
  <c r="B77" i="15"/>
  <c r="M77" i="15" s="1"/>
  <c r="B69" i="15"/>
  <c r="M69" i="15" s="1"/>
  <c r="B61" i="15"/>
  <c r="M61" i="15" s="1"/>
  <c r="E54" i="15"/>
  <c r="E46" i="15"/>
  <c r="E38" i="15"/>
  <c r="G20" i="15"/>
  <c r="L13" i="15"/>
  <c r="B101" i="13"/>
  <c r="B92" i="13"/>
  <c r="B84" i="13"/>
  <c r="B76" i="13"/>
  <c r="B68" i="13"/>
  <c r="B60" i="13"/>
  <c r="E53" i="13"/>
  <c r="E45" i="13"/>
  <c r="E37" i="13"/>
  <c r="C30" i="13"/>
  <c r="B19" i="13"/>
  <c r="L11" i="13"/>
  <c r="E40" i="19"/>
  <c r="A17" i="21"/>
  <c r="B82" i="13"/>
  <c r="E66" i="15"/>
  <c r="J27" i="1"/>
  <c r="J100" i="22"/>
  <c r="E35" i="22"/>
  <c r="B51" i="19"/>
  <c r="M51" i="19" s="1"/>
  <c r="E63" i="18"/>
  <c r="B30" i="18"/>
  <c r="E95" i="17"/>
  <c r="E63" i="17"/>
  <c r="B33" i="17"/>
  <c r="M33" i="17" s="1"/>
  <c r="B103" i="16"/>
  <c r="M103" i="16" s="1"/>
  <c r="E68" i="16"/>
  <c r="B38" i="16"/>
  <c r="M38" i="16" s="1"/>
  <c r="B71" i="14"/>
  <c r="M71" i="14" s="1"/>
  <c r="E47" i="14"/>
  <c r="A29" i="14"/>
  <c r="B10" i="14"/>
  <c r="E93" i="21"/>
  <c r="E81" i="21"/>
  <c r="B69" i="21"/>
  <c r="M69" i="21" s="1"/>
  <c r="B58" i="21"/>
  <c r="M58" i="21" s="1"/>
  <c r="E47" i="21"/>
  <c r="E37" i="21"/>
  <c r="C30" i="21"/>
  <c r="G18" i="21"/>
  <c r="B10" i="21"/>
  <c r="H102" i="15"/>
  <c r="E92" i="15"/>
  <c r="E84" i="15"/>
  <c r="E76" i="15"/>
  <c r="E68" i="15"/>
  <c r="E60" i="15"/>
  <c r="B54" i="15"/>
  <c r="M54" i="15" s="1"/>
  <c r="B46" i="15"/>
  <c r="M46" i="15" s="1"/>
  <c r="B38" i="15"/>
  <c r="M38" i="15" s="1"/>
  <c r="L30" i="15"/>
  <c r="B20" i="15"/>
  <c r="I13" i="15"/>
  <c r="E100" i="13"/>
  <c r="E91" i="13"/>
  <c r="E83" i="13"/>
  <c r="E75" i="13"/>
  <c r="E67" i="13"/>
  <c r="E59" i="13"/>
  <c r="B53" i="13"/>
  <c r="B45" i="13"/>
  <c r="B37" i="13"/>
  <c r="B30" i="13"/>
  <c r="J18" i="13"/>
  <c r="J11" i="13"/>
  <c r="B59" i="4"/>
  <c r="K3" i="4"/>
  <c r="E56" i="18"/>
  <c r="E89" i="17"/>
  <c r="B32" i="16"/>
  <c r="M32" i="16" s="1"/>
  <c r="A23" i="14"/>
  <c r="A29" i="21"/>
  <c r="E52" i="15"/>
  <c r="E51" i="13"/>
  <c r="H24" i="17"/>
  <c r="E66" i="21"/>
  <c r="B36" i="15"/>
  <c r="M36" i="15" s="1"/>
  <c r="B43" i="13"/>
  <c r="I18" i="1"/>
  <c r="B91" i="22"/>
  <c r="M91" i="22" s="1"/>
  <c r="E34" i="22"/>
  <c r="B50" i="19"/>
  <c r="M50" i="19" s="1"/>
  <c r="B63" i="18"/>
  <c r="M63" i="18" s="1"/>
  <c r="A30" i="18"/>
  <c r="B95" i="17"/>
  <c r="M95" i="17" s="1"/>
  <c r="B63" i="17"/>
  <c r="M63" i="17" s="1"/>
  <c r="E32" i="17"/>
  <c r="E102" i="16"/>
  <c r="B68" i="16"/>
  <c r="M68" i="16" s="1"/>
  <c r="E37" i="16"/>
  <c r="N2" i="16"/>
  <c r="B47" i="14"/>
  <c r="M47" i="14" s="1"/>
  <c r="B9" i="14"/>
  <c r="E91" i="21"/>
  <c r="E79" i="21"/>
  <c r="B68" i="21"/>
  <c r="M68" i="21" s="1"/>
  <c r="I57" i="21"/>
  <c r="B47" i="21"/>
  <c r="M47" i="21" s="1"/>
  <c r="B37" i="21"/>
  <c r="M37" i="21" s="1"/>
  <c r="B30" i="21"/>
  <c r="B18" i="21"/>
  <c r="L9" i="21"/>
  <c r="E102" i="15"/>
  <c r="B92" i="15"/>
  <c r="M92" i="15" s="1"/>
  <c r="B84" i="15"/>
  <c r="M84" i="15" s="1"/>
  <c r="B76" i="15"/>
  <c r="M76" i="15" s="1"/>
  <c r="B68" i="15"/>
  <c r="M68" i="15" s="1"/>
  <c r="B60" i="15"/>
  <c r="M60" i="15" s="1"/>
  <c r="E53" i="15"/>
  <c r="E45" i="15"/>
  <c r="E37" i="15"/>
  <c r="E30" i="15"/>
  <c r="J19" i="15"/>
  <c r="G13" i="15"/>
  <c r="N2" i="15"/>
  <c r="B100" i="13"/>
  <c r="B91" i="13"/>
  <c r="B83" i="13"/>
  <c r="B75" i="13"/>
  <c r="B67" i="13"/>
  <c r="B59" i="13"/>
  <c r="E52" i="13"/>
  <c r="E44" i="13"/>
  <c r="E36" i="13"/>
  <c r="A30" i="13"/>
  <c r="G18" i="13"/>
  <c r="G11" i="13"/>
  <c r="B46" i="4"/>
  <c r="K2" i="4"/>
  <c r="B99" i="18"/>
  <c r="M99" i="18" s="1"/>
  <c r="B58" i="17"/>
  <c r="M58" i="17" s="1"/>
  <c r="E62" i="16"/>
  <c r="B36" i="21"/>
  <c r="M36" i="21" s="1"/>
  <c r="B59" i="15"/>
  <c r="M59" i="15" s="1"/>
  <c r="B74" i="13"/>
  <c r="I56" i="17"/>
  <c r="E55" i="21"/>
  <c r="E58" i="15"/>
  <c r="B51" i="13"/>
  <c r="G18" i="1"/>
  <c r="B90" i="22"/>
  <c r="M90" i="22" s="1"/>
  <c r="L22" i="22"/>
  <c r="B41" i="19"/>
  <c r="M41" i="19" s="1"/>
  <c r="E99" i="18"/>
  <c r="I56" i="18"/>
  <c r="G20" i="18"/>
  <c r="B90" i="17"/>
  <c r="M90" i="17" s="1"/>
  <c r="E58" i="17"/>
  <c r="B30" i="17"/>
  <c r="B95" i="16"/>
  <c r="M95" i="16" s="1"/>
  <c r="B63" i="16"/>
  <c r="M63" i="16" s="1"/>
  <c r="E32" i="16"/>
  <c r="B100" i="14"/>
  <c r="M100" i="14" s="1"/>
  <c r="E65" i="14"/>
  <c r="B43" i="14"/>
  <c r="M43" i="14" s="1"/>
  <c r="G23" i="14"/>
  <c r="A8" i="14"/>
  <c r="B91" i="21"/>
  <c r="M91" i="21" s="1"/>
  <c r="E67" i="21"/>
  <c r="E56" i="21"/>
  <c r="E46" i="21"/>
  <c r="E36" i="21"/>
  <c r="A30" i="21"/>
  <c r="J17" i="21"/>
  <c r="J9" i="21"/>
  <c r="B102" i="15"/>
  <c r="M102" i="15" s="1"/>
  <c r="E91" i="15"/>
  <c r="E83" i="15"/>
  <c r="E75" i="15"/>
  <c r="E67" i="15"/>
  <c r="E59" i="15"/>
  <c r="B53" i="15"/>
  <c r="M53" i="15" s="1"/>
  <c r="B45" i="15"/>
  <c r="M45" i="15" s="1"/>
  <c r="B37" i="15"/>
  <c r="M37" i="15" s="1"/>
  <c r="D30" i="15"/>
  <c r="G19" i="15"/>
  <c r="B13" i="15"/>
  <c r="N1" i="15"/>
  <c r="E99" i="13"/>
  <c r="E90" i="13"/>
  <c r="E82" i="13"/>
  <c r="E66" i="13"/>
  <c r="I58" i="13"/>
  <c r="B52" i="13"/>
  <c r="B44" i="13"/>
  <c r="E35" i="13"/>
  <c r="A29" i="13"/>
  <c r="B18" i="13"/>
  <c r="B11" i="13"/>
  <c r="B40" i="4"/>
  <c r="M1" i="4"/>
  <c r="E85" i="22"/>
  <c r="B20" i="18"/>
  <c r="E94" i="16"/>
  <c r="B78" i="21"/>
  <c r="M78" i="21" s="1"/>
  <c r="G9" i="21"/>
  <c r="E44" i="15"/>
  <c r="E43" i="13"/>
  <c r="J18" i="18"/>
  <c r="E35" i="21"/>
  <c r="E98" i="13"/>
  <c r="A108" i="2"/>
  <c r="E58" i="24"/>
  <c r="E83" i="22"/>
  <c r="G18" i="22"/>
  <c r="E37" i="19"/>
  <c r="V7" i="4"/>
  <c r="AF52" i="24"/>
  <c r="AD52" i="24" s="1"/>
  <c r="AW44" i="24"/>
  <c r="AX42" i="24"/>
  <c r="AO44" i="24"/>
  <c r="D44" i="24" s="1"/>
  <c r="E227" i="2"/>
  <c r="E180" i="2"/>
  <c r="E37" i="1" l="1"/>
  <c r="Y63" i="1"/>
  <c r="E54" i="1"/>
  <c r="Y54" i="1"/>
  <c r="X55" i="22"/>
  <c r="X48" i="22"/>
  <c r="X32" i="22"/>
  <c r="Y37" i="1"/>
  <c r="D31" i="20"/>
  <c r="D69" i="22"/>
  <c r="D52" i="24"/>
  <c r="D63" i="22"/>
  <c r="D53" i="20"/>
  <c r="D71" i="1"/>
  <c r="U63" i="22"/>
  <c r="L63" i="22"/>
  <c r="D86" i="22"/>
  <c r="D52" i="20"/>
  <c r="D43" i="20"/>
  <c r="D78" i="1"/>
  <c r="D66" i="22"/>
  <c r="D32" i="20"/>
  <c r="D84" i="19"/>
  <c r="D39" i="19"/>
  <c r="D31" i="19"/>
  <c r="D40" i="19"/>
  <c r="D103" i="18"/>
  <c r="D101" i="14"/>
  <c r="D106" i="13"/>
  <c r="D103" i="16"/>
  <c r="D104" i="17"/>
  <c r="D102" i="18"/>
  <c r="D105" i="13"/>
  <c r="D103" i="17"/>
  <c r="D102" i="16"/>
  <c r="D35" i="15"/>
  <c r="D34" i="18"/>
  <c r="D36" i="13"/>
  <c r="D36" i="17"/>
  <c r="D35" i="16"/>
  <c r="D46" i="14"/>
  <c r="D47" i="18"/>
  <c r="D48" i="16"/>
  <c r="D49" i="13"/>
  <c r="D49" i="17"/>
  <c r="D38" i="15"/>
  <c r="D37" i="18"/>
  <c r="D39" i="17"/>
  <c r="D39" i="13"/>
  <c r="D38" i="16"/>
  <c r="D34" i="14"/>
  <c r="D35" i="18"/>
  <c r="D37" i="13"/>
  <c r="D37" i="17"/>
  <c r="D36" i="16"/>
  <c r="D48" i="18"/>
  <c r="D47" i="14"/>
  <c r="D50" i="13"/>
  <c r="D50" i="17"/>
  <c r="D49" i="16"/>
  <c r="D103" i="21"/>
  <c r="D102" i="15"/>
  <c r="D102" i="21"/>
  <c r="D38" i="21"/>
  <c r="D48" i="19"/>
  <c r="D36" i="14"/>
  <c r="D49" i="21"/>
  <c r="D48" i="21"/>
  <c r="D35" i="21"/>
  <c r="D55" i="18"/>
  <c r="A26" i="26"/>
  <c r="A193" i="2"/>
  <c r="J92" i="1" s="1"/>
  <c r="A254" i="2"/>
  <c r="FV33" i="22"/>
  <c r="FW35" i="22"/>
  <c r="FT35" i="22" s="1"/>
  <c r="FW33" i="22"/>
  <c r="FU33" i="22"/>
  <c r="O53" i="14"/>
  <c r="O36" i="14"/>
  <c r="L106" i="13"/>
  <c r="O106" i="13" s="1"/>
  <c r="L101" i="14"/>
  <c r="O101" i="14" s="1"/>
  <c r="L103" i="16"/>
  <c r="O103" i="16" s="1"/>
  <c r="O56" i="16"/>
  <c r="O56" i="18"/>
  <c r="O54" i="14"/>
  <c r="O57" i="16"/>
  <c r="O55" i="14"/>
  <c r="O57" i="18"/>
  <c r="O49" i="13"/>
  <c r="O46" i="14"/>
  <c r="O48" i="16"/>
  <c r="O47" i="14"/>
  <c r="O49" i="16"/>
  <c r="O48" i="19"/>
  <c r="O39" i="13"/>
  <c r="O50" i="17"/>
  <c r="O50" i="13"/>
  <c r="E226" i="2"/>
  <c r="A210" i="2"/>
  <c r="A218" i="2"/>
  <c r="A189" i="2"/>
  <c r="A248" i="2"/>
  <c r="AG31" i="20"/>
  <c r="AE31" i="20" s="1"/>
  <c r="AF32" i="20"/>
  <c r="AD32" i="20" s="1"/>
  <c r="AG32" i="24"/>
  <c r="AE32" i="24" s="1"/>
  <c r="AF32" i="24"/>
  <c r="AD32" i="24" s="1"/>
  <c r="A199" i="2"/>
  <c r="A202" i="2"/>
  <c r="A222" i="2"/>
  <c r="AF31" i="24"/>
  <c r="AD31" i="24" s="1"/>
  <c r="AG31" i="24"/>
  <c r="AE31" i="24" s="1"/>
  <c r="A225" i="2"/>
  <c r="B175" i="2"/>
  <c r="E175" i="2" s="1"/>
  <c r="B174" i="2"/>
  <c r="E174" i="2" s="1"/>
  <c r="B179" i="2"/>
  <c r="B169" i="2"/>
  <c r="B170" i="2"/>
  <c r="B168" i="2"/>
  <c r="B164" i="2"/>
  <c r="E164" i="2" s="1"/>
  <c r="B163" i="2"/>
  <c r="E163" i="2" s="1"/>
  <c r="B180" i="2"/>
  <c r="A186" i="2"/>
  <c r="A183" i="2"/>
  <c r="J48" i="1" s="1"/>
  <c r="B206" i="2"/>
  <c r="B207" i="2"/>
  <c r="AD35" i="15"/>
  <c r="L35" i="15" s="1"/>
  <c r="O35" i="15" s="1"/>
  <c r="AD39" i="19"/>
  <c r="L39" i="19" s="1"/>
  <c r="O48" i="18"/>
  <c r="O49" i="17"/>
  <c r="AC36" i="21"/>
  <c r="L36" i="21" s="1"/>
  <c r="O36" i="21" s="1"/>
  <c r="AD37" i="13"/>
  <c r="L37" i="13" s="1"/>
  <c r="O37" i="13" s="1"/>
  <c r="O37" i="18"/>
  <c r="O39" i="17"/>
  <c r="L103" i="18"/>
  <c r="O103" i="18" s="1"/>
  <c r="L104" i="17"/>
  <c r="O104" i="17" s="1"/>
  <c r="AD34" i="18"/>
  <c r="L34" i="18" s="1"/>
  <c r="O34" i="18" s="1"/>
  <c r="AC36" i="17"/>
  <c r="L36" i="17" s="1"/>
  <c r="O36" i="17" s="1"/>
  <c r="AD36" i="13"/>
  <c r="L36" i="13" s="1"/>
  <c r="O36" i="13" s="1"/>
  <c r="AC35" i="16"/>
  <c r="L35" i="16" s="1"/>
  <c r="O35" i="16" s="1"/>
  <c r="AD33" i="14"/>
  <c r="L33" i="14" s="1"/>
  <c r="O33" i="14" s="1"/>
  <c r="O47" i="18"/>
  <c r="AC35" i="21"/>
  <c r="L35" i="21" s="1"/>
  <c r="O35" i="21" s="1"/>
  <c r="D36" i="21"/>
  <c r="B161" i="23"/>
  <c r="B162" i="23"/>
  <c r="A175" i="23"/>
  <c r="A178" i="23"/>
  <c r="B171" i="23"/>
  <c r="B160" i="23"/>
  <c r="B172" i="23"/>
  <c r="B156" i="23"/>
  <c r="E156" i="23" s="1"/>
  <c r="B155" i="23"/>
  <c r="E155" i="23" s="1"/>
  <c r="A243" i="23"/>
  <c r="A246" i="23"/>
  <c r="AW45" i="24"/>
  <c r="A187" i="23"/>
  <c r="J85" i="22" s="1"/>
  <c r="D85" i="22" s="1"/>
  <c r="A268" i="23"/>
  <c r="A191" i="23"/>
  <c r="A217" i="23"/>
  <c r="D36" i="15"/>
  <c r="D50" i="18"/>
  <c r="D51" i="18"/>
  <c r="D51" i="16"/>
  <c r="D49" i="14"/>
  <c r="D36" i="18"/>
  <c r="D38" i="17"/>
  <c r="D35" i="14"/>
  <c r="O21" i="18"/>
  <c r="FT33" i="22" l="1"/>
  <c r="O31" i="18"/>
  <c r="O32" i="18"/>
  <c r="J83" i="22"/>
  <c r="J70" i="22"/>
  <c r="L51" i="19"/>
  <c r="O51" i="19" s="1"/>
  <c r="W48" i="22" l="1"/>
  <c r="U48" i="22" s="1"/>
  <c r="W47" i="22"/>
  <c r="U47" i="22" s="1"/>
  <c r="W32" i="22"/>
  <c r="U32" i="22" s="1"/>
  <c r="W31" i="22"/>
  <c r="X54" i="1"/>
  <c r="V54" i="1" s="1"/>
  <c r="V48" i="22"/>
  <c r="U31" i="22" l="1"/>
  <c r="L31" i="22" s="1"/>
  <c r="W55" i="22"/>
  <c r="U55" i="22" s="1"/>
  <c r="W37" i="1"/>
  <c r="W63" i="1"/>
  <c r="V55" i="22"/>
  <c r="W54" i="1"/>
  <c r="V32" i="22"/>
  <c r="X36" i="1"/>
  <c r="V36" i="1" s="1"/>
  <c r="L113" i="1" l="1"/>
  <c r="O113" i="1" s="1"/>
  <c r="L112" i="1"/>
  <c r="O112" i="1" s="1"/>
  <c r="AO59" i="24" l="1"/>
  <c r="D59" i="24" s="1"/>
  <c r="AO58" i="24"/>
  <c r="D58" i="24" s="1"/>
  <c r="AO51" i="24"/>
  <c r="D51" i="24" s="1"/>
  <c r="AO50" i="24"/>
  <c r="AO48" i="24"/>
  <c r="D48" i="24" s="1"/>
  <c r="AO46" i="24"/>
  <c r="D46" i="24" s="1"/>
  <c r="AO41" i="24"/>
  <c r="D41" i="24" s="1"/>
  <c r="AO39" i="24"/>
  <c r="D39" i="24" s="1"/>
  <c r="AO37" i="24"/>
  <c r="D37" i="24" s="1"/>
  <c r="AO35" i="24"/>
  <c r="D35" i="24" s="1"/>
  <c r="BE31" i="24"/>
  <c r="D31" i="24" s="1"/>
  <c r="AW31" i="24"/>
  <c r="AO31" i="24"/>
  <c r="L64" i="24"/>
  <c r="O64" i="24" s="1"/>
  <c r="L63" i="24"/>
  <c r="O63" i="24" s="1"/>
  <c r="L62" i="24"/>
  <c r="O62" i="24" s="1"/>
  <c r="L61" i="24"/>
  <c r="O61" i="24" s="1"/>
  <c r="L60" i="24"/>
  <c r="O60" i="24" s="1"/>
  <c r="L59" i="24"/>
  <c r="O59" i="24" s="1"/>
  <c r="L58" i="24"/>
  <c r="O58" i="24" s="1"/>
  <c r="D50" i="24"/>
  <c r="L65" i="20" l="1"/>
  <c r="O65" i="20" s="1"/>
  <c r="L64" i="20"/>
  <c r="O64" i="20" s="1"/>
  <c r="L63" i="20"/>
  <c r="O63" i="20" s="1"/>
  <c r="L62" i="20"/>
  <c r="O62" i="20" s="1"/>
  <c r="L61" i="20"/>
  <c r="O61" i="20" s="1"/>
  <c r="L60" i="20"/>
  <c r="O60" i="20" s="1"/>
  <c r="L59" i="20"/>
  <c r="O59" i="20" s="1"/>
  <c r="AL84" i="22" l="1"/>
  <c r="U84" i="22"/>
  <c r="L84" i="22" s="1"/>
  <c r="W83" i="22"/>
  <c r="U83" i="22" s="1"/>
  <c r="AJ109" i="1"/>
  <c r="D109" i="1" s="1"/>
  <c r="AJ108" i="1"/>
  <c r="D108" i="1" s="1"/>
  <c r="AJ93" i="1"/>
  <c r="D93" i="1" s="1"/>
  <c r="V93" i="1"/>
  <c r="L93" i="1" s="1"/>
  <c r="O84" i="22" l="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2" i="22"/>
  <c r="W60" i="22"/>
  <c r="U60" i="22" s="1"/>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L35" i="22"/>
  <c r="O35" i="22" s="1"/>
  <c r="X100" i="1"/>
  <c r="V100" i="1" s="1"/>
  <c r="X96" i="1"/>
  <c r="V96" i="1" s="1"/>
  <c r="W90" i="22"/>
  <c r="X95" i="1"/>
  <c r="AV95" i="1"/>
  <c r="BH100" i="1"/>
  <c r="AV100" i="1"/>
  <c r="AJ100" i="1"/>
  <c r="BH94" i="1"/>
  <c r="EH38" i="1"/>
  <c r="DM88" i="1"/>
  <c r="DN48" i="1"/>
  <c r="DB88" i="1"/>
  <c r="DC48" i="1"/>
  <c r="CF90" i="1"/>
  <c r="CF80" i="1"/>
  <c r="CF70" i="1"/>
  <c r="CF62" i="1"/>
  <c r="CF48" i="1"/>
  <c r="CF38" i="1"/>
  <c r="BT104" i="1"/>
  <c r="BT98" i="1"/>
  <c r="BT92" i="1"/>
  <c r="BT88" i="1"/>
  <c r="BT83" i="1"/>
  <c r="BT82" i="1"/>
  <c r="BT81" i="1"/>
  <c r="BT80" i="1"/>
  <c r="BT70" i="1"/>
  <c r="BT62" i="1"/>
  <c r="BT61" i="1"/>
  <c r="BT60" i="1"/>
  <c r="BT55" i="1"/>
  <c r="BT54" i="1"/>
  <c r="BT53" i="1"/>
  <c r="BT48" i="1"/>
  <c r="BT47" i="1"/>
  <c r="BT46" i="1"/>
  <c r="BT43" i="1"/>
  <c r="BT40" i="1"/>
  <c r="BT38" i="1"/>
  <c r="BH105" i="1"/>
  <c r="BH98" i="1"/>
  <c r="BH96" i="1"/>
  <c r="BH92" i="1"/>
  <c r="D92" i="1" s="1"/>
  <c r="BH91" i="1"/>
  <c r="BH88" i="1"/>
  <c r="BH86" i="1"/>
  <c r="BH85" i="1"/>
  <c r="BH84" i="1"/>
  <c r="BH83" i="1"/>
  <c r="BH70" i="1"/>
  <c r="BH62" i="1"/>
  <c r="BH61" i="1"/>
  <c r="BH60" i="1"/>
  <c r="BH57" i="1"/>
  <c r="BH55" i="1"/>
  <c r="BH54" i="1"/>
  <c r="BH53" i="1"/>
  <c r="BH49" i="1"/>
  <c r="BH48" i="1"/>
  <c r="BH40" i="1"/>
  <c r="BH38" i="1"/>
  <c r="AV104" i="1"/>
  <c r="AV101" i="1"/>
  <c r="AV99" i="1"/>
  <c r="AV94" i="1"/>
  <c r="AV92" i="1"/>
  <c r="D91" i="1"/>
  <c r="AV90" i="1"/>
  <c r="AV88" i="1"/>
  <c r="AV85" i="1"/>
  <c r="AV84" i="1"/>
  <c r="AV82" i="1"/>
  <c r="AV81" i="1"/>
  <c r="AV80" i="1"/>
  <c r="D62" i="1"/>
  <c r="AV48" i="1"/>
  <c r="AV47" i="1"/>
  <c r="AV46" i="1"/>
  <c r="AV43" i="1"/>
  <c r="AV39" i="1"/>
  <c r="AV38" i="1"/>
  <c r="AV37" i="1"/>
  <c r="AV36" i="1"/>
  <c r="AJ105" i="1"/>
  <c r="AJ104" i="1"/>
  <c r="AJ102" i="1"/>
  <c r="D102" i="1" s="1"/>
  <c r="AJ101" i="1"/>
  <c r="AJ99" i="1"/>
  <c r="D99" i="1" s="1"/>
  <c r="AJ98" i="1"/>
  <c r="AJ96" i="1"/>
  <c r="AJ95" i="1"/>
  <c r="AJ94" i="1"/>
  <c r="AJ92" i="1"/>
  <c r="AJ91" i="1"/>
  <c r="AJ90" i="1"/>
  <c r="AJ88" i="1"/>
  <c r="AJ89" i="1"/>
  <c r="D89" i="1" s="1"/>
  <c r="AJ86" i="1"/>
  <c r="AJ85" i="1"/>
  <c r="AJ84" i="1"/>
  <c r="D84" i="1" s="1"/>
  <c r="AJ83" i="1"/>
  <c r="AJ81" i="1"/>
  <c r="AJ80" i="1"/>
  <c r="AJ79" i="1"/>
  <c r="D79" i="1" s="1"/>
  <c r="D76" i="1"/>
  <c r="AJ70" i="1"/>
  <c r="AJ69" i="1"/>
  <c r="D69" i="1" s="1"/>
  <c r="AJ68" i="1"/>
  <c r="D68" i="1" s="1"/>
  <c r="D66" i="1"/>
  <c r="D65" i="1"/>
  <c r="D64" i="1"/>
  <c r="D63" i="1"/>
  <c r="AJ62" i="1"/>
  <c r="AJ61" i="1"/>
  <c r="AJ60" i="1"/>
  <c r="AJ59" i="1"/>
  <c r="D59" i="1" s="1"/>
  <c r="AJ58" i="1"/>
  <c r="D58" i="1" s="1"/>
  <c r="AJ57" i="1"/>
  <c r="AJ56" i="1"/>
  <c r="AJ55" i="1"/>
  <c r="AJ54" i="1"/>
  <c r="D52" i="1"/>
  <c r="D50" i="1"/>
  <c r="AJ49" i="1"/>
  <c r="AJ48" i="1"/>
  <c r="AJ47" i="1"/>
  <c r="AJ46" i="1"/>
  <c r="AJ45" i="1"/>
  <c r="D45" i="1" s="1"/>
  <c r="AJ44" i="1"/>
  <c r="D44" i="1" s="1"/>
  <c r="AJ43" i="1"/>
  <c r="D41" i="1"/>
  <c r="AJ39" i="1"/>
  <c r="AJ38" i="1"/>
  <c r="AJ37" i="1"/>
  <c r="AJ36" i="1"/>
  <c r="AO49" i="24"/>
  <c r="D49" i="24" s="1"/>
  <c r="AO47" i="24"/>
  <c r="D47" i="24" s="1"/>
  <c r="AO45" i="24"/>
  <c r="D45" i="24" s="1"/>
  <c r="AO42" i="24"/>
  <c r="AO40" i="24"/>
  <c r="D40" i="24" s="1"/>
  <c r="AO38" i="24"/>
  <c r="D38" i="24" s="1"/>
  <c r="AO36" i="24"/>
  <c r="D36" i="24" s="1"/>
  <c r="BE32" i="24"/>
  <c r="D32" i="24" s="1"/>
  <c r="AW32" i="24"/>
  <c r="AO32" i="24"/>
  <c r="FC57" i="18"/>
  <c r="EH57" i="18"/>
  <c r="DM57" i="18"/>
  <c r="CR57" i="18"/>
  <c r="BW57" i="18"/>
  <c r="BB57" i="18"/>
  <c r="GS56" i="18"/>
  <c r="FX56" i="18"/>
  <c r="FC56" i="18"/>
  <c r="EH56" i="18"/>
  <c r="D56" i="18"/>
  <c r="DM56" i="18"/>
  <c r="CR56" i="18"/>
  <c r="BW56" i="18"/>
  <c r="BB56" i="18"/>
  <c r="RF55" i="18"/>
  <c r="QK55" i="18"/>
  <c r="PP55" i="18"/>
  <c r="OU55" i="18"/>
  <c r="NZ55" i="18"/>
  <c r="NE55" i="18"/>
  <c r="MJ55" i="18"/>
  <c r="LO55" i="18"/>
  <c r="KT55" i="18"/>
  <c r="JY55" i="18"/>
  <c r="JD55" i="18"/>
  <c r="II55" i="18"/>
  <c r="HN55" i="18"/>
  <c r="GS55" i="18"/>
  <c r="FX55" i="18"/>
  <c r="FC55" i="18"/>
  <c r="EH55" i="18"/>
  <c r="DM55" i="18"/>
  <c r="CR55" i="18"/>
  <c r="BW55" i="18"/>
  <c r="BB55" i="18"/>
  <c r="FC58" i="17"/>
  <c r="EH58" i="17"/>
  <c r="DM58" i="17"/>
  <c r="CR58" i="17"/>
  <c r="BW58" i="17"/>
  <c r="BB58" i="17"/>
  <c r="GS57" i="17"/>
  <c r="FX57" i="17"/>
  <c r="FC57" i="17"/>
  <c r="EH57" i="17"/>
  <c r="DM57" i="17"/>
  <c r="CR57" i="17"/>
  <c r="BW57" i="17"/>
  <c r="BB57" i="17"/>
  <c r="D57" i="17" s="1"/>
  <c r="RF56" i="17"/>
  <c r="QK56" i="17"/>
  <c r="PP56" i="17"/>
  <c r="OU56" i="17"/>
  <c r="NZ56" i="17"/>
  <c r="NE56" i="17"/>
  <c r="MJ56" i="17"/>
  <c r="LO56" i="17"/>
  <c r="KT56" i="17"/>
  <c r="JY56" i="17"/>
  <c r="JD56" i="17"/>
  <c r="II56" i="17"/>
  <c r="HN56" i="17"/>
  <c r="GS56" i="17"/>
  <c r="FX56" i="17"/>
  <c r="FC56" i="17"/>
  <c r="EH56" i="17"/>
  <c r="DM56" i="17"/>
  <c r="CR56" i="17"/>
  <c r="BW56" i="17"/>
  <c r="Q56" i="17" s="1"/>
  <c r="D56" i="17" s="1"/>
  <c r="BB56" i="17"/>
  <c r="FC57" i="16"/>
  <c r="EH57" i="16"/>
  <c r="DM57" i="16"/>
  <c r="CR57" i="16"/>
  <c r="BW57" i="16"/>
  <c r="BB57" i="16"/>
  <c r="GS56" i="16"/>
  <c r="FX56" i="16"/>
  <c r="FC56" i="16"/>
  <c r="EH56" i="16"/>
  <c r="DM56" i="16"/>
  <c r="CR56" i="16"/>
  <c r="BW56" i="16"/>
  <c r="BB56" i="16"/>
  <c r="RF55" i="16"/>
  <c r="QK55" i="16"/>
  <c r="PP55" i="16"/>
  <c r="OU55" i="16"/>
  <c r="NZ55" i="16"/>
  <c r="NE55" i="16"/>
  <c r="MJ55" i="16"/>
  <c r="LO55" i="16"/>
  <c r="KT55" i="16"/>
  <c r="JY55" i="16"/>
  <c r="JD55" i="16"/>
  <c r="II55" i="16"/>
  <c r="HN55" i="16"/>
  <c r="GS55" i="16"/>
  <c r="FX55" i="16"/>
  <c r="FC55" i="16"/>
  <c r="EH55" i="16"/>
  <c r="DM55" i="16"/>
  <c r="CR55" i="16"/>
  <c r="BW55" i="16"/>
  <c r="Q55" i="16" s="1"/>
  <c r="D55" i="16" s="1"/>
  <c r="BB55" i="16"/>
  <c r="FC55" i="14"/>
  <c r="EH55" i="14"/>
  <c r="DM55" i="14"/>
  <c r="CR55" i="14"/>
  <c r="BW55" i="14"/>
  <c r="BB55" i="14"/>
  <c r="GS54" i="14"/>
  <c r="FX54" i="14"/>
  <c r="D54" i="14"/>
  <c r="FC54" i="14"/>
  <c r="EH54" i="14"/>
  <c r="DM54" i="14"/>
  <c r="CR54" i="14"/>
  <c r="BW54" i="14"/>
  <c r="BB54" i="14"/>
  <c r="RF53" i="14"/>
  <c r="QK53" i="14"/>
  <c r="PP53" i="14"/>
  <c r="OU53" i="14"/>
  <c r="NZ53" i="14"/>
  <c r="NE53" i="14"/>
  <c r="MJ53" i="14"/>
  <c r="LO53" i="14"/>
  <c r="KT53" i="14"/>
  <c r="JY53" i="14"/>
  <c r="JD53" i="14"/>
  <c r="II53" i="14"/>
  <c r="HN53" i="14"/>
  <c r="GS53" i="14"/>
  <c r="FX53" i="14"/>
  <c r="FC53" i="14"/>
  <c r="EH53" i="14"/>
  <c r="DM53" i="14"/>
  <c r="CR53" i="14"/>
  <c r="BW53" i="14"/>
  <c r="BB53" i="14"/>
  <c r="Q53" i="14" s="1"/>
  <c r="D53" i="14" s="1"/>
  <c r="D55" i="21"/>
  <c r="FC57" i="15"/>
  <c r="EH57" i="15"/>
  <c r="DM57" i="15"/>
  <c r="CR57" i="15"/>
  <c r="BW57" i="15"/>
  <c r="BB57" i="15"/>
  <c r="GS56" i="15"/>
  <c r="FX56" i="15"/>
  <c r="FC56" i="15"/>
  <c r="EH56" i="15"/>
  <c r="DM56" i="15"/>
  <c r="CR56" i="15"/>
  <c r="BW56" i="15"/>
  <c r="BB56" i="15"/>
  <c r="RF55" i="15"/>
  <c r="QK55" i="15"/>
  <c r="PP55" i="15"/>
  <c r="OU55" i="15"/>
  <c r="NZ55" i="15"/>
  <c r="NE55" i="15"/>
  <c r="MJ55" i="15"/>
  <c r="LO55" i="15"/>
  <c r="KT55" i="15"/>
  <c r="JY55" i="15"/>
  <c r="JD55" i="15"/>
  <c r="II55" i="15"/>
  <c r="HN55" i="15"/>
  <c r="GS55" i="15"/>
  <c r="FX55" i="15"/>
  <c r="FC55" i="15"/>
  <c r="EH55" i="15"/>
  <c r="DM55" i="15"/>
  <c r="CR55" i="15"/>
  <c r="BW55" i="15"/>
  <c r="BB55" i="15"/>
  <c r="Q55" i="15" s="1"/>
  <c r="D55" i="15" s="1"/>
  <c r="D59" i="13"/>
  <c r="RF56" i="13"/>
  <c r="QK56" i="13"/>
  <c r="PP56" i="13"/>
  <c r="OU56" i="13"/>
  <c r="NZ56" i="13"/>
  <c r="NE56" i="13"/>
  <c r="KT56" i="13"/>
  <c r="LO56" i="13"/>
  <c r="MJ56" i="13"/>
  <c r="JY56" i="13"/>
  <c r="JD56" i="13"/>
  <c r="II56" i="13"/>
  <c r="HN56" i="13"/>
  <c r="GS57" i="13"/>
  <c r="GS56" i="13"/>
  <c r="FX57" i="13"/>
  <c r="FX56" i="13"/>
  <c r="FC57" i="13"/>
  <c r="FC56" i="13"/>
  <c r="EH57" i="13"/>
  <c r="EH56" i="13"/>
  <c r="DM57" i="13"/>
  <c r="DM56" i="13"/>
  <c r="CR57" i="13"/>
  <c r="CR56" i="13"/>
  <c r="BW57" i="13"/>
  <c r="BW56" i="13"/>
  <c r="Q56" i="13" s="1"/>
  <c r="D56" i="13" s="1"/>
  <c r="BB57" i="13"/>
  <c r="BB56" i="13"/>
  <c r="W94" i="22"/>
  <c r="U94" i="22" s="1"/>
  <c r="X53" i="1"/>
  <c r="V53" i="1" s="1"/>
  <c r="W96" i="22"/>
  <c r="U96" i="22" s="1"/>
  <c r="X92" i="1"/>
  <c r="V92" i="1" s="1"/>
  <c r="X70" i="1"/>
  <c r="V70" i="1" s="1"/>
  <c r="X97" i="1"/>
  <c r="V97" i="1" s="1"/>
  <c r="X106" i="1"/>
  <c r="V106" i="1" s="1"/>
  <c r="X104" i="1"/>
  <c r="V104" i="1" s="1"/>
  <c r="X43" i="1"/>
  <c r="V43" i="1" s="1"/>
  <c r="W97" i="22"/>
  <c r="U97" i="22" s="1"/>
  <c r="W95" i="22"/>
  <c r="U95" i="22" s="1"/>
  <c r="W61" i="22"/>
  <c r="U61" i="22" s="1"/>
  <c r="X62" i="1"/>
  <c r="V62" i="1" s="1"/>
  <c r="X37" i="1"/>
  <c r="V37" i="1" s="1"/>
  <c r="X105" i="1"/>
  <c r="V105" i="1" s="1"/>
  <c r="X107" i="1"/>
  <c r="V107" i="1" s="1"/>
  <c r="X90" i="1"/>
  <c r="X89" i="1"/>
  <c r="V89" i="1" s="1"/>
  <c r="X52" i="1"/>
  <c r="V52" i="1" s="1"/>
  <c r="X98" i="1"/>
  <c r="V98" i="1" s="1"/>
  <c r="X99" i="1"/>
  <c r="V99" i="1" s="1"/>
  <c r="X91" i="1"/>
  <c r="V91" i="1" s="1"/>
  <c r="L88" i="1"/>
  <c r="O88" i="1" s="1"/>
  <c r="X87" i="1"/>
  <c r="V87" i="1" s="1"/>
  <c r="X86" i="1"/>
  <c r="V86" i="1" s="1"/>
  <c r="X85" i="1"/>
  <c r="V85" i="1" s="1"/>
  <c r="X84" i="1"/>
  <c r="V84" i="1" s="1"/>
  <c r="X83" i="1"/>
  <c r="V83" i="1" s="1"/>
  <c r="X82" i="1"/>
  <c r="V82" i="1" s="1"/>
  <c r="X81" i="1"/>
  <c r="V81" i="1" s="1"/>
  <c r="X80" i="1"/>
  <c r="V80" i="1" s="1"/>
  <c r="X75" i="1"/>
  <c r="X73" i="1"/>
  <c r="X71" i="1"/>
  <c r="X69" i="1"/>
  <c r="V69" i="1" s="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T91" i="22"/>
  <c r="W89" i="22"/>
  <c r="U89" i="22" s="1"/>
  <c r="W66" i="22"/>
  <c r="U66" i="22" s="1"/>
  <c r="W64" i="22"/>
  <c r="U59" i="22"/>
  <c r="X53" i="22"/>
  <c r="V53" i="22" s="1"/>
  <c r="X52" i="22"/>
  <c r="V52" i="22" s="1"/>
  <c r="X51" i="22"/>
  <c r="V51" i="22" s="1"/>
  <c r="X50" i="22"/>
  <c r="V50" i="22" s="1"/>
  <c r="W50" i="22"/>
  <c r="U50" i="22" s="1"/>
  <c r="X49" i="22"/>
  <c r="V49" i="22" s="1"/>
  <c r="W34" i="22"/>
  <c r="U34" i="22" s="1"/>
  <c r="W40" i="22"/>
  <c r="U40" i="22" s="1"/>
  <c r="AF56" i="20"/>
  <c r="AD56" i="20" s="1"/>
  <c r="AF54" i="20"/>
  <c r="AD54" i="20" s="1"/>
  <c r="AF53" i="20"/>
  <c r="AD53" i="20" s="1"/>
  <c r="AF46" i="20"/>
  <c r="AD46" i="20" s="1"/>
  <c r="AF43" i="20"/>
  <c r="AD43" i="20" s="1"/>
  <c r="AF55" i="24"/>
  <c r="AD55" i="24" s="1"/>
  <c r="AF53" i="24"/>
  <c r="AD53" i="24" s="1"/>
  <c r="AF45" i="24"/>
  <c r="AD45" i="24" s="1"/>
  <c r="AF42" i="24"/>
  <c r="D77" i="19"/>
  <c r="D76" i="19"/>
  <c r="AF35" i="13"/>
  <c r="D54" i="18"/>
  <c r="D52" i="17"/>
  <c r="D72" i="18"/>
  <c r="AW56" i="24"/>
  <c r="AO56" i="24"/>
  <c r="D56" i="24" s="1"/>
  <c r="AO55" i="24"/>
  <c r="D53" i="24"/>
  <c r="A251" i="23"/>
  <c r="A250" i="23"/>
  <c r="D81" i="22" s="1"/>
  <c r="E219" i="23"/>
  <c r="E218" i="23"/>
  <c r="A214" i="23"/>
  <c r="A236" i="23"/>
  <c r="A235" i="23"/>
  <c r="E172" i="23"/>
  <c r="E171" i="23"/>
  <c r="J60" i="22"/>
  <c r="E162" i="23"/>
  <c r="E161" i="23"/>
  <c r="E160" i="23"/>
  <c r="A254" i="23"/>
  <c r="O92" i="22"/>
  <c r="BK85" i="22"/>
  <c r="D54" i="20"/>
  <c r="A244" i="2"/>
  <c r="D73" i="1"/>
  <c r="X94" i="1"/>
  <c r="V94" i="1" s="1"/>
  <c r="AG32" i="20"/>
  <c r="AE32" i="20" s="1"/>
  <c r="A258" i="2"/>
  <c r="D87" i="1"/>
  <c r="D54" i="19"/>
  <c r="D59" i="18"/>
  <c r="D60" i="17"/>
  <c r="D46" i="18"/>
  <c r="D48" i="17"/>
  <c r="D47" i="16"/>
  <c r="D45" i="14"/>
  <c r="FC58" i="13"/>
  <c r="EH58" i="13"/>
  <c r="DM58" i="13"/>
  <c r="CR58" i="13"/>
  <c r="BW58" i="13"/>
  <c r="D48" i="13"/>
  <c r="D93" i="16"/>
  <c r="D92" i="16"/>
  <c r="D91" i="16"/>
  <c r="D90" i="16"/>
  <c r="D88" i="16"/>
  <c r="D87" i="16"/>
  <c r="D86" i="16"/>
  <c r="D83" i="16"/>
  <c r="D82" i="16"/>
  <c r="A259" i="2"/>
  <c r="J84" i="22"/>
  <c r="A243" i="2"/>
  <c r="BB52" i="19"/>
  <c r="D73" i="19"/>
  <c r="D72" i="19"/>
  <c r="D71" i="19"/>
  <c r="D70" i="19"/>
  <c r="D69" i="19"/>
  <c r="D68" i="19"/>
  <c r="D46" i="19"/>
  <c r="D94" i="18"/>
  <c r="D93" i="18"/>
  <c r="D92" i="18"/>
  <c r="D91" i="18"/>
  <c r="D90" i="18"/>
  <c r="D89" i="18"/>
  <c r="D88" i="18"/>
  <c r="D87" i="18"/>
  <c r="D86" i="18"/>
  <c r="D84" i="18"/>
  <c r="D83" i="18"/>
  <c r="D82" i="18"/>
  <c r="D80" i="18"/>
  <c r="D79" i="18"/>
  <c r="D76" i="18"/>
  <c r="D75" i="18"/>
  <c r="D74" i="18"/>
  <c r="D73" i="18"/>
  <c r="D71" i="18"/>
  <c r="D70" i="18"/>
  <c r="D64" i="18"/>
  <c r="D63" i="18"/>
  <c r="D62" i="18"/>
  <c r="D61" i="18"/>
  <c r="D58" i="18"/>
  <c r="D49" i="18"/>
  <c r="D45" i="18"/>
  <c r="D44" i="18"/>
  <c r="D43" i="18"/>
  <c r="D42" i="18"/>
  <c r="D41" i="18"/>
  <c r="D40" i="18"/>
  <c r="D39" i="18"/>
  <c r="D32" i="18"/>
  <c r="D31" i="18"/>
  <c r="D80" i="17"/>
  <c r="D95" i="17"/>
  <c r="D94" i="17"/>
  <c r="D93" i="17"/>
  <c r="D92" i="17"/>
  <c r="D91" i="17"/>
  <c r="D90" i="17"/>
  <c r="D89" i="17"/>
  <c r="D88" i="17"/>
  <c r="D87" i="17"/>
  <c r="D85" i="17"/>
  <c r="D84" i="17"/>
  <c r="D83" i="17"/>
  <c r="D81" i="17"/>
  <c r="D77" i="17"/>
  <c r="D76" i="17"/>
  <c r="D75" i="17"/>
  <c r="D74" i="17"/>
  <c r="D71" i="17"/>
  <c r="D65" i="17"/>
  <c r="D64" i="17"/>
  <c r="D63" i="17"/>
  <c r="D62" i="17"/>
  <c r="D59" i="17"/>
  <c r="D51" i="17"/>
  <c r="D79" i="16"/>
  <c r="D76" i="16"/>
  <c r="D75" i="16"/>
  <c r="D74" i="16"/>
  <c r="D73" i="16"/>
  <c r="D70" i="16"/>
  <c r="D50" i="16"/>
  <c r="D77" i="14"/>
  <c r="D92" i="14"/>
  <c r="D91" i="14"/>
  <c r="D90" i="14"/>
  <c r="D89" i="14"/>
  <c r="D88" i="14"/>
  <c r="D87" i="14"/>
  <c r="D86" i="14"/>
  <c r="D85" i="14"/>
  <c r="D84" i="14"/>
  <c r="D82" i="14"/>
  <c r="D81" i="14"/>
  <c r="D80" i="14"/>
  <c r="D78" i="14"/>
  <c r="D56" i="14"/>
  <c r="D48" i="14"/>
  <c r="D38" i="13"/>
  <c r="AF44" i="19"/>
  <c r="L45" i="22"/>
  <c r="O45" i="22" s="1"/>
  <c r="L46" i="18"/>
  <c r="O46" i="18" s="1"/>
  <c r="L45" i="18"/>
  <c r="O45" i="18" s="1"/>
  <c r="L42" i="18"/>
  <c r="O42" i="18" s="1"/>
  <c r="L43" i="18"/>
  <c r="O43" i="18" s="1"/>
  <c r="L41" i="18"/>
  <c r="O41" i="18" s="1"/>
  <c r="L40" i="18"/>
  <c r="O40" i="18" s="1"/>
  <c r="L44" i="18"/>
  <c r="O44" i="18" s="1"/>
  <c r="L84" i="19"/>
  <c r="O84" i="19" s="1"/>
  <c r="L51" i="1"/>
  <c r="O51" i="1" s="1"/>
  <c r="L77" i="1"/>
  <c r="O77" i="1" s="1"/>
  <c r="O39" i="19"/>
  <c r="D33" i="22" l="1"/>
  <c r="D35" i="22"/>
  <c r="D96" i="1"/>
  <c r="D49" i="1"/>
  <c r="D106" i="1"/>
  <c r="L42" i="24"/>
  <c r="O42" i="24" s="1"/>
  <c r="AD42" i="24"/>
  <c r="U90" i="22"/>
  <c r="L90" i="22" s="1"/>
  <c r="O90" i="22" s="1"/>
  <c r="V75" i="1"/>
  <c r="L75" i="1" s="1"/>
  <c r="O75" i="1" s="1"/>
  <c r="L90" i="1"/>
  <c r="O90" i="1" s="1"/>
  <c r="V90" i="1"/>
  <c r="L71" i="1"/>
  <c r="O71" i="1" s="1"/>
  <c r="V71" i="1"/>
  <c r="V73" i="1"/>
  <c r="L73" i="1" s="1"/>
  <c r="O73" i="1" s="1"/>
  <c r="V95" i="1"/>
  <c r="L95" i="1" s="1"/>
  <c r="O95" i="1" s="1"/>
  <c r="D86" i="1"/>
  <c r="D83" i="1"/>
  <c r="D107" i="1"/>
  <c r="D48" i="1"/>
  <c r="D85" i="1"/>
  <c r="D100" i="1"/>
  <c r="D98" i="1"/>
  <c r="U64" i="22"/>
  <c r="L64" i="22" s="1"/>
  <c r="O64" i="22" s="1"/>
  <c r="U79" i="22"/>
  <c r="L79" i="22" s="1"/>
  <c r="O79" i="22" s="1"/>
  <c r="U81" i="22"/>
  <c r="L81" i="22" s="1"/>
  <c r="O81" i="22" s="1"/>
  <c r="J82" i="22"/>
  <c r="J51" i="22"/>
  <c r="A192" i="2"/>
  <c r="L98" i="22"/>
  <c r="O98" i="22" s="1"/>
  <c r="D70" i="1"/>
  <c r="D82" i="1"/>
  <c r="O108" i="21"/>
  <c r="AE37" i="17"/>
  <c r="AC37" i="17" s="1"/>
  <c r="L37" i="17" s="1"/>
  <c r="AF40" i="19"/>
  <c r="AD40" i="19" s="1"/>
  <c r="L40" i="19" s="1"/>
  <c r="O40" i="19" s="1"/>
  <c r="AF36" i="15"/>
  <c r="AD36" i="15" s="1"/>
  <c r="L36" i="15" s="1"/>
  <c r="O36" i="15" s="1"/>
  <c r="AE36" i="16"/>
  <c r="AF35" i="18"/>
  <c r="AD35" i="18" s="1"/>
  <c r="L35" i="18" s="1"/>
  <c r="AF34" i="14"/>
  <c r="A210" i="23"/>
  <c r="A202" i="23"/>
  <c r="D80" i="1"/>
  <c r="D47" i="1"/>
  <c r="D56" i="1"/>
  <c r="D81" i="1"/>
  <c r="D60" i="1"/>
  <c r="D105" i="1"/>
  <c r="D46" i="1"/>
  <c r="L31" i="24"/>
  <c r="O31" i="24" s="1"/>
  <c r="D32" i="19"/>
  <c r="L50" i="24"/>
  <c r="O50" i="24" s="1"/>
  <c r="L44" i="24"/>
  <c r="O44" i="24" s="1"/>
  <c r="L41" i="24"/>
  <c r="O41" i="24" s="1"/>
  <c r="L35" i="24"/>
  <c r="O35" i="24" s="1"/>
  <c r="L37" i="24"/>
  <c r="O37" i="24" s="1"/>
  <c r="L39" i="24"/>
  <c r="O39" i="24" s="1"/>
  <c r="L48" i="24"/>
  <c r="O48" i="24" s="1"/>
  <c r="L46" i="24"/>
  <c r="O46" i="24" s="1"/>
  <c r="AF52" i="20"/>
  <c r="AD52" i="20" s="1"/>
  <c r="L51" i="20"/>
  <c r="O51" i="20" s="1"/>
  <c r="L49" i="20"/>
  <c r="O49" i="20" s="1"/>
  <c r="A236" i="2"/>
  <c r="J80" i="1" s="1"/>
  <c r="A245" i="2"/>
  <c r="D88" i="1" s="1"/>
  <c r="J75" i="22"/>
  <c r="J89" i="22"/>
  <c r="J90" i="22"/>
  <c r="L41" i="20"/>
  <c r="O41" i="20" s="1"/>
  <c r="A222" i="23"/>
  <c r="J59" i="22" s="1"/>
  <c r="L47" i="20"/>
  <c r="O47" i="20" s="1"/>
  <c r="L45" i="20"/>
  <c r="O45" i="20" s="1"/>
  <c r="L39" i="20"/>
  <c r="O39" i="20" s="1"/>
  <c r="L35" i="20"/>
  <c r="O35" i="20" s="1"/>
  <c r="L37" i="20"/>
  <c r="O37" i="20" s="1"/>
  <c r="J44" i="1"/>
  <c r="J56" i="1"/>
  <c r="A194" i="23"/>
  <c r="A228" i="23"/>
  <c r="A237" i="23"/>
  <c r="D79" i="22" s="1"/>
  <c r="A231" i="23"/>
  <c r="J36" i="1"/>
  <c r="A225" i="23"/>
  <c r="J106" i="1"/>
  <c r="J54" i="22"/>
  <c r="J61" i="1"/>
  <c r="L104" i="22"/>
  <c r="O104" i="22" s="1"/>
  <c r="L100" i="22"/>
  <c r="O100" i="22" s="1"/>
  <c r="L103" i="22"/>
  <c r="O103" i="22" s="1"/>
  <c r="L99" i="22"/>
  <c r="O99" i="22" s="1"/>
  <c r="L102" i="22"/>
  <c r="O102" i="22" s="1"/>
  <c r="J43" i="22"/>
  <c r="L32" i="20"/>
  <c r="O32" i="20" s="1"/>
  <c r="J37" i="1"/>
  <c r="J39" i="1"/>
  <c r="J53" i="1"/>
  <c r="L83" i="22"/>
  <c r="O83" i="22" s="1"/>
  <c r="J54" i="1"/>
  <c r="A239" i="2"/>
  <c r="J96" i="1" s="1"/>
  <c r="J55" i="1"/>
  <c r="J38" i="22"/>
  <c r="J61" i="22"/>
  <c r="J40" i="22"/>
  <c r="A181" i="23"/>
  <c r="J36" i="22"/>
  <c r="J39" i="22"/>
  <c r="B166" i="23"/>
  <c r="E166" i="23" s="1"/>
  <c r="J105" i="1"/>
  <c r="B199" i="23"/>
  <c r="B167" i="23"/>
  <c r="E167" i="23" s="1"/>
  <c r="J52" i="22"/>
  <c r="J34" i="22"/>
  <c r="A233" i="2"/>
  <c r="J67" i="1" s="1"/>
  <c r="A276" i="2"/>
  <c r="L109" i="1"/>
  <c r="O109" i="1" s="1"/>
  <c r="A230" i="2"/>
  <c r="J100" i="1"/>
  <c r="J41" i="1"/>
  <c r="A262" i="2"/>
  <c r="J91" i="1" s="1"/>
  <c r="J84" i="1"/>
  <c r="J99" i="1"/>
  <c r="J45" i="1"/>
  <c r="J49" i="1"/>
  <c r="J69" i="1"/>
  <c r="L108" i="1"/>
  <c r="O108" i="1" s="1"/>
  <c r="J57" i="1"/>
  <c r="D57" i="1"/>
  <c r="D36" i="1"/>
  <c r="D104" i="1"/>
  <c r="D37" i="1"/>
  <c r="D39" i="1"/>
  <c r="D53" i="1"/>
  <c r="D54" i="1"/>
  <c r="D43" i="1"/>
  <c r="D61" i="1"/>
  <c r="J59" i="1"/>
  <c r="J58" i="1"/>
  <c r="O93" i="1"/>
  <c r="J62" i="1"/>
  <c r="J93" i="1"/>
  <c r="D90" i="1"/>
  <c r="D55" i="1"/>
  <c r="D33" i="19"/>
  <c r="AF31" i="19"/>
  <c r="L70" i="22"/>
  <c r="O70" i="22" s="1"/>
  <c r="L50" i="22"/>
  <c r="O50" i="22" s="1"/>
  <c r="L42" i="22"/>
  <c r="O42" i="22" s="1"/>
  <c r="L46" i="22"/>
  <c r="O46" i="22" s="1"/>
  <c r="L56" i="22"/>
  <c r="O56" i="22" s="1"/>
  <c r="L34" i="22"/>
  <c r="O34" i="22" s="1"/>
  <c r="L53" i="22"/>
  <c r="O53" i="22" s="1"/>
  <c r="L55" i="24"/>
  <c r="O55" i="24" s="1"/>
  <c r="O71" i="22"/>
  <c r="L101" i="22"/>
  <c r="O101" i="22" s="1"/>
  <c r="L54" i="22"/>
  <c r="O54" i="22" s="1"/>
  <c r="L73" i="22"/>
  <c r="O73" i="22" s="1"/>
  <c r="L51" i="22"/>
  <c r="O51" i="22" s="1"/>
  <c r="L75" i="22"/>
  <c r="O75" i="22" s="1"/>
  <c r="L58" i="22"/>
  <c r="O58" i="22" s="1"/>
  <c r="L36" i="22"/>
  <c r="O36" i="22" s="1"/>
  <c r="L95" i="22"/>
  <c r="O95" i="22" s="1"/>
  <c r="L57" i="22"/>
  <c r="O57" i="22" s="1"/>
  <c r="L40" i="22"/>
  <c r="O40" i="22" s="1"/>
  <c r="L76" i="22"/>
  <c r="O76" i="22" s="1"/>
  <c r="L77" i="22"/>
  <c r="O77" i="22" s="1"/>
  <c r="L97" i="22"/>
  <c r="O97" i="22" s="1"/>
  <c r="L94" i="22"/>
  <c r="O94" i="22" s="1"/>
  <c r="L49" i="22"/>
  <c r="O49" i="22" s="1"/>
  <c r="L54" i="24"/>
  <c r="O54" i="24" s="1"/>
  <c r="L69" i="22"/>
  <c r="O69" i="22" s="1"/>
  <c r="L44" i="22"/>
  <c r="O44" i="22" s="1"/>
  <c r="O57" i="24"/>
  <c r="L40" i="24"/>
  <c r="O40" i="24" s="1"/>
  <c r="L68" i="22"/>
  <c r="O68" i="22" s="1"/>
  <c r="L87" i="22"/>
  <c r="O87" i="22" s="1"/>
  <c r="L49" i="24"/>
  <c r="O49" i="24" s="1"/>
  <c r="L53" i="24"/>
  <c r="O53" i="24" s="1"/>
  <c r="L34" i="24"/>
  <c r="O34" i="24" s="1"/>
  <c r="L105" i="22"/>
  <c r="O105" i="22" s="1"/>
  <c r="L82" i="22"/>
  <c r="O82" i="22" s="1"/>
  <c r="L36" i="24"/>
  <c r="O36" i="24" s="1"/>
  <c r="L89" i="22"/>
  <c r="O89" i="22" s="1"/>
  <c r="L41" i="22"/>
  <c r="O41" i="22" s="1"/>
  <c r="O63" i="22"/>
  <c r="L62" i="22"/>
  <c r="O62" i="22" s="1"/>
  <c r="L56" i="24"/>
  <c r="O56" i="24" s="1"/>
  <c r="L52" i="24"/>
  <c r="O52" i="24" s="1"/>
  <c r="L43" i="22"/>
  <c r="O43" i="22" s="1"/>
  <c r="L80" i="22"/>
  <c r="O80" i="22" s="1"/>
  <c r="L67" i="22"/>
  <c r="O67" i="22" s="1"/>
  <c r="L72" i="22"/>
  <c r="O72" i="22" s="1"/>
  <c r="L78" i="22"/>
  <c r="O78" i="22" s="1"/>
  <c r="L47" i="24"/>
  <c r="O47" i="24" s="1"/>
  <c r="L33" i="22"/>
  <c r="O33" i="22" s="1"/>
  <c r="L52" i="22"/>
  <c r="O52" i="22" s="1"/>
  <c r="L38" i="22"/>
  <c r="O38" i="22" s="1"/>
  <c r="L43" i="24"/>
  <c r="O43" i="24" s="1"/>
  <c r="L106" i="22"/>
  <c r="O106" i="22" s="1"/>
  <c r="L74" i="22"/>
  <c r="O74" i="22" s="1"/>
  <c r="L96" i="22"/>
  <c r="O96" i="22" s="1"/>
  <c r="L39" i="22"/>
  <c r="O39" i="22" s="1"/>
  <c r="L33" i="24"/>
  <c r="O33" i="24" s="1"/>
  <c r="L38" i="24"/>
  <c r="O38" i="24" s="1"/>
  <c r="L61" i="22"/>
  <c r="O61" i="22" s="1"/>
  <c r="L37" i="22"/>
  <c r="O37" i="22" s="1"/>
  <c r="D55" i="24"/>
  <c r="AF32" i="19"/>
  <c r="A184" i="23"/>
  <c r="L79" i="19"/>
  <c r="O79" i="19" s="1"/>
  <c r="L34" i="20"/>
  <c r="O34" i="20" s="1"/>
  <c r="L104" i="1"/>
  <c r="O104" i="1" s="1"/>
  <c r="D38" i="1"/>
  <c r="L32" i="24"/>
  <c r="O32" i="24" s="1"/>
  <c r="L59" i="19"/>
  <c r="O59" i="19" s="1"/>
  <c r="AF33" i="19"/>
  <c r="L77" i="19"/>
  <c r="O77" i="19" s="1"/>
  <c r="L80" i="1"/>
  <c r="O80" i="1" s="1"/>
  <c r="D40" i="1"/>
  <c r="D56" i="20"/>
  <c r="L59" i="22"/>
  <c r="O59" i="22" s="1"/>
  <c r="L50" i="1"/>
  <c r="O50" i="1" s="1"/>
  <c r="L64" i="1"/>
  <c r="O64" i="1" s="1"/>
  <c r="L66" i="1"/>
  <c r="O66" i="1" s="1"/>
  <c r="L57" i="1"/>
  <c r="O57" i="1" s="1"/>
  <c r="L99" i="1"/>
  <c r="O99" i="1" s="1"/>
  <c r="L83" i="1"/>
  <c r="O83" i="1" s="1"/>
  <c r="L98" i="1"/>
  <c r="O98" i="1" s="1"/>
  <c r="L68" i="19"/>
  <c r="O68" i="19" s="1"/>
  <c r="L61" i="19"/>
  <c r="O61" i="19" s="1"/>
  <c r="L67" i="19"/>
  <c r="O67" i="19" s="1"/>
  <c r="L60" i="19"/>
  <c r="O60" i="19" s="1"/>
  <c r="L70" i="19"/>
  <c r="O70" i="19" s="1"/>
  <c r="L114" i="1"/>
  <c r="O114" i="1" s="1"/>
  <c r="L65" i="1"/>
  <c r="O65" i="1" s="1"/>
  <c r="L111" i="1"/>
  <c r="O111" i="1" s="1"/>
  <c r="L91" i="1"/>
  <c r="O91" i="1" s="1"/>
  <c r="L97" i="1"/>
  <c r="O97" i="1" s="1"/>
  <c r="L62" i="1"/>
  <c r="O62" i="1" s="1"/>
  <c r="L40" i="1"/>
  <c r="O40" i="1" s="1"/>
  <c r="L47" i="1"/>
  <c r="O47" i="1" s="1"/>
  <c r="L38" i="20"/>
  <c r="O38" i="20" s="1"/>
  <c r="L36" i="20"/>
  <c r="O36" i="20" s="1"/>
  <c r="L46" i="20"/>
  <c r="O46" i="20" s="1"/>
  <c r="L53" i="20"/>
  <c r="O53" i="20" s="1"/>
  <c r="L71" i="19"/>
  <c r="O71" i="19" s="1"/>
  <c r="L58" i="19"/>
  <c r="O58" i="19" s="1"/>
  <c r="L89" i="1"/>
  <c r="O89" i="1" s="1"/>
  <c r="L41" i="1"/>
  <c r="O41" i="1" s="1"/>
  <c r="L56" i="20"/>
  <c r="O56" i="20" s="1"/>
  <c r="L57" i="20"/>
  <c r="O57" i="20" s="1"/>
  <c r="L52" i="19"/>
  <c r="O52" i="19" s="1"/>
  <c r="L65" i="19"/>
  <c r="O65" i="19" s="1"/>
  <c r="L64" i="19"/>
  <c r="O64" i="19" s="1"/>
  <c r="L53" i="19"/>
  <c r="O53" i="19" s="1"/>
  <c r="L81" i="1"/>
  <c r="O81" i="1" s="1"/>
  <c r="L45" i="1"/>
  <c r="O45" i="1" s="1"/>
  <c r="L55" i="19"/>
  <c r="O55" i="19" s="1"/>
  <c r="L72" i="19"/>
  <c r="O72" i="19" s="1"/>
  <c r="L107" i="1"/>
  <c r="O107" i="1" s="1"/>
  <c r="L59" i="1"/>
  <c r="O59" i="1" s="1"/>
  <c r="L70" i="1"/>
  <c r="O70" i="1" s="1"/>
  <c r="L49" i="1"/>
  <c r="O49" i="1" s="1"/>
  <c r="L33" i="20"/>
  <c r="O33" i="20" s="1"/>
  <c r="L56" i="19"/>
  <c r="O56" i="19" s="1"/>
  <c r="L61" i="1"/>
  <c r="O61" i="1" s="1"/>
  <c r="L87" i="1"/>
  <c r="O87" i="1" s="1"/>
  <c r="L55" i="20"/>
  <c r="O55" i="20" s="1"/>
  <c r="L78" i="19"/>
  <c r="O78" i="19" s="1"/>
  <c r="L76" i="19"/>
  <c r="O76" i="19" s="1"/>
  <c r="L74" i="19"/>
  <c r="O74" i="19" s="1"/>
  <c r="L69" i="19"/>
  <c r="O69" i="19" s="1"/>
  <c r="L74" i="1"/>
  <c r="O74" i="1" s="1"/>
  <c r="L84" i="1"/>
  <c r="O84" i="1" s="1"/>
  <c r="L43" i="1"/>
  <c r="O43" i="1" s="1"/>
  <c r="L54" i="20"/>
  <c r="O54" i="20" s="1"/>
  <c r="L76" i="1"/>
  <c r="O76" i="1" s="1"/>
  <c r="L110" i="1"/>
  <c r="O110" i="1" s="1"/>
  <c r="L115" i="1"/>
  <c r="O115" i="1" s="1"/>
  <c r="L86" i="1"/>
  <c r="O86" i="1" s="1"/>
  <c r="L39" i="1"/>
  <c r="O39" i="1" s="1"/>
  <c r="L38" i="1"/>
  <c r="O38" i="1" s="1"/>
  <c r="L43" i="20"/>
  <c r="O43" i="20" s="1"/>
  <c r="L75" i="19"/>
  <c r="O75" i="19" s="1"/>
  <c r="L73" i="19"/>
  <c r="O73" i="19" s="1"/>
  <c r="L96" i="1"/>
  <c r="O96" i="1" s="1"/>
  <c r="L66" i="19"/>
  <c r="O66" i="19" s="1"/>
  <c r="L50" i="20"/>
  <c r="O50" i="20" s="1"/>
  <c r="L44" i="20"/>
  <c r="O44" i="20" s="1"/>
  <c r="L82" i="1"/>
  <c r="O82" i="1" s="1"/>
  <c r="L68" i="1"/>
  <c r="O68" i="1" s="1"/>
  <c r="L40" i="20"/>
  <c r="O40" i="20" s="1"/>
  <c r="L69" i="1"/>
  <c r="O69" i="1" s="1"/>
  <c r="L100" i="1"/>
  <c r="O100" i="1" s="1"/>
  <c r="L78" i="1"/>
  <c r="O78" i="1" s="1"/>
  <c r="L63" i="19"/>
  <c r="O63" i="19" s="1"/>
  <c r="L62" i="19"/>
  <c r="O62" i="19" s="1"/>
  <c r="L58" i="20"/>
  <c r="O58" i="20" s="1"/>
  <c r="L105" i="1"/>
  <c r="O105" i="1" s="1"/>
  <c r="L79" i="1"/>
  <c r="O79" i="1" s="1"/>
  <c r="L46" i="1"/>
  <c r="O46" i="1" s="1"/>
  <c r="L57" i="19"/>
  <c r="O57" i="19" s="1"/>
  <c r="L48" i="20"/>
  <c r="O48" i="20" s="1"/>
  <c r="L56" i="1"/>
  <c r="O56" i="1" s="1"/>
  <c r="L106" i="1"/>
  <c r="O106" i="1" s="1"/>
  <c r="AF36" i="13"/>
  <c r="L55" i="1"/>
  <c r="O55" i="1" s="1"/>
  <c r="L48" i="1"/>
  <c r="O48" i="1" s="1"/>
  <c r="AF35" i="15"/>
  <c r="D33" i="14"/>
  <c r="L52" i="1"/>
  <c r="O52" i="1" s="1"/>
  <c r="L92" i="1"/>
  <c r="O92" i="1" s="1"/>
  <c r="AF105" i="13"/>
  <c r="AG103" i="21"/>
  <c r="D100" i="14"/>
  <c r="B198" i="23"/>
  <c r="D42" i="24"/>
  <c r="W85" i="22"/>
  <c r="D95" i="1"/>
  <c r="AE36" i="17"/>
  <c r="AE103" i="16"/>
  <c r="AF103" i="18"/>
  <c r="AF34" i="18"/>
  <c r="AF100" i="14"/>
  <c r="AF38" i="19"/>
  <c r="AF106" i="13"/>
  <c r="D94" i="1"/>
  <c r="U86" i="22"/>
  <c r="ED92" i="22"/>
  <c r="L44" i="1"/>
  <c r="O44" i="1" s="1"/>
  <c r="L58" i="1"/>
  <c r="O58" i="1" s="1"/>
  <c r="L60" i="1"/>
  <c r="O60" i="1" s="1"/>
  <c r="L85" i="1"/>
  <c r="O85" i="1" s="1"/>
  <c r="U91" i="22"/>
  <c r="L91" i="22" s="1"/>
  <c r="AF102" i="15"/>
  <c r="AF33" i="14"/>
  <c r="D75" i="1"/>
  <c r="AE104" i="17"/>
  <c r="AE35" i="16"/>
  <c r="AF39" i="19"/>
  <c r="AF101" i="15"/>
  <c r="L45" i="24"/>
  <c r="O45" i="24" s="1"/>
  <c r="X101" i="1"/>
  <c r="V101" i="1" s="1"/>
  <c r="D101" i="1"/>
  <c r="L42" i="1"/>
  <c r="O42" i="1" s="1"/>
  <c r="L94" i="1"/>
  <c r="O94" i="1" s="1"/>
  <c r="D101" i="15"/>
  <c r="AE102" i="16"/>
  <c r="ED91" i="22"/>
  <c r="L55" i="22"/>
  <c r="O55" i="22" s="1"/>
  <c r="O93" i="22"/>
  <c r="L63" i="1"/>
  <c r="O63" i="1" s="1"/>
  <c r="AE103" i="17"/>
  <c r="AF101" i="14"/>
  <c r="AF84" i="19"/>
  <c r="L66" i="22"/>
  <c r="O66" i="22" s="1"/>
  <c r="L102" i="1"/>
  <c r="O102" i="1" s="1"/>
  <c r="L103" i="1"/>
  <c r="O103" i="1" s="1"/>
  <c r="AF102" i="18"/>
  <c r="L47" i="22"/>
  <c r="O47" i="22" s="1"/>
  <c r="O35" i="18" l="1"/>
  <c r="O108" i="18" s="1"/>
  <c r="O37" i="17"/>
  <c r="O109" i="17" s="1"/>
  <c r="J70" i="1"/>
  <c r="J68" i="1"/>
  <c r="U85" i="22"/>
  <c r="L85" i="22" s="1"/>
  <c r="O85" i="22" s="1"/>
  <c r="J62" i="22"/>
  <c r="J77" i="22"/>
  <c r="J71" i="22"/>
  <c r="J78" i="22"/>
  <c r="E199" i="23"/>
  <c r="J95" i="22"/>
  <c r="J49" i="22"/>
  <c r="J44" i="22"/>
  <c r="J50" i="22"/>
  <c r="AC36" i="16"/>
  <c r="L36" i="16" s="1"/>
  <c r="O36" i="16" s="1"/>
  <c r="L31" i="20"/>
  <c r="O31" i="20" s="1"/>
  <c r="AD34" i="14"/>
  <c r="L34" i="14" s="1"/>
  <c r="O34" i="14" s="1"/>
  <c r="L60" i="22"/>
  <c r="O60" i="22" s="1"/>
  <c r="L65" i="22"/>
  <c r="O65" i="22" s="1"/>
  <c r="L34" i="13"/>
  <c r="O34" i="13" s="1"/>
  <c r="J74" i="22"/>
  <c r="J88" i="22"/>
  <c r="L48" i="22"/>
  <c r="O48" i="22" s="1"/>
  <c r="L32" i="22"/>
  <c r="L53" i="1"/>
  <c r="O53" i="1" s="1"/>
  <c r="L36" i="1"/>
  <c r="O36" i="1" s="1"/>
  <c r="L54" i="1"/>
  <c r="O54" i="1" s="1"/>
  <c r="L37" i="1"/>
  <c r="O37" i="1" s="1"/>
  <c r="E207" i="2"/>
  <c r="L52" i="20"/>
  <c r="O52" i="20" s="1"/>
  <c r="O69" i="24"/>
  <c r="J47" i="1"/>
  <c r="J46" i="1"/>
  <c r="J104" i="1"/>
  <c r="J43" i="1"/>
  <c r="J60" i="1"/>
  <c r="J107" i="1"/>
  <c r="J87" i="22"/>
  <c r="J76" i="22"/>
  <c r="J73" i="22"/>
  <c r="J85" i="1"/>
  <c r="J97" i="1"/>
  <c r="J87" i="1"/>
  <c r="J86" i="1"/>
  <c r="E206" i="2"/>
  <c r="J72" i="22"/>
  <c r="J42" i="22"/>
  <c r="J94" i="22"/>
  <c r="J53" i="22"/>
  <c r="J96" i="22"/>
  <c r="J41" i="22"/>
  <c r="J47" i="22"/>
  <c r="J81" i="1"/>
  <c r="J82" i="1"/>
  <c r="J97" i="22"/>
  <c r="E198" i="23"/>
  <c r="J48" i="22"/>
  <c r="J98" i="1"/>
  <c r="J83" i="1"/>
  <c r="L86" i="22"/>
  <c r="O86" i="22" s="1"/>
  <c r="O91" i="22"/>
  <c r="L101" i="1"/>
  <c r="O101" i="1" s="1"/>
  <c r="O70" i="20" l="1"/>
  <c r="O32" i="22"/>
  <c r="O111" i="22" s="1"/>
  <c r="O108" i="16"/>
  <c r="O120" i="1"/>
  <c r="O89" i="19"/>
  <c r="O107" i="15"/>
  <c r="O106" i="14"/>
  <c r="O11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A14491A9-D687-45E4-B47A-663A5FF90929}">
      <text>
        <r>
          <rPr>
            <b/>
            <sz val="9"/>
            <color indexed="81"/>
            <rFont val="Segoe UI"/>
            <family val="2"/>
          </rPr>
          <t>020203_AT_Details_Dach Dachplatte_PREFA_2021-Q1|#00010595|Text</t>
        </r>
      </text>
    </comment>
    <comment ref="P1095" authorId="0" shapeId="0" xr:uid="{03F8628E-3E96-4B95-9B24-FAAA3E1CE508}">
      <text>
        <r>
          <rPr>
            <b/>
            <sz val="9"/>
            <color indexed="81"/>
            <rFont val="Segoe UI"/>
            <family val="2"/>
          </rPr>
          <t>020203_AT_Details_Dach Dachplatte_PREFA_2021-Q1|#00010595|Text</t>
        </r>
      </text>
    </comment>
    <comment ref="B1096" authorId="0" shapeId="0" xr:uid="{96A78C05-45E3-4B24-83D7-C613AD47F0D2}">
      <text>
        <r>
          <rPr>
            <b/>
            <sz val="9"/>
            <color indexed="81"/>
            <rFont val="Segoe UI"/>
            <family val="2"/>
          </rPr>
          <t>020203_AT_Details_Dach Dachplatte_PREFA_2021-Q1|#000105AF|Text</t>
        </r>
      </text>
    </comment>
    <comment ref="P1096" authorId="0" shapeId="0" xr:uid="{D383CDDB-6E1D-44C4-840D-22EEF1D2AD07}">
      <text>
        <r>
          <rPr>
            <b/>
            <sz val="9"/>
            <color indexed="81"/>
            <rFont val="Segoe UI"/>
            <family val="2"/>
          </rPr>
          <t>020203_AT_Details_Dach Dachplatte_PREFA_2021-Q1|#000105AF|Text</t>
        </r>
      </text>
    </comment>
    <comment ref="B1097" authorId="0" shapeId="0" xr:uid="{714926C8-BC65-4730-A4C7-2C6BC8C0E0D4}">
      <text>
        <r>
          <rPr>
            <b/>
            <sz val="9"/>
            <color indexed="81"/>
            <rFont val="Segoe UI"/>
            <family val="2"/>
          </rPr>
          <t>020203_AT_Details_Dach Dachplatte_PREFA_2021-Q1|#0001059D|Text</t>
        </r>
      </text>
    </comment>
    <comment ref="P1097" authorId="0" shapeId="0" xr:uid="{B16C070D-0618-49C2-A4AC-5B7D92A886BB}">
      <text>
        <r>
          <rPr>
            <b/>
            <sz val="9"/>
            <color indexed="81"/>
            <rFont val="Segoe UI"/>
            <family val="2"/>
          </rPr>
          <t>020203_AT_Details_Dach Dachplatte_PREFA_2021-Q1|#0001059D|Text</t>
        </r>
      </text>
    </comment>
    <comment ref="B1098" authorId="0" shapeId="0" xr:uid="{D609E79D-EF46-44C4-9979-EE4AEC56AE0A}">
      <text>
        <r>
          <rPr>
            <b/>
            <sz val="9"/>
            <color indexed="81"/>
            <rFont val="Segoe UI"/>
            <family val="2"/>
          </rPr>
          <t>020203_AT_Details_Dach Dachplatte_PREFA_2021-Q1|#0001059F|Text</t>
        </r>
      </text>
    </comment>
    <comment ref="P1098" authorId="0" shapeId="0" xr:uid="{90129F01-4F18-4328-B74A-62FE37CE7E62}">
      <text>
        <r>
          <rPr>
            <b/>
            <sz val="9"/>
            <color indexed="81"/>
            <rFont val="Segoe UI"/>
            <family val="2"/>
          </rPr>
          <t>020203_AT_Details_Dach Dachplatte_PREFA_2021-Q1|#0001059F|Text</t>
        </r>
      </text>
    </comment>
    <comment ref="B1099" authorId="0" shapeId="0" xr:uid="{E0025C78-85FE-48CB-A18C-8F4348ECBA2E}">
      <text>
        <r>
          <rPr>
            <b/>
            <sz val="9"/>
            <color indexed="81"/>
            <rFont val="Segoe UI"/>
            <family val="2"/>
          </rPr>
          <t>020203_AT_Details_Dach Dachplatte_PREFA_2021-Q1|#000103E4|Text</t>
        </r>
      </text>
    </comment>
    <comment ref="P1099" authorId="0" shapeId="0" xr:uid="{AF49132E-FD9A-4AAF-A891-081581704DE0}">
      <text>
        <r>
          <rPr>
            <b/>
            <sz val="9"/>
            <color indexed="81"/>
            <rFont val="Segoe UI"/>
            <family val="2"/>
          </rPr>
          <t>020203_AT_Details_Dach Dachplatte_PREFA_2021-Q1|#000103E4|Text</t>
        </r>
      </text>
    </comment>
    <comment ref="B1100" authorId="0" shapeId="0" xr:uid="{D4225A42-D129-40A2-9FB0-DA8A33822011}">
      <text>
        <r>
          <rPr>
            <b/>
            <sz val="9"/>
            <color indexed="81"/>
            <rFont val="Segoe UI"/>
            <family val="2"/>
          </rPr>
          <t>020203_AT_Details_Dach Dachplatte_PREFA_2021-Q1|#000105A1|Text</t>
        </r>
      </text>
    </comment>
    <comment ref="P1100" authorId="0" shapeId="0" xr:uid="{79346145-4F2E-478B-851F-DD02EA76B062}">
      <text>
        <r>
          <rPr>
            <b/>
            <sz val="9"/>
            <color indexed="81"/>
            <rFont val="Segoe UI"/>
            <family val="2"/>
          </rPr>
          <t>020203_AT_Details_Dach Dachplatte_PREFA_2021-Q1|#000105A1|Text</t>
        </r>
      </text>
    </comment>
    <comment ref="B1101" authorId="0" shapeId="0" xr:uid="{058F2B74-96FB-4141-9F01-B4ADDCEFE620}">
      <text>
        <r>
          <rPr>
            <b/>
            <sz val="9"/>
            <color indexed="81"/>
            <rFont val="Segoe UI"/>
            <family val="2"/>
          </rPr>
          <t>020203_AT_Details_Dach Dachplatte_PREFA_2021-Q1|#000103EA|Text</t>
        </r>
      </text>
    </comment>
    <comment ref="P1101" authorId="0" shapeId="0" xr:uid="{5E30CF22-4684-4314-B4E3-0F886A4BAD81}">
      <text>
        <r>
          <rPr>
            <b/>
            <sz val="9"/>
            <color indexed="81"/>
            <rFont val="Segoe UI"/>
            <family val="2"/>
          </rPr>
          <t>020203_AT_Details_Dach Dachplatte_PREFA_2021-Q1|#000103EA|Text</t>
        </r>
      </text>
    </comment>
    <comment ref="B1102" authorId="0" shapeId="0" xr:uid="{3E01DA6E-D0C8-40D5-B411-264B4EBCA2F8}">
      <text>
        <r>
          <rPr>
            <b/>
            <sz val="9"/>
            <color indexed="81"/>
            <rFont val="Segoe UI"/>
            <family val="2"/>
          </rPr>
          <t>020203_AT_Details_Dach Dachplatte_PREFA_2021-Q1|#00010396|Text</t>
        </r>
      </text>
    </comment>
    <comment ref="P1102" authorId="0" shapeId="0" xr:uid="{9BB79A11-470F-4DD0-916B-7EF8FC7006BF}">
      <text>
        <r>
          <rPr>
            <b/>
            <sz val="9"/>
            <color indexed="81"/>
            <rFont val="Segoe UI"/>
            <family val="2"/>
          </rPr>
          <t>020203_AT_Details_Dach Dachplatte_PREFA_2021-Q1|#00010396|Text</t>
        </r>
      </text>
    </comment>
    <comment ref="B1103" authorId="0" shapeId="0" xr:uid="{DE6163C7-EBB9-4BEE-BF00-707C4186B9F2}">
      <text>
        <r>
          <rPr>
            <b/>
            <sz val="9"/>
            <color indexed="81"/>
            <rFont val="Segoe UI"/>
            <family val="2"/>
          </rPr>
          <t>020203_AT_Details_Dach Dachplatte_PREFA_2021-Q1|#00010129|Text</t>
        </r>
      </text>
    </comment>
    <comment ref="P1103" authorId="0" shapeId="0" xr:uid="{E7AE8C32-BF75-4369-A82B-1A948994BFEE}">
      <text>
        <r>
          <rPr>
            <b/>
            <sz val="9"/>
            <color indexed="81"/>
            <rFont val="Segoe UI"/>
            <family val="2"/>
          </rPr>
          <t>020203_AT_Details_Dach Dachplatte_PREFA_2021-Q1|#00010129|Text</t>
        </r>
      </text>
    </comment>
    <comment ref="B1104" authorId="0" shapeId="0" xr:uid="{1EF0825A-930A-4B60-95D1-B7D79E546639}">
      <text>
        <r>
          <rPr>
            <b/>
            <sz val="9"/>
            <color indexed="81"/>
            <rFont val="Segoe UI"/>
            <family val="2"/>
          </rPr>
          <t>020203_AT_Details_Dach Dachplatte_PREFA_2021-Q1|#0001039A|Text</t>
        </r>
      </text>
    </comment>
    <comment ref="P1104" authorId="0" shapeId="0" xr:uid="{7927E3A3-DDD4-4908-916B-0C02DB424859}">
      <text>
        <r>
          <rPr>
            <b/>
            <sz val="9"/>
            <color indexed="81"/>
            <rFont val="Segoe UI"/>
            <family val="2"/>
          </rPr>
          <t>020203_AT_Details_Dach Dachplatte_PREFA_2021-Q1|#0001039A|Text</t>
        </r>
      </text>
    </comment>
    <comment ref="B1105" authorId="0" shapeId="0" xr:uid="{2CEED55A-4008-4AFF-B646-8DC33BD0CC1F}">
      <text>
        <r>
          <rPr>
            <b/>
            <sz val="9"/>
            <color indexed="81"/>
            <rFont val="Segoe UI"/>
            <family val="2"/>
          </rPr>
          <t>020203_AT_Details_Dach Dachplatte_PREFA_2021-Q1|#0000F34D|Text</t>
        </r>
      </text>
    </comment>
    <comment ref="P1105" authorId="0" shapeId="0" xr:uid="{29153EF2-8DFD-42D8-83BB-BF79BA425FEC}">
      <text>
        <r>
          <rPr>
            <b/>
            <sz val="9"/>
            <color indexed="81"/>
            <rFont val="Segoe UI"/>
            <family val="2"/>
          </rPr>
          <t>020203_AT_Details_Dach Dachplatte_PREFA_2021-Q1|#0000F34D|Text</t>
        </r>
      </text>
    </comment>
    <comment ref="B1106" authorId="0" shapeId="0" xr:uid="{0F8A1103-5EF9-4CDD-A6FF-AF5C6D5B981E}">
      <text>
        <r>
          <rPr>
            <b/>
            <sz val="9"/>
            <color indexed="81"/>
            <rFont val="Segoe UI"/>
            <family val="2"/>
          </rPr>
          <t>020203_AT_Details_Dach Dachplatte_PREFA_2021-Q1|#00009DC0|Text</t>
        </r>
      </text>
    </comment>
    <comment ref="P1106" authorId="0" shapeId="0" xr:uid="{19FD16E7-EA9D-4054-9934-718564C28898}">
      <text>
        <r>
          <rPr>
            <b/>
            <sz val="9"/>
            <color indexed="81"/>
            <rFont val="Segoe UI"/>
            <family val="2"/>
          </rPr>
          <t>020203_AT_Details_Dach Dachplatte_PREFA_2021-Q1|#00009DC0|Text</t>
        </r>
      </text>
    </comment>
    <comment ref="B1107" authorId="0" shapeId="0" xr:uid="{12416735-B83F-4139-A3CF-AA173D7AB958}">
      <text>
        <r>
          <rPr>
            <b/>
            <sz val="9"/>
            <color indexed="81"/>
            <rFont val="Segoe UI"/>
            <family val="2"/>
          </rPr>
          <t>020203_AT_Details_Dach Dachplatte_PREFA_2021-Q1|#000102C8|Text</t>
        </r>
      </text>
    </comment>
    <comment ref="P1107" authorId="0" shapeId="0" xr:uid="{B67017EA-F750-414D-BDD3-0ED36B6097D5}">
      <text>
        <r>
          <rPr>
            <b/>
            <sz val="9"/>
            <color indexed="81"/>
            <rFont val="Segoe UI"/>
            <family val="2"/>
          </rPr>
          <t>020203_AT_Details_Dach Dachplatte_PREFA_2021-Q1|#000102C8|Text</t>
        </r>
      </text>
    </comment>
    <comment ref="B1108" authorId="0" shapeId="0" xr:uid="{D3A6C179-F4E8-4D94-A238-6490723BBCD5}">
      <text>
        <r>
          <rPr>
            <b/>
            <sz val="9"/>
            <color indexed="81"/>
            <rFont val="Segoe UI"/>
            <family val="2"/>
          </rPr>
          <t>020203_AT_Details_Dach Dachplatte_PREFA_2021-Q1|#00010354|Text</t>
        </r>
      </text>
    </comment>
    <comment ref="P1108" authorId="0" shapeId="0" xr:uid="{FAC9991C-6567-4AAB-BC81-529B5BC398A0}">
      <text>
        <r>
          <rPr>
            <b/>
            <sz val="9"/>
            <color indexed="81"/>
            <rFont val="Segoe UI"/>
            <family val="2"/>
          </rPr>
          <t>020203_AT_Details_Dach Dachplatte_PREFA_2021-Q1|#00010354|Text</t>
        </r>
      </text>
    </comment>
    <comment ref="B1109" authorId="0" shapeId="0" xr:uid="{8A2F8F87-A2D8-4270-ACC3-AE5A4E14364A}">
      <text>
        <r>
          <rPr>
            <b/>
            <sz val="9"/>
            <color indexed="81"/>
            <rFont val="Segoe UI"/>
            <family val="2"/>
          </rPr>
          <t>020203_AT_Details_Dach Dachplatte_PREFA_2021-Q1|#000103FA|Text</t>
        </r>
      </text>
    </comment>
    <comment ref="P1109" authorId="0" shapeId="0" xr:uid="{4C0E19AB-76C0-4157-B874-6A9DC90DDD0E}">
      <text>
        <r>
          <rPr>
            <b/>
            <sz val="9"/>
            <color indexed="81"/>
            <rFont val="Segoe UI"/>
            <family val="2"/>
          </rPr>
          <t>020203_AT_Details_Dach Dachplatte_PREFA_2021-Q1|#000103FA|Text</t>
        </r>
      </text>
    </comment>
    <comment ref="B1110" authorId="0" shapeId="0" xr:uid="{DC4170AE-F0FB-4F37-A1F7-418FFA09E0AD}">
      <text>
        <r>
          <rPr>
            <b/>
            <sz val="9"/>
            <color indexed="81"/>
            <rFont val="Segoe UI"/>
            <family val="2"/>
          </rPr>
          <t>020203_AT_Details_Dach Dachplatte_PREFA_2021-Q1|#00009C93|Text</t>
        </r>
      </text>
    </comment>
    <comment ref="P1110" authorId="0" shapeId="0" xr:uid="{3E9FE9CE-5AE9-47B3-8EFE-0B7701E0175D}">
      <text>
        <r>
          <rPr>
            <b/>
            <sz val="9"/>
            <color indexed="81"/>
            <rFont val="Segoe UI"/>
            <family val="2"/>
          </rPr>
          <t>020203_AT_Details_Dach Dachplatte_PREFA_2021-Q1|#00009C93|Text</t>
        </r>
      </text>
    </comment>
    <comment ref="B1111" authorId="0" shapeId="0" xr:uid="{AD5E08ED-C3AE-4B5A-BBAC-F6606B5B3C81}">
      <text>
        <r>
          <rPr>
            <b/>
            <sz val="9"/>
            <color indexed="81"/>
            <rFont val="Segoe UI"/>
            <family val="2"/>
          </rPr>
          <t>020203_AT_Details_Dach Dachplatte_PREFA_2021-Q1|#00010400|Text</t>
        </r>
      </text>
    </comment>
    <comment ref="P1111" authorId="0" shapeId="0" xr:uid="{A2DE2397-3FBE-4456-B704-8F83B46B4943}">
      <text>
        <r>
          <rPr>
            <b/>
            <sz val="9"/>
            <color indexed="81"/>
            <rFont val="Segoe UI"/>
            <family val="2"/>
          </rPr>
          <t>020203_AT_Details_Dach Dachplatte_PREFA_2021-Q1|#00010400|Text</t>
        </r>
      </text>
    </comment>
    <comment ref="B1112" authorId="0" shapeId="0" xr:uid="{051F7333-1EFF-4543-896D-F20F009A8BDB}">
      <text>
        <r>
          <rPr>
            <b/>
            <sz val="9"/>
            <color indexed="81"/>
            <rFont val="Segoe UI"/>
            <family val="2"/>
          </rPr>
          <t>020203_AT_Details_Dach Dachplatte_PREFA_2021-Q1|#00010401|Text</t>
        </r>
      </text>
    </comment>
    <comment ref="P1112" authorId="0" shapeId="0" xr:uid="{61FE6549-115D-4B17-945B-C4EEA021F66E}">
      <text>
        <r>
          <rPr>
            <b/>
            <sz val="9"/>
            <color indexed="81"/>
            <rFont val="Segoe UI"/>
            <family val="2"/>
          </rPr>
          <t>020203_AT_Details_Dach Dachplatte_PREFA_2021-Q1|#00010401|Text</t>
        </r>
      </text>
    </comment>
    <comment ref="B1113" authorId="0" shapeId="0" xr:uid="{44346761-54CC-4D3D-AEDD-6F604A099024}">
      <text>
        <r>
          <rPr>
            <b/>
            <sz val="9"/>
            <color indexed="81"/>
            <rFont val="Segoe UI"/>
            <family val="2"/>
          </rPr>
          <t>020203_AT_Details_Dach Dachplatte_PREFA_2021-Q1|#00010402|Text</t>
        </r>
      </text>
    </comment>
    <comment ref="P1113" authorId="0" shapeId="0" xr:uid="{BD84E50D-3C69-4F26-B4ED-4566D63C4BEF}">
      <text>
        <r>
          <rPr>
            <b/>
            <sz val="9"/>
            <color indexed="81"/>
            <rFont val="Segoe UI"/>
            <family val="2"/>
          </rPr>
          <t>020203_AT_Details_Dach Dachplatte_PREFA_2021-Q1|#00010402|Text</t>
        </r>
      </text>
    </comment>
    <comment ref="B1114" authorId="0" shapeId="0" xr:uid="{F09CF797-E161-4009-847E-DE945B962C6E}">
      <text>
        <r>
          <rPr>
            <b/>
            <sz val="9"/>
            <color indexed="81"/>
            <rFont val="Segoe UI"/>
            <family val="2"/>
          </rPr>
          <t>020203_AT_Details_Dach Dachplatte_PREFA_2021-Q1|#00010403|Text</t>
        </r>
      </text>
    </comment>
    <comment ref="P1114" authorId="0" shapeId="0" xr:uid="{799EC942-3EEA-4BB3-97E0-DF8D3E2DAFDA}">
      <text>
        <r>
          <rPr>
            <b/>
            <sz val="9"/>
            <color indexed="81"/>
            <rFont val="Segoe UI"/>
            <family val="2"/>
          </rPr>
          <t>020203_AT_Details_Dach Dachplatte_PREFA_2021-Q1|#00010403|Text</t>
        </r>
      </text>
    </comment>
    <comment ref="B1115" authorId="0" shapeId="0" xr:uid="{7B216909-7DDB-4223-94C0-F9FF80376807}">
      <text>
        <r>
          <rPr>
            <b/>
            <sz val="9"/>
            <color indexed="81"/>
            <rFont val="Segoe UI"/>
            <family val="2"/>
          </rPr>
          <t>020203_AT_Details_Dach Dachplatte_PREFA_2021-Q1|#00010404|Text</t>
        </r>
      </text>
    </comment>
    <comment ref="P1115" authorId="0" shapeId="0" xr:uid="{C7CEFD86-DAB7-4341-BAFB-F6770ABF9509}">
      <text>
        <r>
          <rPr>
            <b/>
            <sz val="9"/>
            <color indexed="81"/>
            <rFont val="Segoe UI"/>
            <family val="2"/>
          </rPr>
          <t>020203_AT_Details_Dach Dachplatte_PREFA_2021-Q1|#00010404|Text</t>
        </r>
      </text>
    </comment>
    <comment ref="B1116" authorId="0" shapeId="0" xr:uid="{9443CE91-F60E-4EF1-8AE8-6D6224A28F4C}">
      <text>
        <r>
          <rPr>
            <b/>
            <sz val="9"/>
            <color indexed="81"/>
            <rFont val="Segoe UI"/>
            <family val="2"/>
          </rPr>
          <t>020203_AT_Details_Dach Dachplatte_PREFA_2021-Q1|#00010405|Text</t>
        </r>
      </text>
    </comment>
    <comment ref="P1116" authorId="0" shapeId="0" xr:uid="{F1644A2C-30CE-44A3-8B9C-88347011DB69}">
      <text>
        <r>
          <rPr>
            <b/>
            <sz val="9"/>
            <color indexed="81"/>
            <rFont val="Segoe UI"/>
            <family val="2"/>
          </rPr>
          <t>020203_AT_Details_Dach Dachplatte_PREFA_2021-Q1|#00010405|Text</t>
        </r>
      </text>
    </comment>
    <comment ref="B1117" authorId="0" shapeId="0" xr:uid="{4602640A-A41B-43EC-8DC2-27A222C946AB}">
      <text>
        <r>
          <rPr>
            <b/>
            <sz val="9"/>
            <color indexed="81"/>
            <rFont val="Segoe UI"/>
            <family val="2"/>
          </rPr>
          <t>020203_AT_Details_Dach Dachplatte_PREFA_2021-Q1|#00010406|Text</t>
        </r>
      </text>
    </comment>
    <comment ref="P1117" authorId="0" shapeId="0" xr:uid="{744120B3-DA85-43D4-90AB-24DB7273FF44}">
      <text>
        <r>
          <rPr>
            <b/>
            <sz val="9"/>
            <color indexed="81"/>
            <rFont val="Segoe UI"/>
            <family val="2"/>
          </rPr>
          <t>020203_AT_Details_Dach Dachplatte_PREFA_2021-Q1|#00010406|Text</t>
        </r>
      </text>
    </comment>
    <comment ref="B1118" authorId="0" shapeId="0" xr:uid="{65ABB3CC-5A16-4014-A9A8-7A09285661D0}">
      <text>
        <r>
          <rPr>
            <b/>
            <sz val="9"/>
            <color indexed="81"/>
            <rFont val="Segoe UI"/>
            <family val="2"/>
          </rPr>
          <t>020203_AT_Details_Dach Dachplatte_PREFA_2021-Q1|#00010407|Text</t>
        </r>
      </text>
    </comment>
    <comment ref="P1118" authorId="0" shapeId="0" xr:uid="{50FF5E9F-644F-47C4-B312-A27FD71D60C8}">
      <text>
        <r>
          <rPr>
            <b/>
            <sz val="9"/>
            <color indexed="81"/>
            <rFont val="Segoe UI"/>
            <family val="2"/>
          </rPr>
          <t>020203_AT_Details_Dach Dachplatte_PREFA_2021-Q1|#00010407|Text</t>
        </r>
      </text>
    </comment>
    <comment ref="B1119" authorId="0" shapeId="0" xr:uid="{79B8B369-40B8-4B3B-9550-9162ECF5D8E9}">
      <text>
        <r>
          <rPr>
            <b/>
            <sz val="9"/>
            <color indexed="81"/>
            <rFont val="Segoe UI"/>
            <family val="2"/>
          </rPr>
          <t>020203_AT_Details_Dach Dachplatte_PREFA_2021-Q1|#0000F367|Text</t>
        </r>
      </text>
    </comment>
    <comment ref="P1119" authorId="0" shapeId="0" xr:uid="{9124B640-123C-472D-961B-A181B6039817}">
      <text>
        <r>
          <rPr>
            <b/>
            <sz val="9"/>
            <color indexed="81"/>
            <rFont val="Segoe UI"/>
            <family val="2"/>
          </rPr>
          <t>020203_AT_Details_Dach Dachplatte_PREFA_2021-Q1|#0000F367|Text</t>
        </r>
      </text>
    </comment>
    <comment ref="B1120" authorId="0" shapeId="0" xr:uid="{70485B46-3CF1-4DAA-A89B-FD54FB6F6941}">
      <text>
        <r>
          <rPr>
            <b/>
            <sz val="9"/>
            <color indexed="81"/>
            <rFont val="Segoe UI"/>
            <family val="2"/>
          </rPr>
          <t>020203_AT_Details_Dach Dachplatte_PREFA_2021-Q1|#0001040B|Text</t>
        </r>
      </text>
    </comment>
    <comment ref="P1120" authorId="0" shapeId="0" xr:uid="{F3CA2968-7D17-427E-8DA9-EFF7E4E98D7F}">
      <text>
        <r>
          <rPr>
            <b/>
            <sz val="9"/>
            <color indexed="81"/>
            <rFont val="Segoe UI"/>
            <family val="2"/>
          </rPr>
          <t>020203_AT_Details_Dach Dachplatte_PREFA_2021-Q1|#0001040B|Text</t>
        </r>
      </text>
    </comment>
    <comment ref="B1121" authorId="0" shapeId="0" xr:uid="{2FB275A6-EE85-4DBD-A4F3-3E7EACE1713D}">
      <text>
        <r>
          <rPr>
            <b/>
            <sz val="9"/>
            <color indexed="81"/>
            <rFont val="Segoe UI"/>
            <family val="2"/>
          </rPr>
          <t>020203_AT_Details_Dach Dachplatte_PREFA_2021-Q1|#0001040D|Text</t>
        </r>
      </text>
    </comment>
    <comment ref="P1121" authorId="0" shapeId="0" xr:uid="{9603EDDA-E527-4185-8006-2236D7FC442A}">
      <text>
        <r>
          <rPr>
            <b/>
            <sz val="9"/>
            <color indexed="81"/>
            <rFont val="Segoe UI"/>
            <family val="2"/>
          </rPr>
          <t>020203_AT_Details_Dach Dachplatte_PREFA_2021-Q1|#0001040D|Text</t>
        </r>
      </text>
    </comment>
    <comment ref="B1122" authorId="0" shapeId="0" xr:uid="{9285D9AC-7126-4835-9105-29752E958909}">
      <text>
        <r>
          <rPr>
            <b/>
            <sz val="9"/>
            <color indexed="81"/>
            <rFont val="Segoe UI"/>
            <family val="2"/>
          </rPr>
          <t>020203_AT_Details_Dach Dachplatte_PREFA_2021-Q1|#0001040E|Text</t>
        </r>
      </text>
    </comment>
    <comment ref="P1122" authorId="0" shapeId="0" xr:uid="{077AA07F-FEEA-4E75-9374-CC2355F01678}">
      <text>
        <r>
          <rPr>
            <b/>
            <sz val="9"/>
            <color indexed="81"/>
            <rFont val="Segoe UI"/>
            <family val="2"/>
          </rPr>
          <t>020203_AT_Details_Dach Dachplatte_PREFA_2021-Q1|#0001040E|Text</t>
        </r>
      </text>
    </comment>
    <comment ref="B1123" authorId="0" shapeId="0" xr:uid="{8FABA036-B713-48DB-B957-CD68FC0CBAE6}">
      <text>
        <r>
          <rPr>
            <b/>
            <sz val="9"/>
            <color indexed="81"/>
            <rFont val="Segoe UI"/>
            <family val="2"/>
          </rPr>
          <t>020203_AT_Details_Dach Dachplatte_PREFA_2021-Q1|#0001040F|Text</t>
        </r>
      </text>
    </comment>
    <comment ref="P1123" authorId="0" shapeId="0" xr:uid="{63CC8BEB-8292-41B1-ABAC-1F709DAC4DE1}">
      <text>
        <r>
          <rPr>
            <b/>
            <sz val="9"/>
            <color indexed="81"/>
            <rFont val="Segoe UI"/>
            <family val="2"/>
          </rPr>
          <t>020203_AT_Details_Dach Dachplatte_PREFA_2021-Q1|#0001040F|Text</t>
        </r>
      </text>
    </comment>
    <comment ref="B1124" authorId="0" shapeId="0" xr:uid="{3A1E7B3D-3089-4D04-9290-3E07CB84719D}">
      <text>
        <r>
          <rPr>
            <b/>
            <sz val="9"/>
            <color indexed="81"/>
            <rFont val="Segoe UI"/>
            <family val="2"/>
          </rPr>
          <t>020203_AT_Details_Dach Dachplatte_PREFA_2021-Q1|#00010411|Text</t>
        </r>
      </text>
    </comment>
    <comment ref="P1124" authorId="0" shapeId="0" xr:uid="{27B46F02-D710-4DDC-AC7D-AE2153C7C196}">
      <text>
        <r>
          <rPr>
            <b/>
            <sz val="9"/>
            <color indexed="81"/>
            <rFont val="Segoe UI"/>
            <family val="2"/>
          </rPr>
          <t>020203_AT_Details_Dach Dachplatte_PREFA_2021-Q1|#00010411|Text</t>
        </r>
      </text>
    </comment>
    <comment ref="B1125" authorId="0" shapeId="0" xr:uid="{CCE7BA18-925C-4508-80DE-6F741F907889}">
      <text>
        <r>
          <rPr>
            <b/>
            <sz val="9"/>
            <color indexed="81"/>
            <rFont val="Segoe UI"/>
            <family val="2"/>
          </rPr>
          <t>020203_AT_Details_Dach Dachplatte_PREFA_2021-Q1|#00010413|Text</t>
        </r>
      </text>
    </comment>
    <comment ref="P1125" authorId="0" shapeId="0" xr:uid="{29ED4417-E97B-4AD2-8D50-EF1516E5DA12}">
      <text>
        <r>
          <rPr>
            <b/>
            <sz val="9"/>
            <color indexed="81"/>
            <rFont val="Segoe UI"/>
            <family val="2"/>
          </rPr>
          <t>020203_AT_Details_Dach Dachplatte_PREFA_2021-Q1|#00010413|Text</t>
        </r>
      </text>
    </comment>
    <comment ref="B1126" authorId="0" shapeId="0" xr:uid="{422F8474-38A2-4EF2-BEE1-EBBC75183CC8}">
      <text>
        <r>
          <rPr>
            <b/>
            <sz val="9"/>
            <color indexed="81"/>
            <rFont val="Segoe UI"/>
            <family val="2"/>
          </rPr>
          <t>020203_AT_Details_Dach Dachplatte_PREFA_2021-Q1|#00010417|Text</t>
        </r>
      </text>
    </comment>
    <comment ref="P1126" authorId="0" shapeId="0" xr:uid="{9E5B3E22-0762-4E71-9AD3-082F1DE64A33}">
      <text>
        <r>
          <rPr>
            <b/>
            <sz val="9"/>
            <color indexed="81"/>
            <rFont val="Segoe UI"/>
            <family val="2"/>
          </rPr>
          <t>020203_AT_Details_Dach Dachplatte_PREFA_2021-Q1|#00010417|Text</t>
        </r>
      </text>
    </comment>
    <comment ref="B1127" authorId="0" shapeId="0" xr:uid="{29F4E229-07D1-4228-8407-D50600336294}">
      <text>
        <r>
          <rPr>
            <b/>
            <sz val="9"/>
            <color indexed="81"/>
            <rFont val="Segoe UI"/>
            <family val="2"/>
          </rPr>
          <t>020203_AT_Details_Dach Dachplatte_PREFA_2021-Q1|#00010419|Text</t>
        </r>
      </text>
    </comment>
    <comment ref="P1127" authorId="0" shapeId="0" xr:uid="{72BF939D-5903-4A13-B983-5F1B91B8E335}">
      <text>
        <r>
          <rPr>
            <b/>
            <sz val="9"/>
            <color indexed="81"/>
            <rFont val="Segoe UI"/>
            <family val="2"/>
          </rPr>
          <t>020203_AT_Details_Dach Dachplatte_PREFA_2021-Q1|#00010419|Text</t>
        </r>
      </text>
    </comment>
    <comment ref="B1128" authorId="0" shapeId="0" xr:uid="{68BD1867-CCD5-4EF7-987B-09B294F78717}">
      <text>
        <r>
          <rPr>
            <b/>
            <sz val="9"/>
            <color indexed="81"/>
            <rFont val="Segoe UI"/>
            <family val="2"/>
          </rPr>
          <t>020203_AT_Details_Dach Dachplatte_PREFA_2021-Q1|#0001041B|Text</t>
        </r>
      </text>
    </comment>
    <comment ref="P1128" authorId="0" shapeId="0" xr:uid="{5ECC38CD-853F-486B-8D5B-191420A25F46}">
      <text>
        <r>
          <rPr>
            <b/>
            <sz val="9"/>
            <color indexed="81"/>
            <rFont val="Segoe UI"/>
            <family val="2"/>
          </rPr>
          <t>020203_AT_Details_Dach Dachplatte_PREFA_2021-Q1|#0001041B|Text</t>
        </r>
      </text>
    </comment>
    <comment ref="B1129" authorId="0" shapeId="0" xr:uid="{51FFFA1D-9AC8-4847-8C77-A67158093B02}">
      <text>
        <r>
          <rPr>
            <b/>
            <sz val="9"/>
            <color indexed="81"/>
            <rFont val="Segoe UI"/>
            <family val="2"/>
          </rPr>
          <t>020203_AT_Details_Dach Dachplatte_PREFA_2021-Q1|#0001041D|Text</t>
        </r>
      </text>
    </comment>
    <comment ref="P1129" authorId="0" shapeId="0" xr:uid="{6666D46C-02F3-442B-9CBE-9AE338CE7FA4}">
      <text>
        <r>
          <rPr>
            <b/>
            <sz val="9"/>
            <color indexed="81"/>
            <rFont val="Segoe UI"/>
            <family val="2"/>
          </rPr>
          <t>020203_AT_Details_Dach Dachplatte_PREFA_2021-Q1|#0001041D|Text</t>
        </r>
      </text>
    </comment>
    <comment ref="B1130" authorId="0" shapeId="0" xr:uid="{9E0B515B-E23B-4E3E-AC45-639C837EAB8A}">
      <text>
        <r>
          <rPr>
            <b/>
            <sz val="9"/>
            <color indexed="81"/>
            <rFont val="Segoe UI"/>
            <family val="2"/>
          </rPr>
          <t>020203_AT_Details_Dach Dachplatte_PREFA_2021-Q1|#0001041F|Text</t>
        </r>
      </text>
    </comment>
    <comment ref="P1130" authorId="0" shapeId="0" xr:uid="{7FCCF1DE-9916-4526-95CA-A6298BD20217}">
      <text>
        <r>
          <rPr>
            <b/>
            <sz val="9"/>
            <color indexed="81"/>
            <rFont val="Segoe UI"/>
            <family val="2"/>
          </rPr>
          <t>020203_AT_Details_Dach Dachplatte_PREFA_2021-Q1|#0001041F|Text</t>
        </r>
      </text>
    </comment>
    <comment ref="B1131" authorId="0" shapeId="0" xr:uid="{E32DD7C5-BA7A-4EA8-82BA-FF4D656810C8}">
      <text>
        <r>
          <rPr>
            <b/>
            <sz val="9"/>
            <color indexed="81"/>
            <rFont val="Segoe UI"/>
            <family val="2"/>
          </rPr>
          <t>020203_AT_Details_Dach Dachplatte_PREFA_2021-Q1|#00010421|Text</t>
        </r>
      </text>
    </comment>
    <comment ref="P1131" authorId="0" shapeId="0" xr:uid="{FC2D8A1E-6102-49EB-BB7B-66BBF53E976D}">
      <text>
        <r>
          <rPr>
            <b/>
            <sz val="9"/>
            <color indexed="81"/>
            <rFont val="Segoe UI"/>
            <family val="2"/>
          </rPr>
          <t>020203_AT_Details_Dach Dachplatte_PREFA_2021-Q1|#00010421|Text</t>
        </r>
      </text>
    </comment>
    <comment ref="B1132" authorId="0" shapeId="0" xr:uid="{91D359D0-21AC-490A-8173-D1BBABB51227}">
      <text>
        <r>
          <rPr>
            <b/>
            <sz val="9"/>
            <color indexed="81"/>
            <rFont val="Segoe UI"/>
            <family val="2"/>
          </rPr>
          <t>020203_AT_Details_Dach Dachplatte_PREFA_2021-Q1|#00010423|Text</t>
        </r>
      </text>
    </comment>
    <comment ref="P1132" authorId="0" shapeId="0" xr:uid="{042480DB-7D46-40CF-970C-0CACAA99105D}">
      <text>
        <r>
          <rPr>
            <b/>
            <sz val="9"/>
            <color indexed="81"/>
            <rFont val="Segoe UI"/>
            <family val="2"/>
          </rPr>
          <t>020203_AT_Details_Dach Dachplatte_PREFA_2021-Q1|#00010423|Text</t>
        </r>
      </text>
    </comment>
    <comment ref="B1133" authorId="0" shapeId="0" xr:uid="{62A1B605-EB09-47F2-9B41-631F63A5B012}">
      <text>
        <r>
          <rPr>
            <b/>
            <sz val="9"/>
            <color indexed="81"/>
            <rFont val="Segoe UI"/>
            <family val="2"/>
          </rPr>
          <t>020203_AT_Details_Dach Dachplatte_PREFA_2021-Q1|#00010425|Text</t>
        </r>
      </text>
    </comment>
    <comment ref="P1133" authorId="0" shapeId="0" xr:uid="{A685B45C-84CE-430B-8DF2-7733138F6DD4}">
      <text>
        <r>
          <rPr>
            <b/>
            <sz val="9"/>
            <color indexed="81"/>
            <rFont val="Segoe UI"/>
            <family val="2"/>
          </rPr>
          <t>020203_AT_Details_Dach Dachplatte_PREFA_2021-Q1|#00010425|Text</t>
        </r>
      </text>
    </comment>
    <comment ref="B1134" authorId="0" shapeId="0" xr:uid="{7C980392-593C-4988-AFC8-98939B211624}">
      <text>
        <r>
          <rPr>
            <b/>
            <sz val="9"/>
            <color indexed="81"/>
            <rFont val="Segoe UI"/>
            <family val="2"/>
          </rPr>
          <t>020203_AT_Details_Dach Dachplatte_PREFA_2021-Q1|#00010427|Text</t>
        </r>
      </text>
    </comment>
    <comment ref="P1134" authorId="0" shapeId="0" xr:uid="{0BD8BEFE-216C-42F3-A4F4-BA4103663976}">
      <text>
        <r>
          <rPr>
            <b/>
            <sz val="9"/>
            <color indexed="81"/>
            <rFont val="Segoe UI"/>
            <family val="2"/>
          </rPr>
          <t>020203_AT_Details_Dach Dachplatte_PREFA_2021-Q1|#00010427|Text</t>
        </r>
      </text>
    </comment>
    <comment ref="B1193" authorId="0" shapeId="0" xr:uid="{BA28B24F-341B-4AF3-A0B8-6AC08CC94F9D}">
      <text>
        <r>
          <rPr>
            <b/>
            <sz val="9"/>
            <color indexed="81"/>
            <rFont val="Segoe UI"/>
            <family val="2"/>
          </rPr>
          <t>020203_AT_Details_Dach Dachplatte_PREFA_2021-Q1|#00010429|Text</t>
        </r>
      </text>
    </comment>
    <comment ref="P1193" authorId="0" shapeId="0" xr:uid="{D83C4F77-9658-4F50-BD8E-9158C55CAC40}">
      <text>
        <r>
          <rPr>
            <b/>
            <sz val="9"/>
            <color indexed="81"/>
            <rFont val="Segoe UI"/>
            <family val="2"/>
          </rPr>
          <t>020203_AT_Details_Dach Dachplatte_PREFA_2021-Q1|#00010429|Text</t>
        </r>
      </text>
    </comment>
    <comment ref="B1194" authorId="0" shapeId="0" xr:uid="{C0A84F0C-1163-439E-93DB-0DE3BC6F3763}">
      <text>
        <r>
          <rPr>
            <b/>
            <sz val="9"/>
            <color indexed="81"/>
            <rFont val="Segoe UI"/>
            <family val="2"/>
          </rPr>
          <t>020203_AT_Details_Dach Dachplatte_PREFA_2021-Q1|#0000900F|Text</t>
        </r>
      </text>
    </comment>
    <comment ref="P1194" authorId="0" shapeId="0" xr:uid="{ABFD7661-FBAC-4860-ADC9-356E006C6C96}">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<sst xmlns="http://schemas.openxmlformats.org/spreadsheetml/2006/main" count="39792" uniqueCount="29784">
  <si>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</si>
  <si>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</si>
  <si>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</si>
  <si>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</si>
  <si>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</si>
  <si>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</si>
  <si>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</si>
  <si>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</si>
  <si>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</si>
  <si>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</si>
  <si>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</si>
  <si>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</si>
  <si>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</si>
  <si>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</si>
  <si>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</si>
  <si>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</si>
  <si>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</si>
  <si>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</si>
  <si>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</si>
  <si>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</si>
  <si>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</si>
  <si>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</si>
  <si>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</si>
  <si>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</si>
  <si>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</si>
  <si>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</si>
  <si>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</si>
  <si>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</si>
  <si>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Glatt</t>
  </si>
  <si>
    <t>Stucco</t>
  </si>
  <si>
    <t>Preis</t>
  </si>
  <si>
    <t>VPE</t>
  </si>
  <si>
    <t>STK</t>
  </si>
  <si>
    <t xml:space="preserve">P.10 anthrazit </t>
  </si>
  <si>
    <t xml:space="preserve">P.10 oxydrot </t>
  </si>
  <si>
    <t>P.10 hellgrau</t>
  </si>
  <si>
    <t xml:space="preserve">P.10 braun </t>
  </si>
  <si>
    <t xml:space="preserve">P.10 steingrau </t>
  </si>
  <si>
    <t xml:space="preserve">P.10 ziegelrot </t>
  </si>
  <si>
    <t xml:space="preserve">P.10 nussbraun </t>
  </si>
  <si>
    <t>P.10 moosgrün</t>
  </si>
  <si>
    <t xml:space="preserve">P.10 schwarz </t>
  </si>
  <si>
    <t>P.10 dunkelgrau</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</si>
  <si>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</si>
  <si>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</si>
  <si>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</si>
  <si>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</si>
  <si>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</si>
  <si>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</si>
  <si>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</si>
  <si>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</si>
  <si>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</si>
  <si>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r>
      <t xml:space="preserve">blank </t>
    </r>
    <r>
      <rPr>
        <sz val="11"/>
        <color theme="1"/>
        <rFont val="Calibri"/>
        <family val="2"/>
      </rPr>
      <t>↑</t>
    </r>
  </si>
  <si>
    <r>
      <t xml:space="preserve">p10 silbermetallic </t>
    </r>
    <r>
      <rPr>
        <sz val="11"/>
        <color theme="1"/>
        <rFont val="Calibri"/>
        <family val="2"/>
      </rPr>
      <t>↑</t>
    </r>
  </si>
  <si>
    <r>
      <t xml:space="preserve">p10 rauchsilber </t>
    </r>
    <r>
      <rPr>
        <sz val="11"/>
        <color theme="1"/>
        <rFont val="Calibri"/>
        <family val="2"/>
      </rPr>
      <t>↑</t>
    </r>
  </si>
  <si>
    <r>
      <t xml:space="preserve">p10 bronze </t>
    </r>
    <r>
      <rPr>
        <sz val="11"/>
        <color theme="1"/>
        <rFont val="Calibri"/>
        <family val="2"/>
      </rPr>
      <t>↑</t>
    </r>
  </si>
  <si>
    <t>CK02/04/06</t>
  </si>
  <si>
    <t>FK04/06/08</t>
  </si>
  <si>
    <t>MK04/06/08</t>
  </si>
  <si>
    <t>MK10/12</t>
  </si>
  <si>
    <t>PK04/06/08</t>
  </si>
  <si>
    <t>PK10</t>
  </si>
  <si>
    <t>SK06/08</t>
  </si>
  <si>
    <t>SK10</t>
  </si>
  <si>
    <t>UK04/08</t>
  </si>
  <si>
    <t>UK10</t>
  </si>
  <si>
    <t>5/7; 5/9; 5/11</t>
  </si>
  <si>
    <t>6/9; 6/11; 6/14</t>
  </si>
  <si>
    <t>7/7; 7/9; 7/11</t>
  </si>
  <si>
    <t>7/14; 7/16</t>
  </si>
  <si>
    <t>9/7; 9/9; 9/11</t>
  </si>
  <si>
    <t>9/14; 9/16</t>
  </si>
  <si>
    <t>11/7; 11/9; 11/11; 11/14; 11/16</t>
  </si>
  <si>
    <t>13/7; 13/9; 13/14</t>
  </si>
  <si>
    <t>110409</t>
  </si>
  <si>
    <t>02 P.10 Anthrazit</t>
  </si>
  <si>
    <t>040100</t>
  </si>
  <si>
    <t>040101</t>
  </si>
  <si>
    <t>040102</t>
  </si>
  <si>
    <t>040104</t>
  </si>
  <si>
    <t>040105</t>
  </si>
  <si>
    <t>040106</t>
  </si>
  <si>
    <t>040107</t>
  </si>
  <si>
    <t>040108</t>
  </si>
  <si>
    <t>040404</t>
  </si>
  <si>
    <t>040120</t>
  </si>
  <si>
    <t>040121</t>
  </si>
  <si>
    <t>040122</t>
  </si>
  <si>
    <t>040123</t>
  </si>
  <si>
    <t>040124</t>
  </si>
  <si>
    <t>040125</t>
  </si>
  <si>
    <t>040126</t>
  </si>
  <si>
    <t>040127</t>
  </si>
  <si>
    <t>040128</t>
  </si>
  <si>
    <t>040424</t>
  </si>
  <si>
    <t>blank</t>
  </si>
  <si>
    <t>braun/az</t>
  </si>
  <si>
    <t>rot</t>
  </si>
  <si>
    <t>moos/hellgrau</t>
  </si>
  <si>
    <t>040103</t>
  </si>
  <si>
    <t>(4,5 x 45 mm, 250 Stk/Pkt, blank)</t>
  </si>
  <si>
    <t>(4,5 x 60 mm, 100 Stk/Pkt)</t>
  </si>
  <si>
    <t>66 x 98 - FK04</t>
  </si>
  <si>
    <t>54 x 98 - 05/09_WD</t>
  </si>
  <si>
    <t>660 x 1.174 - Q66/118_WD</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</si>
  <si>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</si>
  <si>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</si>
  <si>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</si>
  <si>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</si>
  <si>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</si>
  <si>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</si>
  <si>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</si>
  <si>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</si>
  <si>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</si>
  <si>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</si>
  <si>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</si>
  <si>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</si>
  <si>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</si>
  <si>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</si>
  <si>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12 silbermetallic</t>
  </si>
  <si>
    <t>45 bronze</t>
  </si>
  <si>
    <t>46 patina grün</t>
  </si>
  <si>
    <t>23 schwarzgrau</t>
  </si>
  <si>
    <t>47 patina grau</t>
  </si>
  <si>
    <t>17 reinweiß P.10</t>
  </si>
  <si>
    <t>19 dunkelgrau P.10</t>
  </si>
  <si>
    <t>P10 Bronze</t>
  </si>
  <si>
    <t>500 kg</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</si>
  <si>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</si>
  <si>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</si>
  <si>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</si>
  <si>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</si>
  <si>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</si>
  <si>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</si>
  <si>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</si>
  <si>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</si>
  <si>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</si>
  <si>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</si>
  <si>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</si>
  <si>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</si>
  <si>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</si>
  <si>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</si>
  <si>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</si>
  <si>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</si>
  <si>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</si>
  <si>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</si>
  <si>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</si>
  <si>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</si>
  <si>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040446</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</si>
  <si>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</si>
  <si>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</si>
  <si>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</si>
  <si>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</si>
  <si>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</si>
  <si>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</si>
  <si>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</si>
  <si>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</si>
  <si>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</si>
  <si>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</si>
  <si>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</si>
  <si>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</si>
  <si>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</si>
  <si>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</si>
  <si>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</si>
  <si>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</si>
  <si>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040466</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</si>
  <si>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</si>
  <si>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</si>
  <si>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</si>
  <si>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</si>
  <si>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</si>
  <si>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</si>
  <si>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</si>
  <si>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</si>
  <si>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</si>
  <si>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</si>
  <si>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</si>
  <si>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</si>
  <si>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</si>
  <si>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</si>
  <si>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</si>
  <si>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</si>
  <si>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</si>
  <si>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</si>
  <si>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</si>
  <si>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040456</t>
  </si>
  <si>
    <t>040333</t>
  </si>
  <si>
    <t>040330</t>
  </si>
  <si>
    <t>040338</t>
  </si>
  <si>
    <t>040335</t>
  </si>
  <si>
    <t>040331</t>
  </si>
  <si>
    <t>040334</t>
  </si>
  <si>
    <t>040336</t>
  </si>
  <si>
    <t>040337</t>
  </si>
  <si>
    <t>040471</t>
  </si>
  <si>
    <t>040472</t>
  </si>
  <si>
    <t>030184</t>
  </si>
  <si>
    <t>030182</t>
  </si>
  <si>
    <t>040470</t>
  </si>
  <si>
    <t>040475</t>
  </si>
  <si>
    <t>040474</t>
  </si>
  <si>
    <t>040476</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</si>
  <si>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</si>
  <si>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</si>
  <si>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</si>
  <si>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</si>
  <si>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</si>
  <si>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</si>
  <si>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</si>
  <si>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</si>
  <si>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</si>
  <si>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</si>
  <si>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</si>
  <si>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</si>
  <si>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</si>
  <si>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</si>
  <si>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</si>
  <si>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</si>
  <si>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</si>
  <si>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</si>
  <si>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040486</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</si>
  <si>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</si>
  <si>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</si>
  <si>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</si>
  <si>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</si>
  <si>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</si>
  <si>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</si>
  <si>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</si>
  <si>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</si>
  <si>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</si>
  <si>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</si>
  <si>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</si>
  <si>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</si>
  <si>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</si>
  <si>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</si>
  <si>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</si>
  <si>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</si>
  <si>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040506</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</si>
  <si>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</si>
  <si>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</si>
  <si>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</si>
  <si>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</si>
  <si>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</si>
  <si>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</si>
  <si>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</si>
  <si>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</si>
  <si>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</si>
  <si>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</si>
  <si>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</si>
  <si>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</si>
  <si>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</si>
  <si>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</si>
  <si>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</si>
  <si>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</si>
  <si>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</si>
  <si>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</si>
  <si>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040496</t>
  </si>
  <si>
    <t>040233</t>
  </si>
  <si>
    <t>040230</t>
  </si>
  <si>
    <t>040238</t>
  </si>
  <si>
    <t>040235</t>
  </si>
  <si>
    <t>040231</t>
  </si>
  <si>
    <t>040232</t>
  </si>
  <si>
    <t>040234</t>
  </si>
  <si>
    <t>040236</t>
  </si>
  <si>
    <t>040237</t>
  </si>
  <si>
    <t>040511</t>
  </si>
  <si>
    <t>040512</t>
  </si>
  <si>
    <t>030544</t>
  </si>
  <si>
    <t>030543</t>
  </si>
  <si>
    <t>040510</t>
  </si>
  <si>
    <t>040515</t>
  </si>
  <si>
    <t>040514</t>
  </si>
  <si>
    <t>040516</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</si>
  <si>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</si>
  <si>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</si>
  <si>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</si>
  <si>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</si>
  <si>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</si>
  <si>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</si>
  <si>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</si>
  <si>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</si>
  <si>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</si>
  <si>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</si>
  <si>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</si>
  <si>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</si>
  <si>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</si>
  <si>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</si>
  <si>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</si>
  <si>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</si>
  <si>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</si>
  <si>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</si>
  <si>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040406</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</si>
  <si>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</si>
  <si>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</si>
  <si>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</si>
  <si>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</si>
  <si>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</si>
  <si>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</si>
  <si>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</si>
  <si>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</si>
  <si>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</si>
  <si>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</si>
  <si>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</si>
  <si>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</si>
  <si>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</si>
  <si>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</si>
  <si>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</si>
  <si>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040426</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</si>
  <si>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</si>
  <si>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</si>
  <si>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</si>
  <si>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</si>
  <si>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</si>
  <si>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</si>
  <si>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</si>
  <si>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</si>
  <si>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</si>
  <si>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</si>
  <si>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</si>
  <si>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</si>
  <si>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</si>
  <si>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</si>
  <si>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</si>
  <si>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</si>
  <si>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</si>
  <si>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</si>
  <si>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</si>
  <si>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040416</t>
  </si>
  <si>
    <t>040133</t>
  </si>
  <si>
    <t>040130</t>
  </si>
  <si>
    <t>040138</t>
  </si>
  <si>
    <t>040135</t>
  </si>
  <si>
    <t>040131</t>
  </si>
  <si>
    <t>040132</t>
  </si>
  <si>
    <t>040134</t>
  </si>
  <si>
    <t>040136</t>
  </si>
  <si>
    <t>040137</t>
  </si>
  <si>
    <t>040431</t>
  </si>
  <si>
    <t>040432</t>
  </si>
  <si>
    <t>030565</t>
  </si>
  <si>
    <t>040430</t>
  </si>
  <si>
    <t>040435</t>
  </si>
  <si>
    <t>040434</t>
  </si>
  <si>
    <t>040436</t>
  </si>
  <si>
    <t>4,5/30</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</si>
  <si>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</si>
  <si>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</si>
  <si>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</si>
  <si>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</si>
  <si>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</si>
  <si>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</si>
  <si>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</si>
  <si>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</si>
  <si>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</si>
  <si>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</si>
  <si>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</si>
  <si>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</si>
  <si>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</si>
  <si>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</si>
  <si>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</si>
  <si>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</si>
  <si>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</si>
  <si>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</si>
  <si>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</si>
  <si>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</si>
  <si>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</si>
  <si>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</si>
  <si>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</si>
  <si>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</si>
  <si>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</si>
  <si>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</si>
  <si>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</si>
  <si>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</si>
  <si>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</si>
  <si>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</si>
  <si>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</si>
  <si>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</si>
  <si>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</si>
  <si>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121053</t>
  </si>
  <si>
    <t>121054</t>
  </si>
  <si>
    <t>121052</t>
  </si>
  <si>
    <t>121056</t>
  </si>
  <si>
    <t>121055</t>
  </si>
  <si>
    <t>94 x 98-140 cm</t>
  </si>
  <si>
    <t>121103</t>
  </si>
  <si>
    <t>121104</t>
  </si>
  <si>
    <t>121102</t>
  </si>
  <si>
    <t>121106</t>
  </si>
  <si>
    <t>121105</t>
  </si>
  <si>
    <t>121122</t>
  </si>
  <si>
    <t>121116</t>
  </si>
  <si>
    <t>121115</t>
  </si>
  <si>
    <t>121134</t>
  </si>
  <si>
    <t>121132</t>
  </si>
  <si>
    <t>121136</t>
  </si>
  <si>
    <t>121135</t>
  </si>
  <si>
    <t>121153</t>
  </si>
  <si>
    <t>121154</t>
  </si>
  <si>
    <t>121152</t>
  </si>
  <si>
    <t>121156</t>
  </si>
  <si>
    <t>121155</t>
  </si>
  <si>
    <t>121163</t>
  </si>
  <si>
    <t>121164</t>
  </si>
  <si>
    <t>121162</t>
  </si>
  <si>
    <t>121166</t>
  </si>
  <si>
    <t>121165</t>
  </si>
  <si>
    <t>121093</t>
  </si>
  <si>
    <t>121094</t>
  </si>
  <si>
    <t>121092</t>
  </si>
  <si>
    <t>121096</t>
  </si>
  <si>
    <t>121095</t>
  </si>
  <si>
    <t>121082</t>
  </si>
  <si>
    <t>121073</t>
  </si>
  <si>
    <t>121074</t>
  </si>
  <si>
    <t>121072</t>
  </si>
  <si>
    <t>121076</t>
  </si>
  <si>
    <t>121075</t>
  </si>
  <si>
    <t>121062</t>
  </si>
  <si>
    <t>magazinschraube</t>
  </si>
  <si>
    <t>spezialbit</t>
  </si>
  <si>
    <t>Verkaufsgrößen</t>
  </si>
  <si>
    <t>02 anthrazit</t>
  </si>
  <si>
    <t>19 dunkelgrau</t>
  </si>
  <si>
    <t>47 patinagrau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</si>
  <si>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</si>
  <si>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</si>
  <si>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</si>
  <si>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</si>
  <si>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</si>
  <si>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</si>
  <si>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</si>
  <si>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</si>
  <si>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</si>
  <si>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</si>
  <si>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</si>
  <si>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</si>
  <si>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</si>
  <si>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</si>
  <si>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</si>
  <si>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</si>
  <si>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</si>
  <si>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</si>
  <si>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</si>
  <si>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</si>
  <si>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</si>
  <si>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</si>
  <si>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</si>
  <si>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</si>
  <si>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</si>
  <si>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</si>
  <si>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</si>
  <si>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</si>
  <si>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</si>
  <si>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</si>
  <si>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</si>
  <si>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</si>
  <si>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210001</t>
  </si>
  <si>
    <t>210000</t>
  </si>
  <si>
    <t>210004</t>
  </si>
  <si>
    <t>210002</t>
  </si>
  <si>
    <t>210005</t>
  </si>
  <si>
    <t>210006</t>
  </si>
  <si>
    <t>210003</t>
  </si>
  <si>
    <t>25er6m</t>
  </si>
  <si>
    <t>210041</t>
  </si>
  <si>
    <t>210040</t>
  </si>
  <si>
    <t>210044</t>
  </si>
  <si>
    <t>210042</t>
  </si>
  <si>
    <t>210045</t>
  </si>
  <si>
    <t>210046</t>
  </si>
  <si>
    <t>210043</t>
  </si>
  <si>
    <t>28er6m</t>
  </si>
  <si>
    <t>210081</t>
  </si>
  <si>
    <t>210080</t>
  </si>
  <si>
    <t>210084</t>
  </si>
  <si>
    <t>210082</t>
  </si>
  <si>
    <t>210085</t>
  </si>
  <si>
    <t>210086</t>
  </si>
  <si>
    <t>210083</t>
  </si>
  <si>
    <t>33er6m</t>
  </si>
  <si>
    <t>210121</t>
  </si>
  <si>
    <t>210120</t>
  </si>
  <si>
    <t>210124</t>
  </si>
  <si>
    <t>210122</t>
  </si>
  <si>
    <t>210125</t>
  </si>
  <si>
    <t>210126</t>
  </si>
  <si>
    <t>210123</t>
  </si>
  <si>
    <t>40er6m</t>
  </si>
  <si>
    <t>normal</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</si>
  <si>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</si>
  <si>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</si>
  <si>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</si>
  <si>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</si>
  <si>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</si>
  <si>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</si>
  <si>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</si>
  <si>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</si>
  <si>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</si>
  <si>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</si>
  <si>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</si>
  <si>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</si>
  <si>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</si>
  <si>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</si>
  <si>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</si>
  <si>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</si>
  <si>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</si>
  <si>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</si>
  <si>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</si>
  <si>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</si>
  <si>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</si>
  <si>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</si>
  <si>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</si>
  <si>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</si>
  <si>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</si>
  <si>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</si>
  <si>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</si>
  <si>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</si>
  <si>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</si>
  <si>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</si>
  <si>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</si>
  <si>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</si>
  <si>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</si>
  <si>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</si>
  <si>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</si>
  <si>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</si>
  <si>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</si>
  <si>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</si>
  <si>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</si>
  <si>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</si>
  <si>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</si>
  <si>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</si>
  <si>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</si>
  <si>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</si>
  <si>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</si>
  <si>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</si>
  <si>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</si>
  <si>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</si>
  <si>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</si>
  <si>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</si>
  <si>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</si>
  <si>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</si>
  <si>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</si>
  <si>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</si>
  <si>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</si>
  <si>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</si>
  <si>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</si>
  <si>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</si>
  <si>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</si>
  <si>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</si>
  <si>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</si>
  <si>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</si>
  <si>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</si>
  <si>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</si>
  <si>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</si>
  <si>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</si>
  <si>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</si>
  <si>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</si>
  <si>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</si>
  <si>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</si>
  <si>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</si>
  <si>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</si>
  <si>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</si>
  <si>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</si>
  <si>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</si>
  <si>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</si>
  <si>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</si>
  <si>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</si>
  <si>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</si>
  <si>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</si>
  <si>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</si>
  <si>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</si>
  <si>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</si>
  <si>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</si>
  <si>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</si>
  <si>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</si>
  <si>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</si>
  <si>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</si>
  <si>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</si>
  <si>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</si>
  <si>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</si>
  <si>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</si>
  <si>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</si>
  <si>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</si>
  <si>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</si>
  <si>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</si>
  <si>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</si>
  <si>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</si>
  <si>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</si>
  <si>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</si>
  <si>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</si>
  <si>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</si>
  <si>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</si>
  <si>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333k/23x7</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</si>
  <si>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</si>
  <si>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</si>
  <si>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</si>
  <si>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</si>
  <si>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</si>
  <si>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</si>
  <si>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</si>
  <si>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</si>
  <si>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</si>
  <si>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</si>
  <si>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</si>
  <si>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</si>
  <si>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</si>
  <si>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</si>
  <si>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</si>
  <si>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</si>
  <si>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</si>
  <si>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</si>
  <si>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</si>
  <si>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</si>
  <si>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</si>
  <si>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</si>
  <si>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</si>
  <si>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</si>
  <si>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</si>
  <si>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</si>
  <si>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</si>
  <si>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</si>
  <si>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</si>
  <si>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</si>
  <si>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</si>
  <si>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</si>
  <si>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</si>
  <si>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</si>
  <si>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</si>
  <si>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</si>
  <si>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</si>
  <si>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</si>
  <si>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</si>
  <si>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</si>
  <si>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</si>
  <si>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</si>
  <si>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</si>
  <si>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</si>
  <si>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</si>
  <si>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</si>
  <si>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</si>
  <si>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</si>
  <si>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</si>
  <si>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</si>
  <si>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</si>
  <si>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</si>
  <si>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</si>
  <si>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</si>
  <si>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</si>
  <si>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</si>
  <si>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</si>
  <si>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</si>
  <si>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</si>
  <si>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</si>
  <si>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</si>
  <si>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</si>
  <si>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</si>
  <si>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</si>
  <si>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</si>
  <si>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</si>
  <si>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</si>
  <si>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</si>
  <si>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</si>
  <si>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</si>
  <si>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</si>
  <si>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</si>
  <si>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</si>
  <si>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</si>
  <si>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</si>
  <si>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</si>
  <si>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</si>
  <si>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</si>
  <si>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</si>
  <si>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</si>
  <si>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</si>
  <si>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</si>
  <si>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</si>
  <si>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</si>
  <si>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</si>
  <si>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</si>
  <si>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</si>
  <si>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</si>
  <si>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</si>
  <si>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</si>
  <si>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</si>
  <si>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</si>
  <si>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</si>
  <si>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</si>
  <si>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</si>
  <si>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</si>
  <si>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</si>
  <si>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</si>
  <si>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</si>
  <si>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</si>
  <si>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</si>
  <si>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</si>
  <si>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</si>
  <si>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</si>
  <si>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</si>
  <si>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</si>
  <si>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</si>
  <si>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</si>
  <si>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</si>
  <si>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</si>
  <si>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</si>
  <si>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</si>
  <si>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</si>
  <si>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</si>
  <si>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</si>
  <si>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</si>
  <si>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</si>
  <si>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</si>
  <si>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</si>
  <si>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</si>
  <si>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</si>
  <si>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</si>
  <si>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</si>
  <si>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</si>
  <si>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</si>
  <si>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</si>
  <si>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</si>
  <si>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</si>
  <si>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</si>
  <si>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</si>
  <si>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</si>
  <si>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</si>
  <si>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</si>
  <si>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</si>
  <si>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</si>
  <si>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</si>
  <si>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</si>
  <si>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</si>
  <si>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</si>
  <si>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</si>
  <si>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</si>
  <si>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</si>
  <si>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</si>
  <si>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</si>
  <si>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</si>
  <si>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</si>
  <si>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</si>
  <si>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</si>
  <si>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</si>
  <si>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</si>
  <si>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</si>
  <si>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</si>
  <si>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</si>
  <si>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</si>
  <si>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</si>
  <si>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</si>
  <si>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</si>
  <si>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</si>
  <si>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</si>
  <si>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</si>
  <si>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</si>
  <si>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</si>
  <si>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</si>
  <si>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</si>
  <si>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</si>
  <si>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</si>
  <si>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</si>
  <si>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</si>
  <si>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200841</t>
  </si>
  <si>
    <t>200840</t>
  </si>
  <si>
    <t>200844</t>
  </si>
  <si>
    <t>200842</t>
  </si>
  <si>
    <t>200845</t>
  </si>
  <si>
    <t>200846</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</si>
  <si>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</si>
  <si>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</si>
  <si>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</si>
  <si>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</si>
  <si>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</si>
  <si>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</si>
  <si>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</si>
  <si>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</si>
  <si>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</si>
  <si>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</si>
  <si>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</si>
  <si>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</si>
  <si>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</si>
  <si>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</si>
  <si>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</si>
  <si>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</si>
  <si>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</si>
  <si>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</si>
  <si>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</si>
  <si>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</si>
  <si>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</si>
  <si>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</si>
  <si>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</si>
  <si>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</si>
  <si>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</si>
  <si>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</si>
  <si>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</si>
  <si>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</si>
  <si>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</si>
  <si>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</si>
  <si>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</si>
  <si>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</si>
  <si>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</si>
  <si>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</si>
  <si>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</si>
  <si>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</si>
  <si>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</si>
  <si>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</si>
  <si>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</si>
  <si>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</si>
  <si>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</si>
  <si>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</si>
  <si>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</si>
  <si>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</si>
  <si>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</si>
  <si>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</si>
  <si>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</si>
  <si>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</si>
  <si>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</si>
  <si>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</si>
  <si>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</si>
  <si>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</si>
  <si>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211001</t>
  </si>
  <si>
    <t>211000</t>
  </si>
  <si>
    <t>211004</t>
  </si>
  <si>
    <t>211002</t>
  </si>
  <si>
    <t>211005</t>
  </si>
  <si>
    <t>211006</t>
  </si>
  <si>
    <t>211003</t>
  </si>
  <si>
    <t>211041</t>
  </si>
  <si>
    <t>211040</t>
  </si>
  <si>
    <t>211044</t>
  </si>
  <si>
    <t>211042</t>
  </si>
  <si>
    <t>211045</t>
  </si>
  <si>
    <t>211046</t>
  </si>
  <si>
    <t>211043</t>
  </si>
  <si>
    <t>211081</t>
  </si>
  <si>
    <t>211080</t>
  </si>
  <si>
    <t>211082</t>
  </si>
  <si>
    <t>211085</t>
  </si>
  <si>
    <t>211086</t>
  </si>
  <si>
    <t>211083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</si>
  <si>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</si>
  <si>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</si>
  <si>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</si>
  <si>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</si>
  <si>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</si>
  <si>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</si>
  <si>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</si>
  <si>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</si>
  <si>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</si>
  <si>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</si>
  <si>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</si>
  <si>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</si>
  <si>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</si>
  <si>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</si>
  <si>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</si>
  <si>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</si>
  <si>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</si>
  <si>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</si>
  <si>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</si>
  <si>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</si>
  <si>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</si>
  <si>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</si>
  <si>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</si>
  <si>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</si>
  <si>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</si>
  <si>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</si>
  <si>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</si>
  <si>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</si>
  <si>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</si>
  <si>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</si>
  <si>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</si>
  <si>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</si>
  <si>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</si>
  <si>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</si>
  <si>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</si>
  <si>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</si>
  <si>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</si>
  <si>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</si>
  <si>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</si>
  <si>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</si>
  <si>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</si>
  <si>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</si>
  <si>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</si>
  <si>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</si>
  <si>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</si>
  <si>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</si>
  <si>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</si>
  <si>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</si>
  <si>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</si>
  <si>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</si>
  <si>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</si>
  <si>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</si>
  <si>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</si>
  <si>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</si>
  <si>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</si>
  <si>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</si>
  <si>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</si>
  <si>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</si>
  <si>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</si>
  <si>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</si>
  <si>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</si>
  <si>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</si>
  <si>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</si>
  <si>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</si>
  <si>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</si>
  <si>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</si>
  <si>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</si>
  <si>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</si>
  <si>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</si>
  <si>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</si>
  <si>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</si>
  <si>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</si>
  <si>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</si>
  <si>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</si>
  <si>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</si>
  <si>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</si>
  <si>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</si>
  <si>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</si>
  <si>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</si>
  <si>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</si>
  <si>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</si>
  <si>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</si>
  <si>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</si>
  <si>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</si>
  <si>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</si>
  <si>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</si>
  <si>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</si>
  <si>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</si>
  <si>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</si>
  <si>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</si>
  <si>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</si>
  <si>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</si>
  <si>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</si>
  <si>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</si>
  <si>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</si>
  <si>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</si>
  <si>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</si>
  <si>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</si>
  <si>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</si>
  <si>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</si>
  <si>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</si>
  <si>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</si>
  <si>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</si>
  <si>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</si>
  <si>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</si>
  <si>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</si>
  <si>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</si>
  <si>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</si>
  <si>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</si>
  <si>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</si>
  <si>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</si>
  <si>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</si>
  <si>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</si>
  <si>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</si>
  <si>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</si>
  <si>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</si>
  <si>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</si>
  <si>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</si>
  <si>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</si>
  <si>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</si>
  <si>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212001</t>
  </si>
  <si>
    <t>212000</t>
  </si>
  <si>
    <t>212004</t>
  </si>
  <si>
    <t>212002</t>
  </si>
  <si>
    <t>212005</t>
  </si>
  <si>
    <t>212006</t>
  </si>
  <si>
    <t>212003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</si>
  <si>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</si>
  <si>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</si>
  <si>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</si>
  <si>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</si>
  <si>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</si>
  <si>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</si>
  <si>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</si>
  <si>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</si>
  <si>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</si>
  <si>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</si>
  <si>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</si>
  <si>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</si>
  <si>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</si>
  <si>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</si>
  <si>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</si>
  <si>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</si>
  <si>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</si>
  <si>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</si>
  <si>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</si>
  <si>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</si>
  <si>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</si>
  <si>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</si>
  <si>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</si>
  <si>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</si>
  <si>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</si>
  <si>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</si>
  <si>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</si>
  <si>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</si>
  <si>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</si>
  <si>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</si>
  <si>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</si>
  <si>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</si>
  <si>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</si>
  <si>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</si>
  <si>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</si>
  <si>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</si>
  <si>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</si>
  <si>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</si>
  <si>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</si>
  <si>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</si>
  <si>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</si>
  <si>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</si>
  <si>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</si>
  <si>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</si>
  <si>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</si>
  <si>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220001</t>
  </si>
  <si>
    <t>220000</t>
  </si>
  <si>
    <t>220004</t>
  </si>
  <si>
    <t>220002</t>
  </si>
  <si>
    <t>220005</t>
  </si>
  <si>
    <t>220006</t>
  </si>
  <si>
    <t>220003</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</si>
  <si>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</si>
  <si>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</si>
  <si>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</si>
  <si>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</si>
  <si>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</si>
  <si>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</si>
  <si>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</si>
  <si>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</si>
  <si>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</si>
  <si>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</si>
  <si>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</si>
  <si>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</si>
  <si>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</si>
  <si>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</si>
  <si>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</si>
  <si>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</si>
  <si>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</si>
  <si>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</si>
  <si>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</si>
  <si>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</si>
  <si>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</si>
  <si>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</si>
  <si>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</si>
  <si>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</si>
  <si>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</si>
  <si>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</si>
  <si>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</si>
  <si>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</si>
  <si>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</si>
  <si>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</si>
  <si>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</si>
  <si>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</si>
  <si>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</si>
  <si>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</si>
  <si>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</si>
  <si>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140 mm</t>
  </si>
  <si>
    <t>200 mm</t>
  </si>
  <si>
    <t>330 mm</t>
  </si>
  <si>
    <t>Ø 10 x 120 mm</t>
  </si>
  <si>
    <t>Ø 10 x 180 mm</t>
  </si>
  <si>
    <t>Ø 10 x 280 mm</t>
  </si>
  <si>
    <t>100–180 mm</t>
  </si>
  <si>
    <t>=</t>
  </si>
  <si>
    <t>180–260 mm</t>
  </si>
  <si>
    <t>202901</t>
  </si>
  <si>
    <t>202900</t>
  </si>
  <si>
    <t>202902</t>
  </si>
  <si>
    <t>202905</t>
  </si>
  <si>
    <t>202906</t>
  </si>
  <si>
    <t>202903</t>
  </si>
  <si>
    <t>⌀ 120</t>
  </si>
  <si>
    <t>201001</t>
  </si>
  <si>
    <t>201000</t>
  </si>
  <si>
    <t>201004</t>
  </si>
  <si>
    <t>201002</t>
  </si>
  <si>
    <t>201005</t>
  </si>
  <si>
    <t>201006</t>
  </si>
  <si>
    <t>201003</t>
  </si>
  <si>
    <t>Ø58</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</si>
  <si>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</si>
  <si>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</si>
  <si>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</si>
  <si>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</si>
  <si>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</si>
  <si>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</si>
  <si>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</si>
  <si>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</si>
  <si>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</si>
  <si>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</si>
  <si>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</si>
  <si>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</si>
  <si>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</si>
  <si>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</si>
  <si>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</si>
  <si>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</si>
  <si>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</si>
  <si>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</si>
  <si>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</si>
  <si>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</si>
  <si>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</si>
  <si>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</si>
  <si>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</si>
  <si>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</si>
  <si>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</si>
  <si>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</si>
  <si>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</si>
  <si>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</si>
  <si>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</si>
  <si>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</si>
  <si>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</si>
  <si>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</si>
  <si>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</si>
  <si>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</si>
  <si>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</si>
  <si>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</si>
  <si>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</si>
  <si>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</si>
  <si>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</si>
  <si>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</si>
  <si>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</si>
  <si>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</si>
  <si>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</si>
  <si>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</si>
  <si>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</si>
  <si>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</si>
  <si>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</si>
  <si>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</si>
  <si>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</si>
  <si>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</si>
  <si>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</si>
  <si>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</si>
  <si>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</si>
  <si>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</si>
  <si>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</si>
  <si>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</si>
  <si>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</si>
  <si>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</si>
  <si>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</si>
  <si>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</si>
  <si>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</si>
  <si>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</si>
  <si>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</si>
  <si>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</si>
  <si>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</si>
  <si>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</si>
  <si>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</si>
  <si>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</si>
  <si>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</si>
  <si>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</si>
  <si>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</si>
  <si>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</si>
  <si>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</si>
  <si>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</si>
  <si>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</si>
  <si>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</si>
  <si>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</si>
  <si>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</si>
  <si>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</si>
  <si>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</si>
  <si>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</si>
  <si>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</si>
  <si>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</si>
  <si>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</si>
  <si>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</si>
  <si>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</si>
  <si>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</si>
  <si>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</si>
  <si>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</si>
  <si>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</si>
  <si>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</si>
  <si>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</si>
  <si>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</si>
  <si>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</si>
  <si>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</si>
  <si>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</si>
  <si>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</si>
  <si>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</si>
  <si>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</si>
  <si>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</si>
  <si>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</si>
  <si>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</si>
  <si>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</si>
  <si>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</si>
  <si>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</si>
  <si>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</si>
  <si>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</si>
  <si>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</si>
  <si>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</si>
  <si>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</si>
  <si>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</si>
  <si>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</si>
  <si>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</si>
  <si>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</si>
  <si>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</si>
  <si>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</si>
  <si>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</si>
  <si>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</si>
  <si>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</si>
  <si>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</si>
  <si>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</si>
  <si>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</si>
  <si>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</si>
  <si>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</si>
  <si>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</si>
  <si>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</si>
  <si>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</si>
  <si>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</si>
  <si>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</si>
  <si>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</si>
  <si>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</si>
  <si>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</si>
  <si>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</si>
  <si>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</si>
  <si>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</si>
  <si>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</si>
  <si>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</si>
  <si>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</si>
  <si>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</si>
  <si>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</si>
  <si>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</si>
  <si>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</si>
  <si>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</si>
  <si>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</si>
  <si>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</si>
  <si>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</si>
  <si>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</si>
  <si>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</si>
  <si>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</si>
  <si>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</si>
  <si>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</si>
  <si>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</si>
  <si>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</si>
  <si>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</si>
  <si>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</si>
  <si>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</si>
  <si>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</si>
  <si>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</si>
  <si>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</si>
  <si>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</si>
  <si>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</si>
  <si>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</si>
  <si>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</si>
  <si>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</si>
  <si>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</si>
  <si>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</si>
  <si>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</si>
  <si>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</si>
  <si>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</si>
  <si>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</si>
  <si>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</si>
  <si>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</si>
  <si>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</si>
  <si>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</si>
  <si>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</si>
  <si>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</si>
  <si>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</si>
  <si>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</si>
  <si>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</si>
  <si>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</si>
  <si>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</si>
  <si>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</si>
  <si>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</si>
  <si>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</si>
  <si>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</si>
  <si>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</si>
  <si>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</si>
  <si>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</si>
  <si>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</si>
  <si>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</si>
  <si>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</si>
  <si>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</si>
  <si>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</si>
  <si>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</si>
  <si>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</si>
  <si>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</si>
  <si>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</si>
  <si>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</si>
  <si>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</si>
  <si>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</si>
  <si>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</si>
  <si>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</si>
  <si>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</si>
  <si>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</si>
  <si>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</si>
  <si>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</si>
  <si>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</si>
  <si>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</si>
  <si>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</si>
  <si>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</si>
  <si>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</si>
  <si>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</si>
  <si>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</si>
  <si>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</si>
  <si>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</si>
  <si>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</si>
  <si>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</si>
  <si>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</si>
  <si>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</si>
  <si>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</si>
  <si>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</si>
  <si>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</si>
  <si>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</si>
  <si>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</si>
  <si>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</si>
  <si>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</si>
  <si>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</si>
  <si>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</si>
  <si>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</si>
  <si>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</si>
  <si>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</si>
  <si>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</si>
  <si>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100/150</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</si>
  <si>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</si>
  <si>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</si>
  <si>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</si>
  <si>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</si>
  <si>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</si>
  <si>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</si>
  <si>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</si>
  <si>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</si>
  <si>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</si>
  <si>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</si>
  <si>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</si>
  <si>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</si>
  <si>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</si>
  <si>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</si>
  <si>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</si>
  <si>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</si>
  <si>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</si>
  <si>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</si>
  <si>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</si>
  <si>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</si>
  <si>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</si>
  <si>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</si>
  <si>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</si>
  <si>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</si>
  <si>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</si>
  <si>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</si>
  <si>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</si>
  <si>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</si>
  <si>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</si>
  <si>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</si>
  <si>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</si>
  <si>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</si>
  <si>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</si>
  <si>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</si>
  <si>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</si>
  <si>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</si>
  <si>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</si>
  <si>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</si>
  <si>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</si>
  <si>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</si>
  <si>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</si>
  <si>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</si>
  <si>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</si>
  <si>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</si>
  <si>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</si>
  <si>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</si>
  <si>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</si>
  <si>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</si>
  <si>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</si>
  <si>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</si>
  <si>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</si>
  <si>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</si>
  <si>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</si>
  <si>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</si>
  <si>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</si>
  <si>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</si>
  <si>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</si>
  <si>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</si>
  <si>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</si>
  <si>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</si>
  <si>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</si>
  <si>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</si>
  <si>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</si>
  <si>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</si>
  <si>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</si>
  <si>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</si>
  <si>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</si>
  <si>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</si>
  <si>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</si>
  <si>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</si>
  <si>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</si>
  <si>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</si>
  <si>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</si>
  <si>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</si>
  <si>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</si>
  <si>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</si>
  <si>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</si>
  <si>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</si>
  <si>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</si>
  <si>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</si>
  <si>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</si>
  <si>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</si>
  <si>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</si>
  <si>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</si>
  <si>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</si>
  <si>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</si>
  <si>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</si>
  <si>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</si>
  <si>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</si>
  <si>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</si>
  <si>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</si>
  <si>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</si>
  <si>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</si>
  <si>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</si>
  <si>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</si>
  <si>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</si>
  <si>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</si>
  <si>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</si>
  <si>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</si>
  <si>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</si>
  <si>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</si>
  <si>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</si>
  <si>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</si>
  <si>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</si>
  <si>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</si>
  <si>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</si>
  <si>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Ø 110/100 mm</t>
  </si>
  <si>
    <t>110/100</t>
  </si>
  <si>
    <t>125/120</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</si>
  <si>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</si>
  <si>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</si>
  <si>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</si>
  <si>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</si>
  <si>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</si>
  <si>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</si>
  <si>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</si>
  <si>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</si>
  <si>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</si>
  <si>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</si>
  <si>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</si>
  <si>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</si>
  <si>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</si>
  <si>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</si>
  <si>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</si>
  <si>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</si>
  <si>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</si>
  <si>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</si>
  <si>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</si>
  <si>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</si>
  <si>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</si>
  <si>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</si>
  <si>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201121</t>
  </si>
  <si>
    <t>201120</t>
  </si>
  <si>
    <t>201124</t>
  </si>
  <si>
    <t>201122</t>
  </si>
  <si>
    <t>201125</t>
  </si>
  <si>
    <t>201126</t>
  </si>
  <si>
    <t>201123</t>
  </si>
  <si>
    <t>201141</t>
  </si>
  <si>
    <t>201140</t>
  </si>
  <si>
    <t>201144</t>
  </si>
  <si>
    <t>201142</t>
  </si>
  <si>
    <t>201145</t>
  </si>
  <si>
    <t>201146</t>
  </si>
  <si>
    <t>201143</t>
  </si>
  <si>
    <t>201161</t>
  </si>
  <si>
    <t>201160</t>
  </si>
  <si>
    <t>201164</t>
  </si>
  <si>
    <t>201162</t>
  </si>
  <si>
    <t>201165</t>
  </si>
  <si>
    <t>201166</t>
  </si>
  <si>
    <t>201163</t>
  </si>
  <si>
    <t>201441</t>
  </si>
  <si>
    <t>201440</t>
  </si>
  <si>
    <t>201444</t>
  </si>
  <si>
    <t>201442</t>
  </si>
  <si>
    <t>201445</t>
  </si>
  <si>
    <t>201446</t>
  </si>
  <si>
    <t>201443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</si>
  <si>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</si>
  <si>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</si>
  <si>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</si>
  <si>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</si>
  <si>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</si>
  <si>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</si>
  <si>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</si>
  <si>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</si>
  <si>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</si>
  <si>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</si>
  <si>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</si>
  <si>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</si>
  <si>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</si>
  <si>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</si>
  <si>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</si>
  <si>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</si>
  <si>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</si>
  <si>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</si>
  <si>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</si>
  <si>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</si>
  <si>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</si>
  <si>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</si>
  <si>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</si>
  <si>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</si>
  <si>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</si>
  <si>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</si>
  <si>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</si>
  <si>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</si>
  <si>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</si>
  <si>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</si>
  <si>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</si>
  <si>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</si>
  <si>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</si>
  <si>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</si>
  <si>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</si>
  <si>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</si>
  <si>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</si>
  <si>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</si>
  <si>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</si>
  <si>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</si>
  <si>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</si>
  <si>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</si>
  <si>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</si>
  <si>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</si>
  <si>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</si>
  <si>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</si>
  <si>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</si>
  <si>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</si>
  <si>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</si>
  <si>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</si>
  <si>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</si>
  <si>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</si>
  <si>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</si>
  <si>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</si>
  <si>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</si>
  <si>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</si>
  <si>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</si>
  <si>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blende 25er</t>
  </si>
  <si>
    <t>blende 28er</t>
  </si>
  <si>
    <t>blende 33er</t>
  </si>
  <si>
    <t>blende 40er</t>
  </si>
  <si>
    <t>dila 25er</t>
  </si>
  <si>
    <t>dila 28er</t>
  </si>
  <si>
    <t>dila 33er</t>
  </si>
  <si>
    <t>dila 40er</t>
  </si>
  <si>
    <t>430151</t>
  </si>
  <si>
    <t>430150</t>
  </si>
  <si>
    <t>430153</t>
  </si>
  <si>
    <t>430152</t>
  </si>
  <si>
    <t>430154</t>
  </si>
  <si>
    <t>430155</t>
  </si>
  <si>
    <t>430201</t>
  </si>
  <si>
    <t>430200</t>
  </si>
  <si>
    <t>430203</t>
  </si>
  <si>
    <t>430202</t>
  </si>
  <si>
    <t>430204</t>
  </si>
  <si>
    <t>430205</t>
  </si>
  <si>
    <t>600mm</t>
  </si>
  <si>
    <t>1500mm</t>
  </si>
  <si>
    <t>3000mm</t>
  </si>
  <si>
    <t>braun</t>
  </si>
  <si>
    <t>schwarz</t>
  </si>
  <si>
    <t>prefaweiß</t>
  </si>
  <si>
    <t>nussbraun</t>
  </si>
  <si>
    <t>3.000 mm</t>
  </si>
  <si>
    <t>600 mm</t>
  </si>
  <si>
    <t>1.500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</si>
  <si>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</si>
  <si>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</si>
  <si>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</si>
  <si>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</si>
  <si>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</si>
  <si>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</si>
  <si>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</si>
  <si>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</si>
  <si>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</si>
  <si>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</si>
  <si>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</si>
  <si>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</si>
  <si>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</si>
  <si>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</si>
  <si>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</si>
  <si>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</si>
  <si>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</si>
  <si>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</si>
  <si>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</si>
  <si>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</si>
  <si>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</si>
  <si>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</si>
  <si>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</si>
  <si>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</si>
  <si>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</si>
  <si>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</si>
  <si>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</si>
  <si>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</si>
  <si>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</si>
  <si>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</si>
  <si>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</si>
  <si>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</si>
  <si>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</si>
  <si>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</si>
  <si>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</si>
  <si>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</si>
  <si>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</si>
  <si>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</si>
  <si>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</si>
  <si>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</si>
  <si>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</si>
  <si>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</si>
  <si>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</si>
  <si>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</si>
  <si>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</si>
  <si>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</si>
  <si>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</si>
  <si>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t>230942</t>
  </si>
  <si>
    <t>230940</t>
  </si>
  <si>
    <t>230941</t>
  </si>
  <si>
    <t>230301</t>
  </si>
  <si>
    <t>230300</t>
  </si>
  <si>
    <t>230304</t>
  </si>
  <si>
    <t>230302</t>
  </si>
  <si>
    <t>230305</t>
  </si>
  <si>
    <t>230306</t>
  </si>
  <si>
    <t>230303</t>
  </si>
  <si>
    <r>
      <rPr>
        <sz val="11"/>
        <color theme="1"/>
        <rFont val="Aptos Narrow"/>
        <family val="2"/>
      </rPr>
      <t>Ø</t>
    </r>
    <r>
      <rPr>
        <sz val="11"/>
        <color theme="1"/>
        <rFont val="Arial"/>
        <family val="2"/>
      </rPr>
      <t>106</t>
    </r>
  </si>
  <si>
    <t>230982</t>
  </si>
  <si>
    <t>230980</t>
  </si>
  <si>
    <t>230981</t>
  </si>
  <si>
    <t>Ø115</t>
  </si>
  <si>
    <t>⌀ 100 mm; passend für HT/KG (NW 110 mm)</t>
  </si>
  <si>
    <t>230401</t>
  </si>
  <si>
    <t>230400</t>
  </si>
  <si>
    <t>230404</t>
  </si>
  <si>
    <t>230405</t>
  </si>
  <si>
    <t>230406</t>
  </si>
  <si>
    <t>230403</t>
  </si>
  <si>
    <t>230421</t>
  </si>
  <si>
    <t>230420</t>
  </si>
  <si>
    <t>230424</t>
  </si>
  <si>
    <t>230422</t>
  </si>
  <si>
    <t>230425</t>
  </si>
  <si>
    <t>230426</t>
  </si>
  <si>
    <t>230423</t>
  </si>
  <si>
    <r>
      <rPr>
        <sz val="11"/>
        <color theme="1"/>
        <rFont val="Aptos Narrow"/>
        <family val="2"/>
      </rPr>
      <t>Ø</t>
    </r>
    <r>
      <rPr>
        <sz val="11"/>
        <color theme="1"/>
        <rFont val="Arial"/>
        <family val="2"/>
      </rPr>
      <t>100</t>
    </r>
  </si>
  <si>
    <t>Ø100</t>
  </si>
  <si>
    <r>
      <rPr>
        <sz val="11"/>
        <color theme="1"/>
        <rFont val="Aptos Narrow"/>
        <family val="2"/>
      </rPr>
      <t>Ø</t>
    </r>
    <r>
      <rPr>
        <sz val="11"/>
        <color theme="1"/>
        <rFont val="Arial"/>
        <family val="2"/>
      </rPr>
      <t>120</t>
    </r>
  </si>
  <si>
    <t>250 / 80 × 80 mm</t>
  </si>
  <si>
    <t>333 / 80 x 80 mm</t>
  </si>
  <si>
    <t>333 / 100 × 100 mm</t>
  </si>
  <si>
    <t>400 / 100 × 100 mm</t>
  </si>
  <si>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</si>
  <si>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</si>
  <si>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</si>
  <si>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</si>
  <si>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</si>
  <si>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</si>
  <si>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</si>
  <si>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</si>
  <si>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</si>
  <si>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</si>
  <si>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</si>
  <si>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</si>
  <si>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</si>
  <si>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</si>
  <si>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</si>
  <si>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</si>
  <si>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</si>
  <si>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</si>
  <si>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</si>
  <si>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</si>
  <si>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</si>
  <si>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</si>
  <si>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330 mm</t>
  </si>
  <si>
    <t>140 mm</t>
  </si>
  <si>
    <t>200 mm</t>
  </si>
  <si>
    <t>202904</t>
  </si>
  <si>
    <t>kurz</t>
  </si>
  <si>
    <t>lang</t>
  </si>
  <si>
    <t>patinagrau</t>
  </si>
  <si>
    <t>521503</t>
  </si>
  <si>
    <t>521562</t>
  </si>
  <si>
    <t>521560</t>
  </si>
  <si>
    <t>521561</t>
  </si>
  <si>
    <t>522061</t>
  </si>
  <si>
    <t>522064</t>
  </si>
  <si>
    <t>522062</t>
  </si>
  <si>
    <t>522063</t>
  </si>
  <si>
    <t>522065</t>
  </si>
  <si>
    <t>522068</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</si>
  <si>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</si>
  <si>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</si>
  <si>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</si>
  <si>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</si>
  <si>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</si>
  <si>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</si>
  <si>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</si>
  <si>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</si>
  <si>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</si>
  <si>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</si>
  <si>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</si>
  <si>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</si>
  <si>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</si>
  <si>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</si>
  <si>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</si>
  <si>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</si>
  <si>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</si>
  <si>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</si>
  <si>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573234</t>
  </si>
  <si>
    <t>573237</t>
  </si>
  <si>
    <t>573314</t>
  </si>
  <si>
    <t>573312</t>
  </si>
  <si>
    <t>573311</t>
  </si>
  <si>
    <t>50er3m</t>
  </si>
  <si>
    <t>50er6m</t>
  </si>
  <si>
    <t>500/35x7</t>
  </si>
  <si>
    <t>50er</t>
  </si>
  <si>
    <t>524021</t>
  </si>
  <si>
    <t>524024</t>
  </si>
  <si>
    <t>524017</t>
  </si>
  <si>
    <t>524020</t>
  </si>
  <si>
    <t>524018</t>
  </si>
  <si>
    <t>524019</t>
  </si>
  <si>
    <t>500x120</t>
  </si>
  <si>
    <t>500x150</t>
  </si>
  <si>
    <t>60Ø</t>
  </si>
  <si>
    <t>668420</t>
  </si>
  <si>
    <t>80mm</t>
  </si>
  <si>
    <t>519200</t>
  </si>
  <si>
    <t>519203</t>
  </si>
  <si>
    <t>519201</t>
  </si>
  <si>
    <t>519202</t>
  </si>
  <si>
    <t>526250</t>
  </si>
  <si>
    <t>526253</t>
  </si>
  <si>
    <t>526251</t>
  </si>
  <si>
    <t>526252</t>
  </si>
  <si>
    <t xml:space="preserve">526005  </t>
  </si>
  <si>
    <t xml:space="preserve">526013  </t>
  </si>
  <si>
    <t xml:space="preserve">526012  </t>
  </si>
  <si>
    <t xml:space="preserve">526020  </t>
  </si>
  <si>
    <t xml:space="preserve">526015  </t>
  </si>
  <si>
    <t xml:space="preserve">526027  </t>
  </si>
  <si>
    <t xml:space="preserve">526023  </t>
  </si>
  <si>
    <t xml:space="preserve">526069  </t>
  </si>
  <si>
    <t xml:space="preserve">526084  </t>
  </si>
  <si>
    <t xml:space="preserve">526007  </t>
  </si>
  <si>
    <t xml:space="preserve">526008  </t>
  </si>
  <si>
    <t xml:space="preserve">526003  </t>
  </si>
  <si>
    <t xml:space="preserve">526018  </t>
  </si>
  <si>
    <t xml:space="preserve">526006  </t>
  </si>
  <si>
    <t xml:space="preserve">526026  </t>
  </si>
  <si>
    <t xml:space="preserve">526024  </t>
  </si>
  <si>
    <t xml:space="preserve">526033  </t>
  </si>
  <si>
    <t xml:space="preserve">526077  </t>
  </si>
  <si>
    <t xml:space="preserve">526001  </t>
  </si>
  <si>
    <t xml:space="preserve">526002  </t>
  </si>
  <si>
    <t xml:space="preserve">526004  </t>
  </si>
  <si>
    <t xml:space="preserve">526022  </t>
  </si>
  <si>
    <t xml:space="preserve">526011  </t>
  </si>
  <si>
    <t xml:space="preserve">526028  </t>
  </si>
  <si>
    <t xml:space="preserve">526025  </t>
  </si>
  <si>
    <t xml:space="preserve">526072  </t>
  </si>
  <si>
    <t xml:space="preserve">526085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</si>
  <si>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</si>
  <si>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</si>
  <si>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</si>
  <si>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</si>
  <si>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</si>
  <si>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</si>
  <si>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</si>
  <si>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</si>
  <si>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</si>
  <si>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526318  </t>
  </si>
  <si>
    <t xml:space="preserve">526071  </t>
  </si>
  <si>
    <t xml:space="preserve">526302  </t>
  </si>
  <si>
    <t xml:space="preserve">526300  </t>
  </si>
  <si>
    <t xml:space="preserve">526301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</si>
  <si>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</si>
  <si>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</si>
  <si>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</si>
  <si>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</si>
  <si>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</si>
  <si>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</si>
  <si>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</si>
  <si>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</si>
  <si>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</si>
  <si>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</si>
  <si>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</si>
  <si>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526064  </t>
  </si>
  <si>
    <t xml:space="preserve">526056  </t>
  </si>
  <si>
    <t xml:space="preserve">526073  </t>
  </si>
  <si>
    <t xml:space="preserve">526086  </t>
  </si>
  <si>
    <t xml:space="preserve">526036  </t>
  </si>
  <si>
    <t xml:space="preserve">526054  </t>
  </si>
  <si>
    <t xml:space="preserve">526044  </t>
  </si>
  <si>
    <t xml:space="preserve">526060  </t>
  </si>
  <si>
    <t xml:space="preserve">526045  </t>
  </si>
  <si>
    <t xml:space="preserve">526062  </t>
  </si>
  <si>
    <t xml:space="preserve">526057  </t>
  </si>
  <si>
    <t xml:space="preserve">526040  </t>
  </si>
  <si>
    <t xml:space="preserve">526075  </t>
  </si>
  <si>
    <t xml:space="preserve">526037  </t>
  </si>
  <si>
    <t xml:space="preserve">526055  </t>
  </si>
  <si>
    <t xml:space="preserve">526047  </t>
  </si>
  <si>
    <t xml:space="preserve">526061  </t>
  </si>
  <si>
    <t xml:space="preserve">526048  </t>
  </si>
  <si>
    <t xml:space="preserve">526063  </t>
  </si>
  <si>
    <t xml:space="preserve">526058  </t>
  </si>
  <si>
    <t xml:space="preserve">526074  </t>
  </si>
  <si>
    <t xml:space="preserve">526087  </t>
  </si>
  <si>
    <t xml:space="preserve">527011  </t>
  </si>
  <si>
    <t xml:space="preserve">527012  </t>
  </si>
  <si>
    <t xml:space="preserve">527013  </t>
  </si>
  <si>
    <t xml:space="preserve">527020  </t>
  </si>
  <si>
    <t xml:space="preserve">527014  </t>
  </si>
  <si>
    <t xml:space="preserve">527027  </t>
  </si>
  <si>
    <t xml:space="preserve">527023  </t>
  </si>
  <si>
    <t xml:space="preserve">527036  </t>
  </si>
  <si>
    <t xml:space="preserve">527042  </t>
  </si>
  <si>
    <t xml:space="preserve">527009  </t>
  </si>
  <si>
    <t xml:space="preserve">527010  </t>
  </si>
  <si>
    <t xml:space="preserve">527001  </t>
  </si>
  <si>
    <t xml:space="preserve">527018  </t>
  </si>
  <si>
    <t xml:space="preserve">527003  </t>
  </si>
  <si>
    <t xml:space="preserve">527026  </t>
  </si>
  <si>
    <t xml:space="preserve">527024  </t>
  </si>
  <si>
    <t xml:space="preserve">527030  </t>
  </si>
  <si>
    <t xml:space="preserve">527038  </t>
  </si>
  <si>
    <t xml:space="preserve">527007  </t>
  </si>
  <si>
    <t xml:space="preserve">527008  </t>
  </si>
  <si>
    <t xml:space="preserve">527002  </t>
  </si>
  <si>
    <t xml:space="preserve">527022  </t>
  </si>
  <si>
    <t xml:space="preserve">527004  </t>
  </si>
  <si>
    <t xml:space="preserve">527028  </t>
  </si>
  <si>
    <t xml:space="preserve">527025  </t>
  </si>
  <si>
    <t xml:space="preserve">527037  </t>
  </si>
  <si>
    <t xml:space="preserve">527043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</si>
  <si>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</si>
  <si>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</si>
  <si>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</si>
  <si>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</si>
  <si>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</si>
  <si>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</si>
  <si>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</si>
  <si>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</si>
  <si>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</si>
  <si>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</si>
  <si>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539227  </t>
  </si>
  <si>
    <t xml:space="preserve">539225  </t>
  </si>
  <si>
    <t xml:space="preserve">539229  </t>
  </si>
  <si>
    <t xml:space="preserve">539231  </t>
  </si>
  <si>
    <t xml:space="preserve">539200  </t>
  </si>
  <si>
    <t xml:space="preserve">539203  </t>
  </si>
  <si>
    <t xml:space="preserve">539201  </t>
  </si>
  <si>
    <t xml:space="preserve">539206  </t>
  </si>
  <si>
    <t xml:space="preserve">539202  </t>
  </si>
  <si>
    <t xml:space="preserve">539207  </t>
  </si>
  <si>
    <t xml:space="preserve">539205  </t>
  </si>
  <si>
    <t xml:space="preserve">539209  </t>
  </si>
  <si>
    <t xml:space="preserve">539212  </t>
  </si>
  <si>
    <t xml:space="preserve">539240  </t>
  </si>
  <si>
    <t xml:space="preserve">539243  </t>
  </si>
  <si>
    <t xml:space="preserve">539241  </t>
  </si>
  <si>
    <t xml:space="preserve">539246  </t>
  </si>
  <si>
    <t xml:space="preserve">539242  </t>
  </si>
  <si>
    <t xml:space="preserve">539247  </t>
  </si>
  <si>
    <t xml:space="preserve">539245  </t>
  </si>
  <si>
    <t xml:space="preserve">539249  </t>
  </si>
  <si>
    <t xml:space="preserve">539251  </t>
  </si>
  <si>
    <t xml:space="preserve">539009  </t>
  </si>
  <si>
    <t xml:space="preserve">539011  </t>
  </si>
  <si>
    <t xml:space="preserve">539010  </t>
  </si>
  <si>
    <t xml:space="preserve">539016  </t>
  </si>
  <si>
    <t xml:space="preserve">539012  </t>
  </si>
  <si>
    <t xml:space="preserve">539023  </t>
  </si>
  <si>
    <t xml:space="preserve">539019  </t>
  </si>
  <si>
    <t xml:space="preserve">539025  </t>
  </si>
  <si>
    <t xml:space="preserve">539040  </t>
  </si>
  <si>
    <t xml:space="preserve">539002  </t>
  </si>
  <si>
    <t xml:space="preserve">539001  </t>
  </si>
  <si>
    <t xml:space="preserve">539005  </t>
  </si>
  <si>
    <t xml:space="preserve">539014  </t>
  </si>
  <si>
    <t xml:space="preserve">539007  </t>
  </si>
  <si>
    <t xml:space="preserve">539022  </t>
  </si>
  <si>
    <t xml:space="preserve">539020  </t>
  </si>
  <si>
    <t xml:space="preserve">539030  </t>
  </si>
  <si>
    <t xml:space="preserve">539036  </t>
  </si>
  <si>
    <t xml:space="preserve">539004  </t>
  </si>
  <si>
    <t xml:space="preserve">539003  </t>
  </si>
  <si>
    <t xml:space="preserve">539006  </t>
  </si>
  <si>
    <t xml:space="preserve">539018  </t>
  </si>
  <si>
    <t xml:space="preserve">539008  </t>
  </si>
  <si>
    <t xml:space="preserve">539024  </t>
  </si>
  <si>
    <t xml:space="preserve">539021  </t>
  </si>
  <si>
    <t xml:space="preserve">539026  </t>
  </si>
  <si>
    <t xml:space="preserve">539041  </t>
  </si>
  <si>
    <t>542140</t>
  </si>
  <si>
    <t>542143</t>
  </si>
  <si>
    <t>542141</t>
  </si>
  <si>
    <t>542142</t>
  </si>
  <si>
    <t>542018</t>
  </si>
  <si>
    <t>542019</t>
  </si>
  <si>
    <t>542020</t>
  </si>
  <si>
    <t>542033</t>
  </si>
  <si>
    <t>542022</t>
  </si>
  <si>
    <t>542050</t>
  </si>
  <si>
    <t>542028</t>
  </si>
  <si>
    <t>542061</t>
  </si>
  <si>
    <t>542067</t>
  </si>
  <si>
    <t>542120</t>
  </si>
  <si>
    <t>542123</t>
  </si>
  <si>
    <t>542121</t>
  </si>
  <si>
    <t>542122</t>
  </si>
  <si>
    <t>542016</t>
  </si>
  <si>
    <t>542017</t>
  </si>
  <si>
    <t>542034</t>
  </si>
  <si>
    <t>542021</t>
  </si>
  <si>
    <t>542051</t>
  </si>
  <si>
    <t>542029</t>
  </si>
  <si>
    <t>542062</t>
  </si>
  <si>
    <t>542068</t>
  </si>
  <si>
    <t>542001</t>
  </si>
  <si>
    <t>542002</t>
  </si>
  <si>
    <t>542012</t>
  </si>
  <si>
    <t>542035</t>
  </si>
  <si>
    <t>542004</t>
  </si>
  <si>
    <t>542052</t>
  </si>
  <si>
    <t>542030</t>
  </si>
  <si>
    <t>542047</t>
  </si>
  <si>
    <t>542066</t>
  </si>
  <si>
    <t>⌀ 100 × 50–75 mm</t>
  </si>
  <si>
    <t xml:space="preserve">542080  </t>
  </si>
  <si>
    <t xml:space="preserve">542083  </t>
  </si>
  <si>
    <t xml:space="preserve">542081  </t>
  </si>
  <si>
    <t xml:space="preserve">542085  </t>
  </si>
  <si>
    <t xml:space="preserve">542082  </t>
  </si>
  <si>
    <t xml:space="preserve">542086  </t>
  </si>
  <si>
    <t xml:space="preserve">542084  </t>
  </si>
  <si>
    <t xml:space="preserve">542088  </t>
  </si>
  <si>
    <t xml:space="preserve">542089  </t>
  </si>
  <si>
    <t>537304</t>
  </si>
  <si>
    <t>537307</t>
  </si>
  <si>
    <t>537305</t>
  </si>
  <si>
    <t>537306</t>
  </si>
  <si>
    <t xml:space="preserve">537300  </t>
  </si>
  <si>
    <t xml:space="preserve">537212  </t>
  </si>
  <si>
    <t xml:space="preserve">537210  </t>
  </si>
  <si>
    <t xml:space="preserve">537215  </t>
  </si>
  <si>
    <t xml:space="preserve">537211  </t>
  </si>
  <si>
    <t xml:space="preserve">537216  </t>
  </si>
  <si>
    <t xml:space="preserve">537214  </t>
  </si>
  <si>
    <t xml:space="preserve">537248  </t>
  </si>
  <si>
    <t xml:space="preserve">537256  </t>
  </si>
  <si>
    <t xml:space="preserve">537301  </t>
  </si>
  <si>
    <t xml:space="preserve">537222  </t>
  </si>
  <si>
    <t xml:space="preserve">537220  </t>
  </si>
  <si>
    <t xml:space="preserve">537225  </t>
  </si>
  <si>
    <t xml:space="preserve">537221  </t>
  </si>
  <si>
    <t xml:space="preserve">537217  </t>
  </si>
  <si>
    <t xml:space="preserve">537224  </t>
  </si>
  <si>
    <t xml:space="preserve">537227  </t>
  </si>
  <si>
    <t xml:space="preserve">537250  </t>
  </si>
  <si>
    <t xml:space="preserve">537302  </t>
  </si>
  <si>
    <t xml:space="preserve">537232  </t>
  </si>
  <si>
    <t xml:space="preserve">537230  </t>
  </si>
  <si>
    <t xml:space="preserve">537235  </t>
  </si>
  <si>
    <t xml:space="preserve">537231  </t>
  </si>
  <si>
    <t xml:space="preserve">537218  </t>
  </si>
  <si>
    <t xml:space="preserve">537234  </t>
  </si>
  <si>
    <t xml:space="preserve">537237  </t>
  </si>
  <si>
    <t xml:space="preserve">537251  </t>
  </si>
  <si>
    <t xml:space="preserve">537303  </t>
  </si>
  <si>
    <t xml:space="preserve">537242  </t>
  </si>
  <si>
    <t xml:space="preserve">537240  </t>
  </si>
  <si>
    <t xml:space="preserve">537245  </t>
  </si>
  <si>
    <t xml:space="preserve">537241  </t>
  </si>
  <si>
    <t xml:space="preserve">537219  </t>
  </si>
  <si>
    <t xml:space="preserve">537244  </t>
  </si>
  <si>
    <t xml:space="preserve">537249  </t>
  </si>
  <si>
    <t xml:space="preserve">537258  </t>
  </si>
  <si>
    <t xml:space="preserve">668110  </t>
  </si>
  <si>
    <t xml:space="preserve">668115  </t>
  </si>
  <si>
    <t xml:space="preserve">668113  </t>
  </si>
  <si>
    <t xml:space="preserve">668118  </t>
  </si>
  <si>
    <t xml:space="preserve">668114  </t>
  </si>
  <si>
    <t xml:space="preserve">668119  </t>
  </si>
  <si>
    <t xml:space="preserve">668117  </t>
  </si>
  <si>
    <t xml:space="preserve">668121  </t>
  </si>
  <si>
    <t xml:space="preserve">668123  </t>
  </si>
  <si>
    <t xml:space="preserve">668111  </t>
  </si>
  <si>
    <t xml:space="preserve">668132  </t>
  </si>
  <si>
    <t xml:space="preserve">668130  </t>
  </si>
  <si>
    <t xml:space="preserve">668135  </t>
  </si>
  <si>
    <t xml:space="preserve">668131  </t>
  </si>
  <si>
    <t xml:space="preserve">668136  </t>
  </si>
  <si>
    <t xml:space="preserve">668134  </t>
  </si>
  <si>
    <t xml:space="preserve">668138  </t>
  </si>
  <si>
    <t xml:space="preserve">668141  </t>
  </si>
  <si>
    <t xml:space="preserve">668112  </t>
  </si>
  <si>
    <t xml:space="preserve">668152  </t>
  </si>
  <si>
    <t xml:space="preserve">668150  </t>
  </si>
  <si>
    <t xml:space="preserve">668155  </t>
  </si>
  <si>
    <t xml:space="preserve">668151  </t>
  </si>
  <si>
    <t xml:space="preserve">668156  </t>
  </si>
  <si>
    <t xml:space="preserve">668154  </t>
  </si>
  <si>
    <t xml:space="preserve">668158  </t>
  </si>
  <si>
    <t xml:space="preserve">668160  </t>
  </si>
  <si>
    <t>527304</t>
  </si>
  <si>
    <t>527372</t>
  </si>
  <si>
    <t>527370</t>
  </si>
  <si>
    <t>527371</t>
  </si>
  <si>
    <t xml:space="preserve">527300  </t>
  </si>
  <si>
    <t xml:space="preserve">527312  </t>
  </si>
  <si>
    <t xml:space="preserve">527310  </t>
  </si>
  <si>
    <t xml:space="preserve">527313  </t>
  </si>
  <si>
    <t xml:space="preserve">527311  </t>
  </si>
  <si>
    <t xml:space="preserve">527314  </t>
  </si>
  <si>
    <t xml:space="preserve">527315  </t>
  </si>
  <si>
    <t xml:space="preserve">527316  </t>
  </si>
  <si>
    <t xml:space="preserve">527318  </t>
  </si>
  <si>
    <t xml:space="preserve">527301  </t>
  </si>
  <si>
    <t xml:space="preserve">527332  </t>
  </si>
  <si>
    <t xml:space="preserve">527330  </t>
  </si>
  <si>
    <t xml:space="preserve">527333  </t>
  </si>
  <si>
    <t xml:space="preserve">527331  </t>
  </si>
  <si>
    <t xml:space="preserve">527334  </t>
  </si>
  <si>
    <t xml:space="preserve">527335  </t>
  </si>
  <si>
    <t xml:space="preserve">527336  </t>
  </si>
  <si>
    <t xml:space="preserve">527338  </t>
  </si>
  <si>
    <t xml:space="preserve">527302  </t>
  </si>
  <si>
    <t xml:space="preserve">527352  </t>
  </si>
  <si>
    <t xml:space="preserve">527350  </t>
  </si>
  <si>
    <t xml:space="preserve">527354  </t>
  </si>
  <si>
    <t xml:space="preserve">527351  </t>
  </si>
  <si>
    <t xml:space="preserve">527355  </t>
  </si>
  <si>
    <t xml:space="preserve">527353  </t>
  </si>
  <si>
    <t xml:space="preserve">527357  </t>
  </si>
  <si>
    <t xml:space="preserve">527358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</si>
  <si>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</si>
  <si>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</si>
  <si>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</si>
  <si>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</si>
  <si>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</si>
  <si>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</si>
  <si>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</si>
  <si>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</si>
  <si>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</si>
  <si>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</si>
  <si>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</si>
  <si>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</si>
  <si>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</si>
  <si>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</si>
  <si>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</si>
  <si>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</si>
  <si>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668307  </t>
  </si>
  <si>
    <t xml:space="preserve">668306  </t>
  </si>
  <si>
    <t xml:space="preserve">668305  </t>
  </si>
  <si>
    <t xml:space="preserve">668309  </t>
  </si>
  <si>
    <t xml:space="preserve">668104  </t>
  </si>
  <si>
    <t xml:space="preserve">668322  </t>
  </si>
  <si>
    <t xml:space="preserve">668320  </t>
  </si>
  <si>
    <t xml:space="preserve">668324  </t>
  </si>
  <si>
    <t xml:space="preserve">668321  </t>
  </si>
  <si>
    <t xml:space="preserve">668327  </t>
  </si>
  <si>
    <t xml:space="preserve">668326  </t>
  </si>
  <si>
    <t xml:space="preserve">668325  </t>
  </si>
  <si>
    <t xml:space="preserve">668329  </t>
  </si>
  <si>
    <t xml:space="preserve">668105  </t>
  </si>
  <si>
    <t xml:space="preserve">668342  </t>
  </si>
  <si>
    <t xml:space="preserve">668340  </t>
  </si>
  <si>
    <t xml:space="preserve">668344  </t>
  </si>
  <si>
    <t xml:space="preserve">668341  </t>
  </si>
  <si>
    <t xml:space="preserve">668347  </t>
  </si>
  <si>
    <t xml:space="preserve">668346  </t>
  </si>
  <si>
    <t xml:space="preserve">668345  </t>
  </si>
  <si>
    <t xml:space="preserve">668349  </t>
  </si>
  <si>
    <t xml:space="preserve">550005  </t>
  </si>
  <si>
    <t xml:space="preserve">550102  </t>
  </si>
  <si>
    <t xml:space="preserve">550100  </t>
  </si>
  <si>
    <t xml:space="preserve">550104  </t>
  </si>
  <si>
    <t xml:space="preserve">550101  </t>
  </si>
  <si>
    <t xml:space="preserve">550105  </t>
  </si>
  <si>
    <t xml:space="preserve">550103  </t>
  </si>
  <si>
    <t xml:space="preserve">550107  </t>
  </si>
  <si>
    <t xml:space="preserve">550108  </t>
  </si>
  <si>
    <t xml:space="preserve">550006  </t>
  </si>
  <si>
    <t xml:space="preserve">550122  </t>
  </si>
  <si>
    <t xml:space="preserve">550120  </t>
  </si>
  <si>
    <t xml:space="preserve">550124  </t>
  </si>
  <si>
    <t xml:space="preserve">550121  </t>
  </si>
  <si>
    <t xml:space="preserve">550125  </t>
  </si>
  <si>
    <t xml:space="preserve">550123  </t>
  </si>
  <si>
    <t xml:space="preserve">550127  </t>
  </si>
  <si>
    <t xml:space="preserve">550128  </t>
  </si>
  <si>
    <t xml:space="preserve">550007  </t>
  </si>
  <si>
    <t xml:space="preserve">550142  </t>
  </si>
  <si>
    <t xml:space="preserve">550140  </t>
  </si>
  <si>
    <t xml:space="preserve">550144  </t>
  </si>
  <si>
    <t xml:space="preserve">550141  </t>
  </si>
  <si>
    <t xml:space="preserve">550145  </t>
  </si>
  <si>
    <t xml:space="preserve">550143  </t>
  </si>
  <si>
    <t xml:space="preserve">550147  </t>
  </si>
  <si>
    <t xml:space="preserve">550148  </t>
  </si>
  <si>
    <t>550008</t>
  </si>
  <si>
    <t>550162</t>
  </si>
  <si>
    <t>550160</t>
  </si>
  <si>
    <t>550161</t>
  </si>
  <si>
    <t>550009</t>
  </si>
  <si>
    <t>550222</t>
  </si>
  <si>
    <t>550220</t>
  </si>
  <si>
    <t>550221</t>
  </si>
  <si>
    <t xml:space="preserve">553010  </t>
  </si>
  <si>
    <t xml:space="preserve">553013  </t>
  </si>
  <si>
    <t xml:space="preserve">553011  </t>
  </si>
  <si>
    <t xml:space="preserve">553014  </t>
  </si>
  <si>
    <t xml:space="preserve">553012  </t>
  </si>
  <si>
    <t xml:space="preserve">553015  </t>
  </si>
  <si>
    <t xml:space="preserve">553016  </t>
  </si>
  <si>
    <t xml:space="preserve">553017  </t>
  </si>
  <si>
    <t xml:space="preserve">553019  </t>
  </si>
  <si>
    <t>553030</t>
  </si>
  <si>
    <t>553032</t>
  </si>
  <si>
    <t>553050</t>
  </si>
  <si>
    <t>4 × 9,5 mm</t>
  </si>
  <si>
    <t>4,8 × 17 mm</t>
  </si>
  <si>
    <t xml:space="preserve">667020  </t>
  </si>
  <si>
    <t xml:space="preserve">667004  </t>
  </si>
  <si>
    <t xml:space="preserve">667002  </t>
  </si>
  <si>
    <t xml:space="preserve">667007  </t>
  </si>
  <si>
    <t xml:space="preserve">667003  </t>
  </si>
  <si>
    <t xml:space="preserve">667012  </t>
  </si>
  <si>
    <t xml:space="preserve">667006  </t>
  </si>
  <si>
    <t xml:space="preserve">667009  </t>
  </si>
  <si>
    <t xml:space="preserve">667013  </t>
  </si>
  <si>
    <t>5mm</t>
  </si>
  <si>
    <t>547102</t>
  </si>
  <si>
    <t>547101</t>
  </si>
  <si>
    <t>547100</t>
  </si>
  <si>
    <t>547103</t>
  </si>
  <si>
    <t>547106</t>
  </si>
  <si>
    <t>547105</t>
  </si>
  <si>
    <t>547104</t>
  </si>
  <si>
    <t>430157</t>
  </si>
  <si>
    <t>430156</t>
  </si>
  <si>
    <t>430207</t>
  </si>
  <si>
    <t>01 Braun</t>
  </si>
  <si>
    <t>02 Antthrazit</t>
  </si>
  <si>
    <t>07 Hellgrau</t>
  </si>
  <si>
    <t>12 Silbermetallic</t>
  </si>
  <si>
    <t>13 Naturblank</t>
  </si>
  <si>
    <t>151161</t>
  </si>
  <si>
    <t>161162</t>
  </si>
  <si>
    <t>161163</t>
  </si>
  <si>
    <t>151160</t>
  </si>
  <si>
    <t>150161</t>
  </si>
  <si>
    <t>150162</t>
  </si>
  <si>
    <t>150163</t>
  </si>
  <si>
    <t>150165</t>
  </si>
  <si>
    <t>150160</t>
  </si>
  <si>
    <r>
      <rPr>
        <sz val="13"/>
        <color theme="1"/>
        <rFont val="Aptos Narrow"/>
        <family val="2"/>
      </rPr>
      <t>Ø</t>
    </r>
    <r>
      <rPr>
        <sz val="13"/>
        <color theme="1"/>
        <rFont val="Calibri"/>
        <family val="2"/>
      </rPr>
      <t>106</t>
    </r>
  </si>
  <si>
    <r>
      <rPr>
        <sz val="11"/>
        <color theme="1"/>
        <rFont val="Aptos Narrow"/>
        <family val="2"/>
      </rPr>
      <t>Ø</t>
    </r>
    <r>
      <rPr>
        <sz val="11"/>
        <color theme="1"/>
        <rFont val="Arial"/>
        <family val="2"/>
      </rPr>
      <t>98</t>
    </r>
  </si>
  <si>
    <t>250/□80</t>
  </si>
  <si>
    <t>333/□80</t>
  </si>
  <si>
    <t>333/□100</t>
  </si>
  <si>
    <t>400/□100</t>
  </si>
  <si>
    <t>4x9,5</t>
  </si>
  <si>
    <t>4,8x17</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</si>
  <si>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</si>
  <si>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</si>
  <si>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</si>
  <si>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</si>
  <si>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</si>
  <si>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</si>
  <si>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</si>
  <si>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</si>
  <si>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</si>
  <si>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</si>
  <si>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</si>
  <si>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</si>
  <si>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</si>
  <si>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</si>
  <si>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</si>
  <si>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</si>
  <si>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</si>
  <si>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</si>
  <si>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</si>
  <si>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</si>
  <si>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</si>
  <si>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</si>
  <si>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</si>
  <si>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</si>
  <si>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</si>
  <si>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</si>
  <si>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</si>
  <si>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Ø80</t>
  </si>
  <si>
    <t>Rohrschellendorn "alt" ausgeblendet</t>
  </si>
  <si>
    <t>Zeile 71 bzw. 63</t>
  </si>
  <si>
    <t>entfällt</t>
  </si>
  <si>
    <t>diverse Artikelnummern ausgebessert</t>
  </si>
  <si>
    <t>DR29, RI, RI P.10</t>
  </si>
  <si>
    <t>MUA, GRM</t>
  </si>
  <si>
    <t>Übersetzungen übernommen</t>
  </si>
  <si>
    <t>Sprachindex</t>
  </si>
  <si>
    <t>Zeile 424 bis 435</t>
  </si>
  <si>
    <t>55 x 78 - CK02</t>
  </si>
  <si>
    <t>55 x 98 - CK04</t>
  </si>
  <si>
    <t>Dachflächenfenstereinfassung für PREFALZ</t>
  </si>
  <si>
    <t>55 x 118 - CK06</t>
  </si>
  <si>
    <t>55 x 78-118 cm</t>
  </si>
  <si>
    <t>66 x 118 - FK06</t>
  </si>
  <si>
    <t>66 x 98-140 cm</t>
  </si>
  <si>
    <t>66 x 140 - FK08</t>
  </si>
  <si>
    <t>78 x 98-140 cm</t>
  </si>
  <si>
    <t>78 x 98 - MK04</t>
  </si>
  <si>
    <t>78 x 160-180 cm</t>
  </si>
  <si>
    <t>78 x 118 - MK06</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</si>
  <si>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</si>
  <si>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</si>
  <si>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</si>
  <si>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</si>
  <si>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</si>
  <si>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</si>
  <si>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</si>
  <si>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</si>
  <si>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</si>
  <si>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</si>
  <si>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</si>
  <si>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</si>
  <si>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</si>
  <si>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</si>
  <si>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</si>
  <si>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</si>
  <si>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</si>
  <si>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</si>
  <si>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</si>
  <si>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</si>
  <si>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550 x 974 - Q55/98_WD</t>
  </si>
  <si>
    <t>54 x 118 - 05/11_WD</t>
  </si>
  <si>
    <t>550 x 1.174 - Q55/118_WD</t>
  </si>
  <si>
    <t>65 x 98 - 06/09_WD</t>
  </si>
  <si>
    <t>660 x 974 - Q66/98_WD</t>
  </si>
  <si>
    <t>65 x 118 - 06/11_WD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</si>
  <si>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</si>
  <si>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</si>
  <si>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</si>
  <si>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</si>
  <si>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</si>
  <si>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</si>
  <si>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</si>
  <si>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</si>
  <si>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</si>
  <si>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</si>
  <si>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</si>
  <si>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</si>
  <si>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</si>
  <si>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</si>
  <si>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</si>
  <si>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</si>
  <si>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</si>
  <si>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</si>
  <si>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</si>
  <si>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</si>
  <si>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</si>
  <si>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</si>
  <si>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</si>
  <si>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</si>
  <si>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</si>
  <si>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</si>
  <si>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</si>
  <si>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</si>
  <si>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</si>
  <si>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</si>
  <si>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</si>
  <si>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</si>
  <si>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</si>
  <si>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</si>
  <si>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</si>
  <si>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</si>
  <si>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</si>
  <si>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</si>
  <si>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</si>
  <si>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</si>
  <si>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</si>
  <si>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</si>
  <si>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</si>
  <si>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</si>
  <si>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</si>
  <si>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</si>
  <si>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</si>
  <si>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</si>
  <si>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</si>
  <si>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</si>
  <si>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</si>
  <si>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</si>
  <si>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</si>
  <si>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</si>
  <si>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</si>
  <si>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</si>
  <si>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</si>
  <si>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</si>
  <si>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</si>
  <si>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</si>
  <si>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</si>
  <si>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</si>
  <si>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</si>
  <si>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</si>
  <si>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</si>
  <si>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</si>
  <si>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</si>
  <si>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</si>
  <si>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</si>
  <si>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</si>
  <si>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</si>
  <si>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</si>
  <si>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</si>
  <si>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</si>
  <si>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</si>
  <si>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</si>
  <si>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</si>
  <si>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</si>
  <si>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</si>
  <si>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</si>
  <si>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</si>
  <si>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</si>
  <si>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</si>
  <si>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</si>
  <si>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</si>
  <si>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</si>
  <si>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</si>
  <si>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</si>
  <si>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</si>
  <si>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</si>
  <si>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</si>
  <si>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</si>
  <si>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</si>
  <si>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</si>
  <si>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Magazine</t>
  </si>
  <si>
    <t>Rinne PP.99</t>
  </si>
  <si>
    <t>PREFA Dachrinne</t>
  </si>
  <si>
    <t>PREFA Rinnenhaken</t>
  </si>
  <si>
    <t>PREFA Rinnenhaken Schweiz</t>
  </si>
  <si>
    <t>PREFA Rinnenhaken, hochkant</t>
  </si>
  <si>
    <t>Werte 250 bis 400 (ohne 500)</t>
  </si>
  <si>
    <t>Werte 250 bis 500 (ohne 280)</t>
  </si>
  <si>
    <t>Werte 250  333 400</t>
  </si>
  <si>
    <t>PREFA Rinnenkessel</t>
  </si>
  <si>
    <t>PREFA Schrägstutzen</t>
  </si>
  <si>
    <t>Kastenrinne</t>
  </si>
  <si>
    <t>Rinnenhaken</t>
  </si>
  <si>
    <t>Stirnbretthaken</t>
  </si>
  <si>
    <t>Kastenrinnenboden</t>
  </si>
  <si>
    <t>PREFA Kastenrinnenkessel</t>
  </si>
  <si>
    <t>DM 80 + 100 + 120 + 150</t>
  </si>
  <si>
    <t>PREFA Rohrschelle, ohne Dorn</t>
  </si>
  <si>
    <t>PREFA Rohrbogen 72°</t>
  </si>
  <si>
    <t>DM 80 + 100 + 120</t>
  </si>
  <si>
    <t>PREFA Rohreinmündung</t>
  </si>
  <si>
    <t>PREFA Ablaufrohr, 60</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</si>
  <si>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</si>
  <si>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</si>
  <si>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</si>
  <si>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</si>
  <si>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</si>
  <si>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</si>
  <si>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</si>
  <si>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</si>
  <si>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</si>
  <si>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</si>
  <si>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</si>
  <si>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</si>
  <si>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</si>
  <si>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</si>
  <si>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</si>
  <si>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Typ</t>
  </si>
  <si>
    <t>01
P.10 Braun</t>
  </si>
  <si>
    <t>02
P.10 Anthrazit</t>
  </si>
  <si>
    <t>03
P.10 Schwarz</t>
  </si>
  <si>
    <t>04
P.10 Ziegelrot</t>
  </si>
  <si>
    <t>05
P.10 Oxydrot</t>
  </si>
  <si>
    <t>06
P.10 Moosgrün</t>
  </si>
  <si>
    <t>07
P.10 Hellgrau</t>
  </si>
  <si>
    <t>11
P.10 Nussbraun</t>
  </si>
  <si>
    <t>19
P.10
Dunkelgrau</t>
  </si>
  <si>
    <t>43
P.10 Steingrau</t>
  </si>
  <si>
    <t>-</t>
  </si>
  <si>
    <t>Sprachindex (2=DE)</t>
  </si>
  <si>
    <t>Typ:</t>
  </si>
  <si>
    <t>Farbe:</t>
  </si>
  <si>
    <t>nur für DE!!!</t>
  </si>
  <si>
    <t>Farbe</t>
  </si>
  <si>
    <t>Artikel Nummer:</t>
  </si>
  <si>
    <t>DP</t>
  </si>
  <si>
    <t>DS</t>
  </si>
  <si>
    <t>DS.19</t>
  </si>
  <si>
    <t>R.16</t>
  </si>
  <si>
    <t>DR44</t>
  </si>
  <si>
    <t>FX.12</t>
  </si>
  <si>
    <t>55 x 78-99 cm</t>
  </si>
  <si>
    <t>PREFA Aluminium Dachrinne mit Schutzfolie aussen</t>
  </si>
  <si>
    <t>PREFA Rinnenhaken Hochkant</t>
  </si>
  <si>
    <t>Auswahl DN 60 bis 150</t>
  </si>
  <si>
    <t>PREFA Rohrschelle mit M10 Gewinde ohne Dorn</t>
  </si>
  <si>
    <t>PREFA Ablaufrohr DN 60 geschweißt</t>
  </si>
  <si>
    <t>_INDEX_2406</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</si>
  <si>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</si>
  <si>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</si>
  <si>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</si>
  <si>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</si>
  <si>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</si>
  <si>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</si>
  <si>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</si>
  <si>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</si>
  <si>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</si>
  <si>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</si>
  <si>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</si>
  <si>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</si>
  <si>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</si>
  <si>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</si>
  <si>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</si>
  <si>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</si>
  <si>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</si>
  <si>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</si>
  <si>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</si>
  <si>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</si>
  <si>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</si>
  <si>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</si>
  <si>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</si>
  <si>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</si>
  <si>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</si>
  <si>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</si>
  <si>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</si>
  <si>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</si>
  <si>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</si>
  <si>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</si>
  <si>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</si>
  <si>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</si>
  <si>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</si>
  <si>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</si>
  <si>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</si>
  <si>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</si>
  <si>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</si>
  <si>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</si>
  <si>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</si>
  <si>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</si>
  <si>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</si>
  <si>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</si>
  <si>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</si>
  <si>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</si>
  <si>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</si>
  <si>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</si>
  <si>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</si>
  <si>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</si>
  <si>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</si>
  <si>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</si>
  <si>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</si>
  <si>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</si>
  <si>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</si>
  <si>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</si>
  <si>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</si>
  <si>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</si>
  <si>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</si>
  <si>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</si>
  <si>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</si>
  <si>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</si>
  <si>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</si>
  <si>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</si>
  <si>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</si>
  <si>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</si>
  <si>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</si>
  <si>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</si>
  <si>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</si>
  <si>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</si>
  <si>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</si>
  <si>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</si>
  <si>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</si>
  <si>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</si>
  <si>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</si>
  <si>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</si>
  <si>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</si>
  <si>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</si>
  <si>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</si>
  <si>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</si>
  <si>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</si>
  <si>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</si>
  <si>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</si>
  <si>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</si>
  <si>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</si>
  <si>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</si>
  <si>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</si>
  <si>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</si>
  <si>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</si>
  <si>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</si>
  <si>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</si>
  <si>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</si>
  <si>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</si>
  <si>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</si>
  <si>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</si>
  <si>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</si>
  <si>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</si>
  <si>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</si>
  <si>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</si>
  <si>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</si>
  <si>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</si>
  <si>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</si>
  <si>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</si>
  <si>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</si>
  <si>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</si>
  <si>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</si>
  <si>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</si>
  <si>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</si>
  <si>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</si>
  <si>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</si>
  <si>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</si>
  <si>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</si>
  <si>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</si>
  <si>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</si>
  <si>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</si>
  <si>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</si>
  <si>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</si>
  <si>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</si>
  <si>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</si>
  <si>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</si>
  <si>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</si>
  <si>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</si>
  <si>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</si>
  <si>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</si>
  <si>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</si>
  <si>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</si>
  <si>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</si>
  <si>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</si>
  <si>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</si>
  <si>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</si>
  <si>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</si>
  <si>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</si>
  <si>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</si>
  <si>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</si>
  <si>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</si>
  <si>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</si>
  <si>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</si>
  <si>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</si>
  <si>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</si>
  <si>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</si>
  <si>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</si>
  <si>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</si>
  <si>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</si>
  <si>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</si>
  <si>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</si>
  <si>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</si>
  <si>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</si>
  <si>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</si>
  <si>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</si>
  <si>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</si>
  <si>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</si>
  <si>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</si>
  <si>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</si>
  <si>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</si>
  <si>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</si>
  <si>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</si>
  <si>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</si>
  <si>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</si>
  <si>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</si>
  <si>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</si>
  <si>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</si>
  <si>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</si>
  <si>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</si>
  <si>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</si>
  <si>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</si>
  <si>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</si>
  <si>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</si>
  <si>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</si>
  <si>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</si>
  <si>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</si>
  <si>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</si>
  <si>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</si>
  <si>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</si>
  <si>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</si>
  <si>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</si>
  <si>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</si>
  <si>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</si>
  <si>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</si>
  <si>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</si>
  <si>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</si>
  <si>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</si>
  <si>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</si>
  <si>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</si>
  <si>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</si>
  <si>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</si>
  <si>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</si>
  <si>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</si>
  <si>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</si>
  <si>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</si>
  <si>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</si>
  <si>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</si>
  <si>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</si>
  <si>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</si>
  <si>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</si>
  <si>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</si>
  <si>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</si>
  <si>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</si>
  <si>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</si>
  <si>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</si>
  <si>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</si>
  <si>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</si>
  <si>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</si>
  <si>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</si>
  <si>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</si>
  <si>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</si>
  <si>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</si>
  <si>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</si>
  <si>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</si>
  <si>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</si>
  <si>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</si>
  <si>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</si>
  <si>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</si>
  <si>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</si>
  <si>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</si>
  <si>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</si>
  <si>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</si>
  <si>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</si>
  <si>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</si>
  <si>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</si>
  <si>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</si>
  <si>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</si>
  <si>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</si>
  <si>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</si>
  <si>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</si>
  <si>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</si>
  <si>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</si>
  <si>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</si>
  <si>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</si>
  <si>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</si>
  <si>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</si>
  <si>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</si>
  <si>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</si>
  <si>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</si>
  <si>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</si>
  <si>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</si>
  <si>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</si>
  <si>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</si>
  <si>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</si>
  <si>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</si>
  <si>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</si>
  <si>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</si>
  <si>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</si>
  <si>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</si>
  <si>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</si>
  <si>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</si>
  <si>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</si>
  <si>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</si>
  <si>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</si>
  <si>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</si>
  <si>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</si>
  <si>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</si>
  <si>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</si>
  <si>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</si>
  <si>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</si>
  <si>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</si>
  <si>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</si>
  <si>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</si>
  <si>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</si>
  <si>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</si>
  <si>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</si>
  <si>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</si>
  <si>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</si>
  <si>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</si>
  <si>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</si>
  <si>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</si>
  <si>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</si>
  <si>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</si>
  <si>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</si>
  <si>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</si>
  <si>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</si>
  <si>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</si>
  <si>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</si>
  <si>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</si>
  <si>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</si>
  <si>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</si>
  <si>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</si>
  <si>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</si>
  <si>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</si>
  <si>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</si>
  <si>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</si>
  <si>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</si>
  <si>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</si>
  <si>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</si>
  <si>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</si>
  <si>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</si>
  <si>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</si>
  <si>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</si>
  <si>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</si>
  <si>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</si>
  <si>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</si>
  <si>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</si>
  <si>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</si>
  <si>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</si>
  <si>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</si>
  <si>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</si>
  <si>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</si>
  <si>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</si>
  <si>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</si>
  <si>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</si>
  <si>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</si>
  <si>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</si>
  <si>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</si>
  <si>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</si>
  <si>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</si>
  <si>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</si>
  <si>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</si>
  <si>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</si>
  <si>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</si>
  <si>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</si>
  <si>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</si>
  <si>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</si>
  <si>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</si>
  <si>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</si>
  <si>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</si>
  <si>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</si>
  <si>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</si>
  <si>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</si>
  <si>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</si>
  <si>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</si>
  <si>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</si>
  <si>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</si>
  <si>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</si>
  <si>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</si>
  <si>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</si>
  <si>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</si>
  <si>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</si>
  <si>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</si>
  <si>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</si>
  <si>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</si>
  <si>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</si>
  <si>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</si>
  <si>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</si>
  <si>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</si>
  <si>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</si>
  <si>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</si>
  <si>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</si>
  <si>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</si>
  <si>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</si>
  <si>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</si>
  <si>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</si>
  <si>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</si>
  <si>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</si>
  <si>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</si>
  <si>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</si>
  <si>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</si>
  <si>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</si>
  <si>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</si>
  <si>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</si>
  <si>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</si>
  <si>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</si>
  <si>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</si>
  <si>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</si>
  <si>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</si>
  <si>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</si>
  <si>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</si>
  <si>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</si>
  <si>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</si>
  <si>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</si>
  <si>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</si>
  <si>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</si>
  <si>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</si>
  <si>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</si>
  <si>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</si>
  <si>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</si>
  <si>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</si>
  <si>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</si>
  <si>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</si>
  <si>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</si>
  <si>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</si>
  <si>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</si>
  <si>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</si>
  <si>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</si>
  <si>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</si>
  <si>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</si>
  <si>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</si>
  <si>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</si>
  <si>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</si>
  <si>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</si>
  <si>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</si>
  <si>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</si>
  <si>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</si>
  <si>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</si>
  <si>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</si>
  <si>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</si>
  <si>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</si>
  <si>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</si>
  <si>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</si>
  <si>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</si>
  <si>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</si>
  <si>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</si>
  <si>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</si>
  <si>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</si>
  <si>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</si>
  <si>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</si>
  <si>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</si>
  <si>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</si>
  <si>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</si>
  <si>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</si>
  <si>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</si>
  <si>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</si>
  <si>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</si>
  <si>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</si>
  <si>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</si>
  <si>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</si>
  <si>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</si>
  <si>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</si>
  <si>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</si>
  <si>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</si>
  <si>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</si>
  <si>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</si>
  <si>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</si>
  <si>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</si>
  <si>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</si>
  <si>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</si>
  <si>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</si>
  <si>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</si>
  <si>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</si>
  <si>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</si>
  <si>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</si>
  <si>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</si>
  <si>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</si>
  <si>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</si>
  <si>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</si>
  <si>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</si>
  <si>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</si>
  <si>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</si>
  <si>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</si>
  <si>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</si>
  <si>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</si>
  <si>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</si>
  <si>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</si>
  <si>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</si>
  <si>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</si>
  <si>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</si>
  <si>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</si>
  <si>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</si>
  <si>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</si>
  <si>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</si>
  <si>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</si>
  <si>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</si>
  <si>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</si>
  <si>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</si>
  <si>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</si>
  <si>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</si>
  <si>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</si>
  <si>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</si>
  <si>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</si>
  <si>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</si>
  <si>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</si>
  <si>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</si>
  <si>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</si>
  <si>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</si>
  <si>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</si>
  <si>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</si>
  <si>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</si>
  <si>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</si>
  <si>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</si>
  <si>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</si>
  <si>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</si>
  <si>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</si>
  <si>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</si>
  <si>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</si>
  <si>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</si>
  <si>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</si>
  <si>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</si>
  <si>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</si>
  <si>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</si>
  <si>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</si>
  <si>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</si>
  <si>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</si>
  <si>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</si>
  <si>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</si>
  <si>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</si>
  <si>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</si>
  <si>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</si>
  <si>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</si>
  <si>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</si>
  <si>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</si>
  <si>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</si>
  <si>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</si>
  <si>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</si>
  <si>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</si>
  <si>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</si>
  <si>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</si>
  <si>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</si>
  <si>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</si>
  <si>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</si>
  <si>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</si>
  <si>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</si>
  <si>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</si>
  <si>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</si>
  <si>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</si>
  <si>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</si>
  <si>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</si>
  <si>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</si>
  <si>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</si>
  <si>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</si>
  <si>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</si>
  <si>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</si>
  <si>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</si>
  <si>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</si>
  <si>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</si>
  <si>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</si>
  <si>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</si>
  <si>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</si>
  <si>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</si>
  <si>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</si>
  <si>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</si>
  <si>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</si>
  <si>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</si>
  <si>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</si>
  <si>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</si>
  <si>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</si>
  <si>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</si>
  <si>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</si>
  <si>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</si>
  <si>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</si>
  <si>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</si>
  <si>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</si>
  <si>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</si>
  <si>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</si>
  <si>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</si>
  <si>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</si>
  <si>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</si>
  <si>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</si>
  <si>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</si>
  <si>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</si>
  <si>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</si>
  <si>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</si>
  <si>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</si>
  <si>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</si>
  <si>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</si>
  <si>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</si>
  <si>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</si>
  <si>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</si>
  <si>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</si>
  <si>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</si>
  <si>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</si>
  <si>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</si>
  <si>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</si>
  <si>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</si>
  <si>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</si>
  <si>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</si>
  <si>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</si>
  <si>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</si>
  <si>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</si>
  <si>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</si>
  <si>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</si>
  <si>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</si>
  <si>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</si>
  <si>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</si>
  <si>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</si>
  <si>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</si>
  <si>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</si>
  <si>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</si>
  <si>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</si>
  <si>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</si>
  <si>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</si>
  <si>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</si>
  <si>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</si>
  <si>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</si>
  <si>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</si>
  <si>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</si>
  <si>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</si>
  <si>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</si>
  <si>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</si>
  <si>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</si>
  <si>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</si>
  <si>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</si>
  <si>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</si>
  <si>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</si>
  <si>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</si>
  <si>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</si>
  <si>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</si>
  <si>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</si>
  <si>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</si>
  <si>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</si>
  <si>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ø120</t>
  </si>
  <si>
    <t>120 ø</t>
  </si>
  <si>
    <t>⌀ 120</t>
  </si>
  <si>
    <t>120 ⌀</t>
  </si>
  <si>
    <t>Ø 120</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</si>
  <si>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</si>
  <si>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</si>
  <si>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</si>
  <si>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</si>
  <si>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</si>
  <si>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</si>
  <si>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</si>
  <si>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</si>
  <si>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</si>
  <si>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</si>
  <si>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</si>
  <si>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</si>
  <si>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</si>
  <si>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</si>
  <si>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</si>
  <si>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</si>
  <si>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</si>
  <si>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</si>
  <si>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</si>
  <si>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</si>
  <si>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</si>
  <si>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</si>
  <si>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</si>
  <si>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</si>
  <si>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</si>
  <si>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</si>
  <si>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</si>
  <si>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</si>
  <si>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</si>
  <si>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</si>
  <si>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</si>
  <si>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</si>
  <si>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</si>
  <si>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</si>
  <si>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</si>
  <si>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</si>
  <si>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</si>
  <si>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</si>
  <si>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</si>
  <si>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</si>
  <si>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</si>
  <si>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</si>
  <si>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</si>
  <si>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</si>
  <si>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</si>
  <si>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</si>
  <si>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</si>
  <si>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</si>
  <si>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</si>
  <si>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</si>
  <si>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</si>
  <si>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</si>
  <si>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</si>
  <si>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</si>
  <si>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</si>
  <si>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</si>
  <si>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</si>
  <si>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</si>
  <si>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</si>
  <si>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</si>
  <si>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</si>
  <si>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</si>
  <si>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</si>
  <si>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</si>
  <si>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</si>
  <si>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</si>
  <si>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</si>
  <si>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</si>
  <si>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</si>
  <si>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</si>
  <si>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</si>
  <si>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</si>
  <si>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</si>
  <si>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</si>
  <si>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</si>
  <si>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</si>
  <si>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</si>
  <si>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</si>
  <si>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</si>
  <si>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</si>
  <si>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</si>
  <si>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</si>
  <si>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</si>
  <si>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</si>
  <si>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</si>
  <si>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</si>
  <si>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</si>
  <si>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</si>
  <si>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</si>
  <si>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</si>
  <si>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</si>
  <si>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</si>
  <si>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</si>
  <si>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</si>
  <si>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</si>
  <si>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</si>
  <si>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</si>
  <si>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</si>
  <si>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</si>
  <si>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</si>
  <si>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</si>
  <si>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</si>
  <si>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</si>
  <si>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</si>
  <si>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</si>
  <si>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</si>
  <si>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</si>
  <si>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</si>
  <si>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</si>
  <si>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</si>
  <si>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</si>
  <si>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</si>
  <si>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</si>
  <si>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</si>
  <si>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</si>
  <si>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</si>
  <si>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</si>
  <si>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</si>
  <si>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</si>
  <si>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</si>
  <si>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</si>
  <si>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</si>
  <si>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</si>
  <si>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</si>
  <si>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</si>
  <si>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</si>
  <si>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</si>
  <si>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</si>
  <si>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</si>
  <si>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</si>
  <si>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</si>
  <si>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</si>
  <si>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</si>
  <si>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</si>
  <si>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</si>
  <si>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</si>
  <si>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</si>
  <si>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</si>
  <si>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</si>
  <si>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</si>
  <si>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</si>
  <si>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</si>
  <si>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</si>
  <si>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</si>
  <si>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</si>
  <si>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</si>
  <si>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</si>
  <si>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</si>
  <si>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</si>
  <si>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</si>
  <si>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</si>
  <si>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</si>
  <si>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</si>
  <si>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</si>
  <si>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</si>
  <si>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</si>
  <si>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</si>
  <si>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</si>
  <si>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</si>
  <si>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</si>
  <si>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</si>
  <si>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</si>
  <si>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</si>
  <si>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</si>
  <si>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</si>
  <si>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</si>
  <si>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</si>
  <si>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</si>
  <si>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</si>
  <si>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</si>
  <si>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</si>
  <si>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</si>
  <si>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</si>
  <si>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</si>
  <si>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</si>
  <si>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</si>
  <si>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</si>
  <si>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</si>
  <si>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</si>
  <si>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</si>
  <si>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</si>
  <si>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</si>
  <si>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</si>
  <si>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</si>
  <si>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</si>
  <si>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</si>
  <si>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</si>
  <si>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</si>
  <si>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</si>
  <si>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</si>
  <si>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</si>
  <si>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</si>
  <si>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</si>
  <si>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</si>
  <si>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</si>
  <si>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</si>
  <si>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</si>
  <si>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</si>
  <si>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</si>
  <si>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</si>
  <si>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</si>
  <si>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</si>
  <si>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</si>
  <si>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</si>
  <si>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</si>
  <si>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</si>
  <si>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</si>
  <si>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</si>
  <si>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</si>
  <si>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</si>
  <si>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</si>
  <si>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</si>
  <si>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</si>
  <si>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</si>
  <si>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</si>
  <si>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</si>
  <si>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</si>
  <si>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</si>
  <si>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</si>
  <si>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</si>
  <si>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</si>
  <si>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</si>
  <si>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</si>
  <si>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</si>
  <si>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</si>
  <si>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</si>
  <si>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</si>
  <si>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</si>
  <si>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</si>
  <si>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</si>
  <si>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</si>
  <si>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</si>
  <si>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</si>
  <si>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</si>
  <si>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</si>
  <si>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</si>
  <si>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</si>
  <si>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</si>
  <si>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</si>
  <si>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</si>
  <si>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</si>
  <si>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</si>
  <si>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</si>
  <si>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</si>
  <si>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</si>
  <si>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</si>
  <si>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</si>
  <si>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</si>
  <si>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</si>
  <si>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</si>
  <si>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</si>
  <si>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</si>
  <si>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</si>
  <si>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</si>
  <si>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</si>
  <si>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</si>
  <si>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</si>
  <si>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</si>
  <si>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</si>
  <si>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</si>
  <si>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</si>
  <si>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</si>
  <si>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</si>
  <si>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</si>
  <si>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</si>
  <si>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</si>
  <si>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</si>
  <si>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</si>
  <si>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</si>
  <si>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</si>
  <si>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</si>
  <si>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</si>
  <si>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</si>
  <si>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</si>
  <si>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</si>
  <si>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</si>
  <si>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</si>
  <si>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</si>
  <si>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</si>
  <si>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</si>
  <si>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</si>
  <si>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</si>
  <si>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</si>
  <si>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</si>
  <si>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</si>
  <si>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</si>
  <si>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</si>
  <si>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</si>
  <si>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</si>
  <si>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</si>
  <si>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</si>
  <si>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</si>
  <si>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</si>
  <si>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</si>
  <si>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</si>
  <si>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</si>
  <si>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</si>
  <si>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</si>
  <si>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</si>
  <si>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</si>
  <si>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</si>
  <si>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</si>
  <si>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</si>
  <si>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</si>
  <si>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</si>
  <si>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</si>
  <si>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</si>
  <si>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</si>
  <si>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</si>
  <si>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</si>
  <si>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</si>
  <si>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</si>
  <si>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</si>
  <si>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</si>
  <si>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</si>
  <si>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</si>
  <si>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</si>
  <si>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</si>
  <si>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</si>
  <si>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</si>
  <si>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</si>
  <si>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</si>
  <si>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</si>
  <si>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</si>
  <si>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</si>
  <si>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</si>
  <si>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</si>
  <si>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</si>
  <si>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</si>
  <si>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</si>
  <si>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</si>
  <si>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</si>
  <si>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</si>
  <si>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</si>
  <si>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</si>
  <si>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</si>
  <si>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</si>
  <si>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</si>
  <si>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</si>
  <si>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</si>
  <si>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</si>
  <si>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</si>
  <si>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</si>
  <si>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</si>
  <si>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</si>
  <si>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</si>
  <si>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</si>
  <si>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</si>
  <si>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</si>
  <si>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</si>
  <si>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</si>
  <si>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</si>
  <si>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</si>
  <si>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</si>
  <si>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</si>
  <si>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</si>
  <si>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</si>
  <si>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</si>
  <si>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</si>
  <si>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</si>
  <si>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</si>
  <si>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</si>
  <si>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</si>
  <si>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</si>
  <si>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</si>
  <si>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</si>
  <si>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</si>
  <si>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</si>
  <si>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</si>
  <si>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</si>
  <si>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</si>
  <si>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</si>
  <si>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</si>
  <si>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</si>
  <si>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</si>
  <si>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</si>
  <si>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</si>
  <si>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</si>
  <si>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</si>
  <si>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</si>
  <si>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</si>
  <si>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</si>
  <si>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</si>
  <si>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</si>
  <si>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</si>
  <si>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</si>
  <si>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</si>
  <si>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</si>
  <si>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</si>
  <si>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</si>
  <si>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</si>
  <si>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</si>
  <si>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</si>
  <si>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</si>
  <si>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</si>
  <si>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</si>
  <si>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</si>
  <si>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</si>
  <si>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</si>
  <si>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</si>
  <si>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</si>
  <si>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</si>
  <si>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</si>
  <si>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</si>
  <si>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</si>
  <si>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</si>
  <si>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</si>
  <si>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</si>
  <si>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</si>
  <si>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</si>
  <si>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</si>
  <si>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</si>
  <si>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</si>
  <si>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</si>
  <si>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</si>
  <si>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</si>
  <si>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</si>
  <si>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</si>
  <si>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</si>
  <si>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</si>
  <si>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</si>
  <si>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</si>
  <si>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</si>
  <si>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</si>
  <si>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</si>
  <si>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</si>
  <si>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</si>
  <si>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</si>
  <si>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</si>
  <si>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</si>
  <si>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</si>
  <si>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</si>
  <si>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</si>
  <si>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</si>
  <si>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</si>
  <si>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</si>
  <si>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</si>
  <si>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</si>
  <si>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</si>
  <si>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</si>
  <si>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</si>
  <si>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</si>
  <si>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</si>
  <si>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</si>
  <si>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</si>
  <si>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</si>
  <si>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</si>
  <si>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</si>
  <si>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</si>
  <si>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</si>
  <si>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</si>
  <si>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</si>
  <si>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</si>
  <si>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</si>
  <si>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</si>
  <si>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</si>
  <si>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</si>
  <si>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</si>
  <si>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</si>
  <si>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</si>
  <si>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</si>
  <si>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</si>
  <si>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</si>
  <si>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</si>
  <si>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</si>
  <si>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</si>
  <si>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</si>
  <si>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</si>
  <si>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</si>
  <si>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</si>
  <si>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</si>
  <si>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</si>
  <si>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</si>
  <si>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</si>
  <si>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</si>
  <si>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</si>
  <si>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</si>
  <si>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</si>
  <si>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</si>
  <si>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</si>
  <si>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</si>
  <si>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</si>
  <si>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</si>
  <si>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</si>
  <si>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</si>
  <si>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</si>
  <si>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</si>
  <si>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</si>
  <si>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</si>
  <si>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</si>
  <si>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</si>
  <si>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</si>
  <si>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</si>
  <si>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</si>
  <si>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</si>
  <si>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</si>
  <si>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</si>
  <si>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</si>
  <si>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</si>
  <si>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</si>
  <si>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</si>
  <si>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</si>
  <si>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</si>
  <si>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</si>
  <si>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</si>
  <si>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</si>
  <si>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</si>
  <si>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</si>
  <si>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</si>
  <si>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</si>
  <si>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</si>
  <si>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</si>
  <si>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</si>
  <si>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</si>
  <si>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</si>
  <si>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</si>
  <si>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</si>
  <si>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</si>
  <si>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</si>
  <si>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</si>
  <si>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</si>
  <si>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</si>
  <si>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</si>
  <si>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</si>
  <si>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</si>
  <si>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</si>
  <si>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</si>
  <si>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</si>
  <si>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</si>
  <si>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</si>
  <si>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</si>
  <si>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</si>
  <si>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</si>
  <si>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</si>
  <si>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</si>
  <si>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</si>
  <si>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</si>
  <si>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</si>
  <si>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</si>
  <si>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</si>
  <si>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</si>
  <si>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</si>
  <si>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</si>
  <si>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</si>
  <si>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</si>
  <si>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</si>
  <si>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</si>
  <si>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</si>
  <si>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</si>
  <si>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</si>
  <si>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</si>
  <si>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</si>
  <si>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</si>
  <si>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</si>
  <si>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</si>
  <si>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</si>
  <si>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</si>
  <si>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</si>
  <si>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</si>
  <si>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</si>
  <si>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</si>
  <si>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</si>
  <si>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</si>
  <si>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</si>
  <si>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</si>
  <si>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</si>
  <si>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</si>
  <si>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</si>
  <si>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</si>
  <si>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</si>
  <si>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</si>
  <si>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</si>
  <si>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</si>
  <si>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</si>
  <si>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</si>
  <si>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</si>
  <si>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</si>
  <si>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</si>
  <si>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</si>
  <si>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</si>
  <si>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</si>
  <si>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</si>
  <si>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</si>
  <si>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</si>
  <si>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</si>
  <si>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</si>
  <si>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</si>
  <si>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</si>
  <si>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</si>
  <si>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</si>
  <si>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</si>
  <si>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</si>
  <si>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</si>
  <si>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</si>
  <si>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</si>
  <si>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</si>
  <si>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</si>
  <si>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</si>
  <si>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</si>
  <si>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</si>
  <si>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</si>
  <si>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</si>
  <si>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</si>
  <si>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</si>
  <si>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</si>
  <si>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</si>
  <si>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</si>
  <si>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</si>
  <si>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</si>
  <si>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</si>
  <si>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</si>
  <si>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</si>
  <si>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</si>
  <si>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</si>
  <si>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</si>
  <si>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</si>
  <si>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</si>
  <si>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</si>
  <si>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</si>
  <si>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</si>
  <si>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</si>
  <si>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</si>
  <si>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</si>
  <si>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</si>
  <si>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</si>
  <si>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</si>
  <si>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</si>
  <si>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</si>
  <si>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</si>
  <si>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</si>
  <si>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</si>
  <si>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</si>
  <si>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</si>
  <si>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</si>
  <si>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</si>
  <si>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</si>
  <si>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</si>
  <si>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</si>
  <si>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</si>
  <si>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</si>
  <si>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</si>
  <si>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</si>
  <si>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</si>
  <si>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</si>
  <si>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</si>
  <si>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</si>
  <si>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</si>
  <si>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</si>
  <si>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</si>
  <si>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</si>
  <si>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</si>
  <si>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</si>
  <si>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</si>
  <si>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</si>
  <si>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</si>
  <si>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</si>
  <si>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</si>
  <si>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</si>
  <si>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</si>
  <si>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</si>
  <si>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</si>
  <si>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</si>
  <si>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</si>
  <si>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</si>
  <si>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</si>
  <si>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</si>
  <si>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</si>
  <si>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</si>
  <si>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</si>
  <si>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</si>
  <si>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</si>
  <si>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</si>
  <si>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</si>
  <si>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</si>
  <si>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</si>
  <si>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</si>
  <si>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</si>
  <si>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</si>
  <si>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</si>
  <si>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</si>
  <si>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</si>
  <si>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</si>
  <si>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</si>
  <si>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</si>
  <si>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</si>
  <si>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</si>
  <si>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</si>
  <si>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</si>
  <si>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</si>
  <si>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</si>
  <si>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</si>
  <si>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</si>
  <si>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</si>
  <si>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</si>
  <si>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</si>
  <si>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</si>
  <si>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</si>
  <si>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</si>
  <si>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</si>
  <si>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</si>
  <si>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</si>
  <si>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</si>
  <si>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</si>
  <si>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</si>
  <si>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</si>
  <si>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</si>
  <si>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</si>
  <si>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</si>
  <si>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</si>
  <si>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</si>
  <si>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</si>
  <si>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</si>
  <si>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</si>
  <si>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</si>
  <si>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</si>
  <si>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</si>
  <si>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</si>
  <si>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</si>
  <si>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</si>
  <si>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</si>
  <si>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</si>
  <si>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</si>
  <si>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</si>
  <si>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</si>
  <si>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</si>
  <si>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</si>
  <si>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</si>
  <si>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</si>
  <si>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</si>
  <si>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</si>
  <si>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</si>
  <si>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</si>
  <si>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</si>
  <si>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</si>
  <si>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</si>
  <si>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</si>
  <si>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</si>
  <si>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</si>
  <si>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</si>
  <si>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</si>
  <si>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</si>
  <si>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</si>
  <si>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</si>
  <si>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</si>
  <si>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</si>
  <si>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</si>
  <si>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</si>
  <si>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</si>
  <si>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</si>
  <si>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</si>
  <si>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</si>
  <si>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</si>
  <si>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</si>
  <si>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</si>
  <si>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</si>
  <si>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</si>
  <si>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</si>
  <si>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</si>
  <si>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</si>
  <si>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</si>
  <si>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</si>
  <si>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</si>
  <si>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</si>
  <si>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</si>
  <si>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</si>
  <si>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</si>
  <si>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</si>
  <si>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</si>
  <si>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</si>
  <si>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</si>
  <si>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</si>
  <si>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</si>
  <si>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</si>
  <si>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</si>
  <si>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</si>
  <si>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</si>
  <si>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</si>
  <si>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</si>
  <si>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</si>
  <si>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</si>
  <si>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</si>
  <si>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</si>
  <si>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</si>
  <si>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</si>
  <si>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</si>
  <si>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</si>
  <si>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</si>
  <si>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</si>
  <si>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</si>
  <si>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</si>
  <si>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</si>
  <si>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</si>
  <si>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</si>
  <si>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</si>
  <si>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</si>
  <si>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</si>
  <si>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</si>
  <si>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</si>
  <si>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</si>
  <si>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</si>
  <si>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</si>
  <si>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</si>
  <si>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</si>
  <si>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</si>
  <si>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</si>
  <si>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</si>
  <si>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</si>
  <si>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</si>
  <si>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</si>
  <si>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</si>
  <si>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</si>
  <si>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</si>
  <si>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</si>
  <si>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</si>
  <si>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</si>
  <si>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Ablaufrohr</t>
  </si>
  <si>
    <t>downpipes</t>
  </si>
  <si>
    <t>tuyau de descente</t>
  </si>
  <si>
    <t>Scarico</t>
  </si>
  <si>
    <t>Odtok</t>
  </si>
  <si>
    <t>Odpływ</t>
  </si>
  <si>
    <t>lefolyó</t>
  </si>
  <si>
    <t>odtok</t>
  </si>
  <si>
    <t>Afvoer</t>
  </si>
  <si>
    <t>Izpust</t>
  </si>
  <si>
    <t>procedur</t>
  </si>
  <si>
    <t>Afløb</t>
  </si>
  <si>
    <t>Avløp</t>
  </si>
  <si>
    <t>Odvod</t>
  </si>
  <si>
    <t>Ablauf</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</si>
  <si>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</si>
  <si>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</si>
  <si>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</si>
  <si>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</si>
  <si>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</si>
  <si>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</si>
  <si>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</si>
  <si>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</si>
  <si>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</si>
  <si>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</si>
  <si>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</si>
  <si>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</si>
  <si>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</si>
  <si>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</si>
  <si>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</si>
  <si>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</si>
  <si>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</si>
  <si>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</si>
  <si>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</si>
  <si>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</si>
  <si>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</si>
  <si>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</si>
  <si>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</si>
  <si>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</si>
  <si>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</si>
  <si>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</si>
  <si>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</si>
  <si>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</si>
  <si>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(Stärke: 1,6 mm; DN 100)</t>
  </si>
  <si>
    <t>downpipe (thickness: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</si>
  <si>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</si>
  <si>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</si>
  <si>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</si>
  <si>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</si>
  <si>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</si>
  <si>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</si>
  <si>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</si>
  <si>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</si>
  <si>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</si>
  <si>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</si>
  <si>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</si>
  <si>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</si>
  <si>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</si>
  <si>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</si>
  <si>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</si>
  <si>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</si>
  <si>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</si>
  <si>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</si>
  <si>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</si>
  <si>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</si>
  <si>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</si>
  <si>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</si>
  <si>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</si>
  <si>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</si>
  <si>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</si>
  <si>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</si>
  <si>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</si>
  <si>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</si>
  <si>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</si>
  <si>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</si>
  <si>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</si>
  <si>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</si>
  <si>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</si>
  <si>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</si>
  <si>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</si>
  <si>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</si>
  <si>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</si>
  <si>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</si>
  <si>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</si>
  <si>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</si>
  <si>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</si>
  <si>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</si>
  <si>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</si>
  <si>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</si>
  <si>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</si>
  <si>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</si>
  <si>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</si>
  <si>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</si>
  <si>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</si>
  <si>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</si>
  <si>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</si>
  <si>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</si>
  <si>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</si>
  <si>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</si>
  <si>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</si>
  <si>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</si>
  <si>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</si>
  <si>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</si>
  <si>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</si>
  <si>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</si>
  <si>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</si>
  <si>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</si>
  <si>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</si>
  <si>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</si>
  <si>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</si>
  <si>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</si>
  <si>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</si>
  <si>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</si>
  <si>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</si>
  <si>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</si>
  <si>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</si>
  <si>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</si>
  <si>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</si>
  <si>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</si>
  <si>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</si>
  <si>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</si>
  <si>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</si>
  <si>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</si>
  <si>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</si>
  <si>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</si>
  <si>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</si>
  <si>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</si>
  <si>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</si>
  <si>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</si>
  <si>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</si>
  <si>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</si>
  <si>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</si>
  <si>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</si>
  <si>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</si>
  <si>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</si>
  <si>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</si>
  <si>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</si>
  <si>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</si>
  <si>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</si>
  <si>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</si>
  <si>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</si>
  <si>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</si>
  <si>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</si>
  <si>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</si>
  <si>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</si>
  <si>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</si>
  <si>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</si>
  <si>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</si>
  <si>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</si>
  <si>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</si>
  <si>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</si>
  <si>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</si>
  <si>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</si>
  <si>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</si>
  <si>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</si>
  <si>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</si>
  <si>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</si>
  <si>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</si>
  <si>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</si>
  <si>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</si>
  <si>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</si>
  <si>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</si>
  <si>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</si>
  <si>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</si>
  <si>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</si>
  <si>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</si>
  <si>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</si>
  <si>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</si>
  <si>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</si>
  <si>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</si>
  <si>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</si>
  <si>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</si>
  <si>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</si>
  <si>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</si>
  <si>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</si>
  <si>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</si>
  <si>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</si>
  <si>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</si>
  <si>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</si>
  <si>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</si>
  <si>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</si>
  <si>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</si>
  <si>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</si>
  <si>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</si>
  <si>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</si>
  <si>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</si>
  <si>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</si>
  <si>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</si>
  <si>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</si>
  <si>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</si>
  <si>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</si>
  <si>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</si>
  <si>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</si>
  <si>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</si>
  <si>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</si>
  <si>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</si>
  <si>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</si>
  <si>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</si>
  <si>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</si>
  <si>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</si>
  <si>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</si>
  <si>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</si>
  <si>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</si>
  <si>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</si>
  <si>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</si>
  <si>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</si>
  <si>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</si>
  <si>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</si>
  <si>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</si>
  <si>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</si>
  <si>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</si>
  <si>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</si>
  <si>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</si>
  <si>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</si>
  <si>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</si>
  <si>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</si>
  <si>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</si>
  <si>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</si>
  <si>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</si>
  <si>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</si>
  <si>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</si>
  <si>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</si>
  <si>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</si>
  <si>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</si>
  <si>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</si>
  <si>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</si>
  <si>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</si>
  <si>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</si>
  <si>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</si>
  <si>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</si>
  <si>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</si>
  <si>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</si>
  <si>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</si>
  <si>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</si>
  <si>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</si>
  <si>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</si>
  <si>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</si>
  <si>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</si>
  <si>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</si>
  <si>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</si>
  <si>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</si>
  <si>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</si>
  <si>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</si>
  <si>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</si>
  <si>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</si>
  <si>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</si>
  <si>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</si>
  <si>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</si>
  <si>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</si>
  <si>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</si>
  <si>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</si>
  <si>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</si>
  <si>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</si>
  <si>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</si>
  <si>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</si>
  <si>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</si>
  <si>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</si>
  <si>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</si>
  <si>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</si>
  <si>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</si>
  <si>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</si>
  <si>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</si>
  <si>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</si>
  <si>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</si>
  <si>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</si>
  <si>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</si>
  <si>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</si>
  <si>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</si>
  <si>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</si>
  <si>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</si>
  <si>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</si>
  <si>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</si>
  <si>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</si>
  <si>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</si>
  <si>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</si>
  <si>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</si>
  <si>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</si>
  <si>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</si>
  <si>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</si>
  <si>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</si>
  <si>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</si>
  <si>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</si>
  <si>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</si>
  <si>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</si>
  <si>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</si>
  <si>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</si>
  <si>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</si>
  <si>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</si>
  <si>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</si>
  <si>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</si>
  <si>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</si>
  <si>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</si>
  <si>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</si>
  <si>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</si>
  <si>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</si>
  <si>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</si>
  <si>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</si>
  <si>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</si>
  <si>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</si>
  <si>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</si>
  <si>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</si>
  <si>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</si>
  <si>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</si>
  <si>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</si>
  <si>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</si>
  <si>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</si>
  <si>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</si>
  <si>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</si>
  <si>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</si>
  <si>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</si>
  <si>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</si>
  <si>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</si>
  <si>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</si>
  <si>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</si>
  <si>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</si>
  <si>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</si>
  <si>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</si>
  <si>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</si>
  <si>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</si>
  <si>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</si>
  <si>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</si>
  <si>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</si>
  <si>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</si>
  <si>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</si>
  <si>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</si>
  <si>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</si>
  <si>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</si>
  <si>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</si>
  <si>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</si>
  <si>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</si>
  <si>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</si>
  <si>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</si>
  <si>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</si>
  <si>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</si>
  <si>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</si>
  <si>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</si>
  <si>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</si>
  <si>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</si>
  <si>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</si>
  <si>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</si>
  <si>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</si>
  <si>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</si>
  <si>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</si>
  <si>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</si>
  <si>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</si>
  <si>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</si>
  <si>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</si>
  <si>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</si>
  <si>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</si>
  <si>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</si>
  <si>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</si>
  <si>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</si>
  <si>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</si>
  <si>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</si>
  <si>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</si>
  <si>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</si>
  <si>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</si>
  <si>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</si>
  <si>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</si>
  <si>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</si>
  <si>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</si>
  <si>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</si>
  <si>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</si>
  <si>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</si>
  <si>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</si>
  <si>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</si>
  <si>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</si>
  <si>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</si>
  <si>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</si>
  <si>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</si>
  <si>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</si>
  <si>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</si>
  <si>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</si>
  <si>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</si>
  <si>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</si>
  <si>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</si>
  <si>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</si>
  <si>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</si>
  <si>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</si>
  <si>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</si>
  <si>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</si>
  <si>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</si>
  <si>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</si>
  <si>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</si>
  <si>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</si>
  <si>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</si>
  <si>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</si>
  <si>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</si>
  <si>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</si>
  <si>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</si>
  <si>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Tecnica applicativa</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</si>
  <si>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</si>
  <si>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</si>
  <si>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</si>
  <si>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</si>
  <si>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</si>
  <si>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</si>
  <si>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</si>
  <si>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</si>
  <si>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</si>
  <si>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</si>
  <si>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</si>
  <si>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</si>
  <si>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</si>
  <si>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</si>
  <si>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</si>
  <si>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</si>
  <si>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</si>
  <si>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</si>
  <si>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</si>
  <si>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</si>
  <si>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</si>
  <si>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</si>
  <si>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</si>
  <si>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</si>
  <si>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</si>
  <si>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</si>
  <si>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</si>
  <si>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</si>
  <si>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item number</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</si>
  <si>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</si>
  <si>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</si>
  <si>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</si>
  <si>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</si>
  <si>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</si>
  <si>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</si>
  <si>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</si>
  <si>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</si>
  <si>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</si>
  <si>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</si>
  <si>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</si>
  <si>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</si>
  <si>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</si>
  <si>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</si>
  <si>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</si>
  <si>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</si>
  <si>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</si>
  <si>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</si>
  <si>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</si>
  <si>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</si>
  <si>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</si>
  <si>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</si>
  <si>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</si>
  <si>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</si>
  <si>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</si>
  <si>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</si>
  <si>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</si>
  <si>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</si>
  <si>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</si>
  <si>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</si>
  <si>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</si>
  <si>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</si>
  <si>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</si>
  <si>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</si>
  <si>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</si>
  <si>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</si>
  <si>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</si>
  <si>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</si>
  <si>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</si>
  <si>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</si>
  <si>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</si>
  <si>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</si>
  <si>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</si>
  <si>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</si>
  <si>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</si>
  <si>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</si>
  <si>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</si>
  <si>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</si>
  <si>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</si>
  <si>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</si>
  <si>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</si>
  <si>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</si>
  <si>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</si>
  <si>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</si>
  <si>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</si>
  <si>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</si>
  <si>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</si>
  <si>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</si>
  <si>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</si>
  <si>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</si>
  <si>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</si>
  <si>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</si>
  <si>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</si>
  <si>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</si>
  <si>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</si>
  <si>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</si>
  <si>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</si>
  <si>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</si>
  <si>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</si>
  <si>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</si>
  <si>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</si>
  <si>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</si>
  <si>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</si>
  <si>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</si>
  <si>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</si>
  <si>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</si>
  <si>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</si>
  <si>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</si>
  <si>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</si>
  <si>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</si>
  <si>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</si>
  <si>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</si>
  <si>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</si>
  <si>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</si>
  <si>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</si>
  <si>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</si>
  <si>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</si>
  <si>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</si>
  <si>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</si>
  <si>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</si>
  <si>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</si>
  <si>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</si>
  <si>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</si>
  <si>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</si>
  <si>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</si>
  <si>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</si>
  <si>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</si>
  <si>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</si>
  <si>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</si>
  <si>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</si>
  <si>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</si>
  <si>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</si>
  <si>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</si>
  <si>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</si>
  <si>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</si>
  <si>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</si>
  <si>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</si>
  <si>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</si>
  <si>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</si>
  <si>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</si>
  <si>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</si>
  <si>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</si>
  <si>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</si>
  <si>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</si>
  <si>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</si>
  <si>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</si>
  <si>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</si>
  <si>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</si>
  <si>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</si>
  <si>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</si>
  <si>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</si>
  <si>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</si>
  <si>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</si>
  <si>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</si>
  <si>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</si>
  <si>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</si>
  <si>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</si>
  <si>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</si>
  <si>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</si>
  <si>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</si>
  <si>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</si>
  <si>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</si>
  <si>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</si>
  <si>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</si>
  <si>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</si>
  <si>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</si>
  <si>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</si>
  <si>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</si>
  <si>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</si>
  <si>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</si>
  <si>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</si>
  <si>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</si>
  <si>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</si>
  <si>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</si>
  <si>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</si>
  <si>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</si>
  <si>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</si>
  <si>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</si>
  <si>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</si>
  <si>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</si>
  <si>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</si>
  <si>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</si>
  <si>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</si>
  <si>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</si>
  <si>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</si>
  <si>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</si>
  <si>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</si>
  <si>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</si>
  <si>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</si>
  <si>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</si>
  <si>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(zweiteilig)</t>
  </si>
  <si>
    <t>external corner (two parts)</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</si>
  <si>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</si>
  <si>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</si>
  <si>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</si>
  <si>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</si>
  <si>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</si>
  <si>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</si>
  <si>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</si>
  <si>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</si>
  <si>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</si>
  <si>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</si>
  <si>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</si>
  <si>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</si>
  <si>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t>
  </si>
  <si>
    <t>Außenecke (zweiteilig; L = 2.000 mm)</t>
  </si>
  <si>
    <t>external corner (two parts);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</si>
  <si>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</si>
  <si>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</si>
  <si>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</si>
  <si>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</si>
  <si>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</si>
  <si>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</si>
  <si>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</si>
  <si>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</si>
  <si>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</si>
  <si>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</si>
  <si>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</si>
  <si>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</si>
  <si>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(2-teilig;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</si>
  <si>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</si>
  <si>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</si>
  <si>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</si>
  <si>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</si>
  <si>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</si>
  <si>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</si>
  <si>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</si>
  <si>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</si>
  <si>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</si>
  <si>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</si>
  <si>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</si>
  <si>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</si>
  <si>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</si>
  <si>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</si>
  <si>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</si>
  <si>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</si>
  <si>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</si>
  <si>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</si>
  <si>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</si>
  <si>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</si>
  <si>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</si>
  <si>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</si>
  <si>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</si>
  <si>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</si>
  <si>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</si>
  <si>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</si>
  <si>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</si>
  <si>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</si>
  <si>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</si>
  <si>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</si>
  <si>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</si>
  <si>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</si>
  <si>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</si>
  <si>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</si>
  <si>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</si>
  <si>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</si>
  <si>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</si>
  <si>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</si>
  <si>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</si>
  <si>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</si>
  <si>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</si>
  <si>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</si>
  <si>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</si>
  <si>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</si>
  <si>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</si>
  <si>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</si>
  <si>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</si>
  <si>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</si>
  <si>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</si>
  <si>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</si>
  <si>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</si>
  <si>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</si>
  <si>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</si>
  <si>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</si>
  <si>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</si>
  <si>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</si>
  <si>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</si>
  <si>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</si>
  <si>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</si>
  <si>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</si>
  <si>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</si>
  <si>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</si>
  <si>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</si>
  <si>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</si>
  <si>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</si>
  <si>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</si>
  <si>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</si>
  <si>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</si>
  <si>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</si>
  <si>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</si>
  <si>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</si>
  <si>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</si>
  <si>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</si>
  <si>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</si>
  <si>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</si>
  <si>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</si>
  <si>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</si>
  <si>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</si>
  <si>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</si>
  <si>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</si>
  <si>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</si>
  <si>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</si>
  <si>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</si>
  <si>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</si>
  <si>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</si>
  <si>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</si>
  <si>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</si>
  <si>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</si>
  <si>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</si>
  <si>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</si>
  <si>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</si>
  <si>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</si>
  <si>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</si>
  <si>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</si>
  <si>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</si>
  <si>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</si>
  <si>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</si>
  <si>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</si>
  <si>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</si>
  <si>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</si>
  <si>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</si>
  <si>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</si>
  <si>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</si>
  <si>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</si>
  <si>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</si>
  <si>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</si>
  <si>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</si>
  <si>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</si>
  <si>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</si>
  <si>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</si>
  <si>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</si>
  <si>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</si>
  <si>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</si>
  <si>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</si>
  <si>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</si>
  <si>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</si>
  <si>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</si>
  <si>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</si>
  <si>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</si>
  <si>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</si>
  <si>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</si>
  <si>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</si>
  <si>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</si>
  <si>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</si>
  <si>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</si>
  <si>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</si>
  <si>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</si>
  <si>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</si>
  <si>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</si>
  <si>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</si>
  <si>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</si>
  <si>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</si>
  <si>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</si>
  <si>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</si>
  <si>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</si>
  <si>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</si>
  <si>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</si>
  <si>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</si>
  <si>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</si>
  <si>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</si>
  <si>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</si>
  <si>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</si>
  <si>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</si>
  <si>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</si>
  <si>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</si>
  <si>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</si>
  <si>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</si>
  <si>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</si>
  <si>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</si>
  <si>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</si>
  <si>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</si>
  <si>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</si>
  <si>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</si>
  <si>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</si>
  <si>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</si>
  <si>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</si>
  <si>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</si>
  <si>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</si>
  <si>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</si>
  <si>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</si>
  <si>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</si>
  <si>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</si>
  <si>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</si>
  <si>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</si>
  <si>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</si>
  <si>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</si>
  <si>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</si>
  <si>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</si>
  <si>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</si>
  <si>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</si>
  <si>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</si>
  <si>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</si>
  <si>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</si>
  <si>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</si>
  <si>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</si>
  <si>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</si>
  <si>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</si>
  <si>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</si>
  <si>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</si>
  <si>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</si>
  <si>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</si>
  <si>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</si>
  <si>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</si>
  <si>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</si>
  <si>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</si>
  <si>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</si>
  <si>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</si>
  <si>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</si>
  <si>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</si>
  <si>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</si>
  <si>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</si>
  <si>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</si>
  <si>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</si>
  <si>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</si>
  <si>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</si>
  <si>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</si>
  <si>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</si>
  <si>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</si>
  <si>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</si>
  <si>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</si>
  <si>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</si>
  <si>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</si>
  <si>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</si>
  <si>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</si>
  <si>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</si>
  <si>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</si>
  <si>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</si>
  <si>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</si>
  <si>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</si>
  <si>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</si>
  <si>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</si>
  <si>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</si>
  <si>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</si>
  <si>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</si>
  <si>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</si>
  <si>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</si>
  <si>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</si>
  <si>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</si>
  <si>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</si>
  <si>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</si>
  <si>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</si>
  <si>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</si>
  <si>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</si>
  <si>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</si>
  <si>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</si>
  <si>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vite per metallo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</si>
  <si>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</si>
  <si>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</si>
  <si>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</si>
  <si>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</si>
  <si>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</si>
  <si>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</si>
  <si>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</si>
  <si>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</si>
  <si>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</si>
  <si>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</si>
  <si>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</si>
  <si>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</si>
  <si>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</si>
  <si>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vite per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</si>
  <si>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</si>
  <si>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</si>
  <si>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</si>
  <si>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</si>
  <si>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</si>
  <si>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</si>
  <si>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</si>
  <si>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</si>
  <si>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</si>
  <si>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</si>
  <si>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</si>
  <si>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</si>
  <si>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</si>
  <si>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</si>
  <si>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</si>
  <si>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</si>
  <si>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</si>
  <si>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</si>
  <si>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</si>
  <si>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</si>
  <si>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</si>
  <si>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</si>
  <si>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</si>
  <si>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</si>
  <si>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</si>
  <si>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</si>
  <si>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</si>
  <si>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</si>
  <si>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</si>
  <si>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</si>
  <si>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</si>
  <si>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</si>
  <si>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</si>
  <si>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</si>
  <si>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</si>
  <si>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</si>
  <si>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</si>
  <si>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</si>
  <si>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</si>
  <si>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</si>
  <si>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</si>
  <si>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</si>
  <si>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</si>
  <si>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</si>
  <si>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</si>
  <si>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</si>
  <si>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</si>
  <si>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</si>
  <si>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</si>
  <si>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</si>
  <si>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</si>
  <si>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</si>
  <si>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</si>
  <si>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</si>
  <si>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</si>
  <si>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</si>
  <si>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</si>
  <si>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</si>
  <si>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</si>
  <si>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</si>
  <si>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</si>
  <si>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</si>
  <si>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</si>
  <si>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</si>
  <si>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</si>
  <si>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</si>
  <si>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</si>
  <si>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</si>
  <si>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</si>
  <si>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</si>
  <si>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</si>
  <si>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</si>
  <si>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</si>
  <si>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</si>
  <si>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</si>
  <si>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</si>
  <si>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</si>
  <si>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</si>
  <si>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</si>
  <si>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</si>
  <si>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</si>
  <si>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</si>
  <si>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</si>
  <si>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</si>
  <si>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</si>
  <si>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</si>
  <si>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</si>
  <si>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</si>
  <si>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</si>
  <si>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</si>
  <si>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</si>
  <si>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</si>
  <si>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</si>
  <si>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</si>
  <si>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</si>
  <si>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</si>
  <si>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</si>
  <si>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</si>
  <si>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</si>
  <si>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</si>
  <si>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</si>
  <si>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</si>
  <si>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</si>
  <si>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</si>
  <si>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</si>
  <si>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</si>
  <si>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</si>
  <si>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</si>
  <si>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</si>
  <si>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</si>
  <si>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</si>
  <si>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</si>
  <si>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</si>
  <si>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</si>
  <si>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</si>
  <si>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</si>
  <si>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</si>
  <si>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</si>
  <si>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</si>
  <si>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</si>
  <si>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</si>
  <si>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</si>
  <si>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</si>
  <si>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</si>
  <si>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</si>
  <si>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</si>
  <si>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</si>
  <si>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</si>
  <si>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</si>
  <si>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</si>
  <si>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</si>
  <si>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</si>
  <si>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</si>
  <si>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</si>
  <si>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</si>
  <si>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</si>
  <si>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</si>
  <si>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</si>
  <si>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</si>
  <si>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</si>
  <si>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</si>
  <si>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</si>
  <si>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</si>
  <si>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</si>
  <si>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</si>
  <si>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</si>
  <si>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</si>
  <si>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</si>
  <si>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</si>
  <si>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</si>
  <si>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</si>
  <si>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</si>
  <si>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</si>
  <si>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</si>
  <si>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</si>
  <si>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</si>
  <si>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</si>
  <si>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</si>
  <si>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</si>
  <si>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</si>
  <si>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</si>
  <si>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</si>
  <si>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</si>
  <si>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</si>
  <si>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</si>
  <si>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</si>
  <si>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</si>
  <si>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</si>
  <si>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</si>
  <si>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</si>
  <si>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</si>
  <si>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</si>
  <si>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</si>
  <si>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</si>
  <si>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</si>
  <si>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</si>
  <si>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</si>
  <si>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</si>
  <si>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</si>
  <si>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</si>
  <si>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</si>
  <si>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</si>
  <si>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</si>
  <si>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</si>
  <si>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</si>
  <si>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</si>
  <si>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</si>
  <si>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</si>
  <si>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</si>
  <si>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</si>
  <si>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</si>
  <si>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</si>
  <si>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</si>
  <si>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</si>
  <si>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</si>
  <si>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</si>
  <si>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</si>
  <si>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</si>
  <si>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</si>
  <si>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</si>
  <si>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</si>
  <si>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</si>
  <si>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</si>
  <si>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</si>
  <si>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</si>
  <si>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</si>
  <si>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</si>
  <si>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</si>
  <si>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</si>
  <si>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</si>
  <si>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</si>
  <si>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</si>
  <si>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</si>
  <si>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</si>
  <si>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</si>
  <si>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</si>
  <si>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</si>
  <si>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</si>
  <si>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</si>
  <si>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</si>
  <si>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</si>
  <si>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</si>
  <si>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</si>
  <si>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</si>
  <si>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</si>
  <si>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</si>
  <si>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</si>
  <si>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</si>
  <si>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</si>
  <si>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</si>
  <si>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</si>
  <si>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</si>
  <si>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</si>
  <si>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</si>
  <si>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</si>
  <si>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</si>
  <si>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</si>
  <si>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</si>
  <si>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</si>
  <si>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</si>
  <si>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</si>
  <si>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</si>
  <si>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</si>
  <si>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</si>
  <si>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</si>
  <si>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</si>
  <si>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</si>
  <si>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</si>
  <si>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</si>
  <si>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</si>
  <si>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</si>
  <si>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</si>
  <si>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</si>
  <si>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</si>
  <si>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</si>
  <si>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</si>
  <si>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</si>
  <si>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</si>
  <si>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</si>
  <si>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</si>
  <si>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</si>
  <si>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</si>
  <si>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</si>
  <si>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</si>
  <si>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</si>
  <si>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</si>
  <si>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</si>
  <si>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</si>
  <si>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</si>
  <si>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</si>
  <si>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</si>
  <si>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</si>
  <si>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</si>
  <si>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</si>
  <si>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</si>
  <si>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</si>
  <si>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</si>
  <si>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</si>
  <si>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</si>
  <si>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</si>
  <si>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</si>
  <si>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</si>
  <si>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</si>
  <si>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</si>
  <si>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</si>
  <si>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</si>
  <si>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</si>
  <si>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</si>
  <si>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</si>
  <si>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</si>
  <si>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</si>
  <si>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</si>
  <si>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</si>
  <si>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</si>
  <si>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</si>
  <si>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</si>
  <si>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</si>
  <si>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</si>
  <si>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</si>
  <si>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</si>
  <si>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</si>
  <si>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</si>
  <si>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</si>
  <si>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</si>
  <si>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</si>
  <si>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</si>
  <si>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</si>
  <si>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</si>
  <si>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</si>
  <si>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</si>
  <si>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</si>
  <si>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</si>
  <si>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</si>
  <si>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</si>
  <si>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</si>
  <si>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</si>
  <si>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</si>
  <si>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</si>
  <si>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</si>
  <si>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</si>
  <si>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</si>
  <si>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</si>
  <si>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</si>
  <si>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</si>
  <si>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</si>
  <si>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</si>
  <si>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</si>
  <si>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</si>
  <si>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</si>
  <si>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</si>
  <si>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</si>
  <si>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</si>
  <si>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</si>
  <si>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</si>
  <si>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</si>
  <si>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</si>
  <si>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</si>
  <si>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</si>
  <si>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</si>
  <si>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</si>
  <si>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</si>
  <si>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</si>
  <si>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</si>
  <si>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</si>
  <si>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</si>
  <si>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</si>
  <si>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</si>
  <si>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</si>
  <si>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</si>
  <si>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</si>
  <si>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</si>
  <si>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</si>
  <si>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</si>
  <si>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</si>
  <si>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</si>
  <si>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</si>
  <si>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</si>
  <si>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</si>
  <si>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</si>
  <si>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</si>
  <si>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</si>
  <si>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</si>
  <si>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</si>
  <si>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</si>
  <si>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</si>
  <si>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</si>
  <si>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</si>
  <si>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</si>
  <si>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</si>
  <si>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</si>
  <si>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</si>
  <si>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</si>
  <si>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</si>
  <si>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</si>
  <si>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Scegliere la tipologia di fuga (scuretto)</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</si>
  <si>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</si>
  <si>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</si>
  <si>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</si>
  <si>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</si>
  <si>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</si>
  <si>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</si>
  <si>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</si>
  <si>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</si>
  <si>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</si>
  <si>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</si>
  <si>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</si>
  <si>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</si>
  <si>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</si>
  <si>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</si>
  <si>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</si>
  <si>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</si>
  <si>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</si>
  <si>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</si>
  <si>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</si>
  <si>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</si>
  <si>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</si>
  <si>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</si>
  <si>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</si>
  <si>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</si>
  <si>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</si>
  <si>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</si>
  <si>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</si>
  <si>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</si>
  <si>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</si>
  <si>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</si>
  <si>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</si>
  <si>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</si>
  <si>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</si>
  <si>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</si>
  <si>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</si>
  <si>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</si>
  <si>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</si>
  <si>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</si>
  <si>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</si>
  <si>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</si>
  <si>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</si>
  <si>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</si>
  <si>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</si>
  <si>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</si>
  <si>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</si>
  <si>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</si>
  <si>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</si>
  <si>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</si>
  <si>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</si>
  <si>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</si>
  <si>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</si>
  <si>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</si>
  <si>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</si>
  <si>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</si>
  <si>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</si>
  <si>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</si>
  <si>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</si>
  <si>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</si>
  <si>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</si>
  <si>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</si>
  <si>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</si>
  <si>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</si>
  <si>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</si>
  <si>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</si>
  <si>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</si>
  <si>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</si>
  <si>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</si>
  <si>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</si>
  <si>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</si>
  <si>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</si>
  <si>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</si>
  <si>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</si>
  <si>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</si>
  <si>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</si>
  <si>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</si>
  <si>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</si>
  <si>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</si>
  <si>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</si>
  <si>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</si>
  <si>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</si>
  <si>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</si>
  <si>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</si>
  <si>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</si>
  <si>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</si>
  <si>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</si>
  <si>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</si>
  <si>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</si>
  <si>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</si>
  <si>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</si>
  <si>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</si>
  <si>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</si>
  <si>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</si>
  <si>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</si>
  <si>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</si>
  <si>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</si>
  <si>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</si>
  <si>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</si>
  <si>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</si>
  <si>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</si>
  <si>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</si>
  <si>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</si>
  <si>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</si>
  <si>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</si>
  <si>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</si>
  <si>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</si>
  <si>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</si>
  <si>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</si>
  <si>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</si>
  <si>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</si>
  <si>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</si>
  <si>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</si>
  <si>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</si>
  <si>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</si>
  <si>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</si>
  <si>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</si>
  <si>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</si>
  <si>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</si>
  <si>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</si>
  <si>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</si>
  <si>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</si>
  <si>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</si>
  <si>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</si>
  <si>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 antivento!</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</si>
  <si>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</si>
  <si>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</si>
  <si>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</si>
  <si>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</si>
  <si>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</si>
  <si>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</si>
  <si>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</si>
  <si>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</si>
  <si>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</si>
  <si>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</si>
  <si>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</si>
  <si>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</si>
  <si>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</si>
  <si>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</si>
  <si>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</si>
  <si>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</si>
  <si>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</si>
  <si>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</si>
  <si>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</si>
  <si>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</si>
  <si>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</si>
  <si>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</si>
  <si>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</si>
  <si>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</si>
  <si>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</si>
  <si>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</si>
  <si>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</si>
  <si>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</si>
  <si>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</si>
  <si>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</si>
  <si>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</si>
  <si>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</si>
  <si>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</si>
  <si>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</si>
  <si>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</si>
  <si>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</si>
  <si>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</si>
  <si>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</si>
  <si>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</si>
  <si>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</si>
  <si>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</si>
  <si>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</si>
  <si>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</si>
  <si>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</si>
  <si>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</si>
  <si>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</si>
  <si>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</si>
  <si>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</si>
  <si>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</si>
  <si>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</si>
  <si>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</si>
  <si>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</si>
  <si>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</si>
  <si>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</si>
  <si>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</si>
  <si>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</si>
  <si>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</si>
  <si>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</si>
  <si>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</si>
  <si>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</si>
  <si>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</si>
  <si>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</si>
  <si>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</si>
  <si>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</si>
  <si>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</si>
  <si>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</si>
  <si>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</si>
  <si>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</si>
  <si>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</si>
  <si>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</si>
  <si>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</si>
  <si>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</si>
  <si>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</si>
  <si>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</si>
  <si>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</si>
  <si>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</si>
  <si>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</si>
  <si>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</si>
  <si>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</si>
  <si>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</si>
  <si>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</si>
  <si>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</si>
  <si>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</si>
  <si>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</si>
  <si>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</si>
  <si>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</si>
  <si>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</si>
  <si>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</si>
  <si>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</si>
  <si>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</si>
  <si>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</si>
  <si>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</si>
  <si>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</si>
  <si>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</si>
  <si>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</si>
  <si>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</si>
  <si>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</si>
  <si>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</si>
  <si>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</si>
  <si>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</si>
  <si>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</si>
  <si>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</si>
  <si>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</si>
  <si>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</si>
  <si>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</si>
  <si>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</si>
  <si>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</si>
  <si>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</si>
  <si>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</si>
  <si>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</si>
  <si>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</si>
  <si>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</si>
  <si>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</si>
  <si>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</si>
  <si>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</si>
  <si>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</si>
  <si>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</si>
  <si>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</si>
  <si>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</si>
  <si>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</si>
  <si>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</si>
  <si>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</si>
  <si>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</si>
  <si>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</si>
  <si>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</si>
  <si>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</si>
  <si>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</si>
  <si>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</si>
  <si>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</si>
  <si>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</si>
  <si>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</si>
  <si>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</si>
  <si>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</si>
  <si>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</si>
  <si>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</si>
  <si>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</si>
  <si>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</si>
  <si>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</si>
  <si>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</si>
  <si>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</si>
  <si>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</si>
  <si>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</si>
  <si>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</si>
  <si>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</si>
  <si>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</si>
  <si>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</si>
  <si>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</si>
  <si>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</si>
  <si>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</si>
  <si>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</si>
  <si>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</si>
  <si>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</si>
  <si>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</si>
  <si>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</si>
  <si>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</si>
  <si>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</si>
  <si>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</si>
  <si>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</si>
  <si>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</si>
  <si>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</si>
  <si>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</si>
  <si>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</si>
  <si>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</si>
  <si>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</si>
  <si>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</si>
  <si>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</si>
  <si>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</si>
  <si>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</si>
  <si>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</si>
  <si>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</si>
  <si>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</si>
  <si>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</si>
  <si>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</si>
  <si>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</si>
  <si>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</si>
  <si>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</si>
  <si>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</si>
  <si>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</si>
  <si>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</si>
  <si>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</si>
  <si>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</si>
  <si>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</si>
  <si>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</si>
  <si>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</si>
  <si>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</si>
  <si>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</si>
  <si>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</si>
  <si>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</si>
  <si>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</si>
  <si>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</si>
  <si>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</si>
  <si>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</si>
  <si>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</si>
  <si>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</si>
  <si>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</si>
  <si>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</si>
  <si>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</si>
  <si>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</si>
  <si>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</si>
  <si>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</si>
  <si>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</si>
  <si>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</si>
  <si>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</si>
  <si>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</si>
  <si>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</si>
  <si>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</si>
  <si>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</si>
  <si>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</si>
  <si>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</si>
  <si>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</si>
  <si>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</si>
  <si>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</si>
  <si>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</si>
  <si>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</si>
  <si>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</si>
  <si>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</si>
  <si>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</si>
  <si>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</si>
  <si>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</si>
  <si>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</si>
  <si>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</si>
  <si>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</si>
  <si>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</si>
  <si>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</si>
  <si>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</si>
  <si>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</si>
  <si>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</si>
  <si>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</si>
  <si>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</si>
  <si>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</si>
  <si>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</si>
  <si>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</si>
  <si>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</si>
  <si>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</si>
  <si>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</si>
  <si>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</si>
  <si>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</si>
  <si>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</si>
  <si>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</si>
  <si>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</si>
  <si>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</si>
  <si>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</si>
  <si>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</si>
  <si>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</si>
  <si>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</si>
  <si>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</si>
  <si>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</si>
  <si>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</si>
  <si>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</si>
  <si>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</si>
  <si>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</si>
  <si>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</si>
  <si>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</si>
  <si>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</si>
  <si>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</si>
  <si>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</si>
  <si>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</si>
  <si>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</si>
  <si>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</si>
  <si>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</si>
  <si>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</si>
  <si>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</si>
  <si>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</si>
  <si>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</si>
  <si>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</si>
  <si>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</si>
  <si>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</si>
  <si>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</si>
  <si>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</si>
  <si>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</si>
  <si>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</si>
  <si>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</si>
  <si>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</si>
  <si>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</si>
  <si>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</si>
  <si>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</si>
  <si>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</si>
  <si>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</si>
  <si>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</si>
  <si>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</si>
  <si>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</si>
  <si>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</si>
  <si>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</si>
  <si>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</si>
  <si>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</si>
  <si>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</si>
  <si>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</si>
  <si>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</si>
  <si>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</si>
  <si>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</si>
  <si>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</si>
  <si>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</si>
  <si>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</si>
  <si>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</si>
  <si>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</si>
  <si>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</si>
  <si>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</si>
  <si>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</si>
  <si>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</si>
  <si>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</si>
  <si>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</si>
  <si>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</si>
  <si>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</si>
  <si>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</si>
  <si>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</si>
  <si>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</si>
  <si>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</si>
  <si>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</si>
  <si>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</si>
  <si>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</si>
  <si>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</si>
  <si>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</si>
  <si>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</si>
  <si>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</si>
  <si>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</si>
  <si>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</si>
  <si>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</si>
  <si>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</si>
  <si>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</si>
  <si>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</si>
  <si>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</si>
  <si>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</si>
  <si>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</si>
  <si>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</si>
  <si>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</si>
  <si>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</si>
  <si>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</si>
  <si>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</si>
  <si>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</si>
  <si>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</si>
  <si>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</si>
  <si>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</si>
  <si>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</si>
  <si>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</si>
  <si>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</si>
  <si>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</si>
  <si>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</si>
  <si>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</si>
  <si>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</si>
  <si>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</si>
  <si>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</si>
  <si>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</si>
  <si>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</si>
  <si>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</si>
  <si>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</si>
  <si>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</si>
  <si>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</si>
  <si>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</si>
  <si>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</si>
  <si>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</si>
  <si>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</si>
  <si>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</si>
  <si>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</si>
  <si>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</si>
  <si>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</si>
  <si>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</si>
  <si>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</si>
  <si>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</si>
  <si>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</si>
  <si>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</si>
  <si>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</si>
  <si>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</si>
  <si>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</si>
  <si>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</si>
  <si>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</si>
  <si>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</si>
  <si>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</si>
  <si>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</si>
  <si>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</si>
  <si>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</si>
  <si>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</si>
  <si>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</si>
  <si>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</si>
  <si>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</si>
  <si>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</si>
  <si>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</si>
  <si>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</si>
  <si>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</si>
  <si>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</si>
  <si>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</si>
  <si>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</si>
  <si>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</si>
  <si>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</si>
  <si>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</si>
  <si>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</si>
  <si>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</si>
  <si>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</si>
  <si>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</si>
  <si>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</si>
  <si>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</si>
  <si>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</si>
  <si>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</si>
  <si>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</si>
  <si>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</si>
  <si>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</si>
  <si>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</si>
  <si>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</si>
  <si>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</si>
  <si>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</si>
  <si>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</si>
  <si>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</si>
  <si>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</si>
  <si>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</si>
  <si>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</si>
  <si>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</si>
  <si>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</si>
  <si>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</si>
  <si>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</si>
  <si>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</si>
  <si>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</si>
  <si>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</si>
  <si>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</si>
  <si>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</si>
  <si>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</si>
  <si>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</si>
  <si>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</si>
  <si>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</si>
  <si>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</si>
  <si>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</si>
  <si>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</si>
  <si>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</si>
  <si>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</si>
  <si>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</si>
  <si>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</si>
  <si>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</si>
  <si>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</si>
  <si>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</si>
  <si>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</si>
  <si>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</si>
  <si>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</si>
  <si>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</si>
  <si>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</si>
  <si>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</si>
  <si>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</si>
  <si>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</si>
  <si>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</si>
  <si>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</si>
  <si>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</si>
  <si>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</si>
  <si>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</si>
  <si>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</si>
  <si>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</si>
  <si>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</si>
  <si>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</si>
  <si>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</si>
  <si>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</si>
  <si>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</si>
  <si>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</si>
  <si>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</si>
  <si>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</si>
  <si>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</si>
  <si>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</si>
  <si>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</si>
  <si>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</si>
  <si>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</si>
  <si>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</si>
  <si>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</si>
  <si>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</si>
  <si>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</si>
  <si>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</si>
  <si>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</si>
  <si>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</si>
  <si>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</si>
  <si>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</si>
  <si>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</si>
  <si>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</si>
  <si>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</si>
  <si>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</si>
  <si>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</si>
  <si>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</si>
  <si>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</si>
  <si>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</si>
  <si>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</si>
  <si>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</si>
  <si>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</si>
  <si>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</si>
  <si>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</si>
  <si>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</si>
  <si>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</si>
  <si>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</si>
  <si>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</si>
  <si>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</si>
  <si>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</si>
  <si>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</si>
  <si>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</si>
  <si>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</si>
  <si>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</si>
  <si>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</si>
  <si>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</si>
  <si>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</si>
  <si>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</si>
  <si>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</si>
  <si>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</si>
  <si>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</si>
  <si>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</si>
  <si>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</si>
  <si>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</si>
  <si>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</si>
  <si>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</si>
  <si>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</si>
  <si>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</si>
  <si>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</si>
  <si>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</si>
  <si>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</si>
  <si>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</si>
  <si>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</si>
  <si>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</si>
  <si>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</si>
  <si>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</si>
  <si>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</si>
  <si>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</si>
  <si>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</si>
  <si>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</si>
  <si>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</si>
  <si>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</si>
  <si>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</si>
  <si>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</si>
  <si>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</si>
  <si>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</si>
  <si>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</si>
  <si>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</si>
  <si>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</si>
  <si>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</si>
  <si>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</si>
  <si>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</si>
  <si>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</si>
  <si>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</si>
  <si>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</si>
  <si>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</si>
  <si>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</si>
  <si>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</si>
  <si>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</si>
  <si>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</si>
  <si>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</si>
  <si>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</si>
  <si>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</si>
  <si>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</si>
  <si>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</si>
  <si>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</si>
  <si>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</si>
  <si>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</si>
  <si>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</si>
  <si>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</si>
  <si>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</si>
  <si>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</si>
  <si>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</si>
  <si>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</si>
  <si>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</si>
  <si>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</si>
  <si>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</si>
  <si>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</si>
  <si>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</si>
  <si>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</si>
  <si>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</si>
  <si>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</si>
  <si>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</si>
  <si>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</si>
  <si>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</si>
  <si>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</si>
  <si>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</si>
  <si>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</si>
  <si>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</si>
  <si>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</si>
  <si>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</si>
  <si>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</si>
  <si>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</si>
  <si>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</si>
  <si>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</si>
  <si>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</si>
  <si>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</si>
  <si>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</si>
  <si>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</si>
  <si>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</si>
  <si>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</si>
  <si>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</si>
  <si>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</si>
  <si>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</si>
  <si>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</si>
  <si>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</si>
  <si>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</si>
  <si>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</si>
  <si>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</si>
  <si>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</si>
  <si>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</si>
  <si>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</si>
  <si>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</si>
  <si>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</si>
  <si>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</si>
  <si>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</si>
  <si>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</si>
  <si>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</si>
  <si>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</si>
  <si>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</si>
  <si>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</si>
  <si>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</si>
  <si>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</si>
  <si>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</si>
  <si>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</si>
  <si>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</si>
  <si>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</si>
  <si>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</si>
  <si>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</si>
  <si>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</si>
  <si>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</si>
  <si>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</si>
  <si>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</si>
  <si>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</si>
  <si>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</si>
  <si>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</si>
  <si>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</si>
  <si>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</si>
  <si>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</si>
  <si>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</si>
  <si>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</si>
  <si>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</si>
  <si>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</si>
  <si>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</si>
  <si>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</si>
  <si>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</si>
  <si>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</si>
  <si>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</si>
  <si>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</si>
  <si>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</si>
  <si>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</si>
  <si>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</si>
  <si>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</si>
  <si>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</si>
  <si>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</si>
  <si>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</si>
  <si>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</si>
  <si>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</si>
  <si>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</si>
  <si>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</si>
  <si>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</si>
  <si>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</si>
  <si>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</si>
  <si>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</si>
  <si>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</si>
  <si>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</si>
  <si>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</si>
  <si>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</si>
  <si>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</si>
  <si>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</si>
  <si>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</si>
  <si>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</si>
  <si>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</si>
  <si>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</si>
  <si>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</si>
  <si>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</si>
  <si>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</si>
  <si>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</si>
  <si>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</si>
  <si>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</si>
  <si>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</si>
  <si>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</si>
  <si>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</si>
  <si>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</si>
  <si>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</si>
  <si>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</si>
  <si>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</si>
  <si>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</si>
  <si>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</si>
  <si>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</si>
  <si>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</si>
  <si>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</si>
  <si>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</si>
  <si>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</si>
  <si>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</si>
  <si>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</si>
  <si>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</si>
  <si>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</si>
  <si>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</si>
  <si>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</si>
  <si>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</si>
  <si>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</si>
  <si>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</si>
  <si>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</si>
  <si>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</si>
  <si>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</si>
  <si>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</si>
  <si>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</si>
  <si>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</si>
  <si>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</si>
  <si>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</si>
  <si>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</si>
  <si>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</si>
  <si>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</si>
  <si>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</si>
  <si>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</si>
  <si>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</si>
  <si>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</si>
  <si>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</si>
  <si>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</si>
  <si>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</si>
  <si>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</si>
  <si>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</si>
  <si>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</si>
  <si>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</si>
  <si>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</si>
  <si>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</si>
  <si>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</si>
  <si>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</si>
  <si>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</si>
  <si>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</si>
  <si>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</si>
  <si>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</si>
  <si>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</si>
  <si>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</si>
  <si>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</si>
  <si>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</si>
  <si>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</si>
  <si>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</si>
  <si>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</si>
  <si>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</si>
  <si>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</si>
  <si>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</si>
  <si>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</si>
  <si>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</si>
  <si>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</si>
  <si>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</si>
  <si>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</si>
  <si>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</si>
  <si>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</si>
  <si>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</si>
  <si>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</si>
  <si>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</si>
  <si>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</si>
  <si>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</si>
  <si>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</si>
  <si>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</si>
  <si>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</si>
  <si>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</si>
  <si>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</si>
  <si>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</si>
  <si>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</si>
  <si>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</si>
  <si>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</si>
  <si>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</si>
  <si>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</si>
  <si>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</si>
  <si>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</si>
  <si>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</si>
  <si>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</si>
  <si>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</si>
  <si>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</si>
  <si>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</si>
  <si>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</si>
  <si>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</si>
  <si>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</si>
  <si>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</si>
  <si>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</si>
  <si>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</si>
  <si>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</si>
  <si>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</si>
  <si>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</si>
  <si>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</si>
  <si>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</si>
  <si>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</si>
  <si>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</si>
  <si>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</si>
  <si>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</si>
  <si>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</si>
  <si>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</si>
  <si>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</si>
  <si>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</si>
  <si>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</si>
  <si>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</si>
  <si>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</si>
  <si>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</si>
  <si>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</si>
  <si>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</si>
  <si>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</si>
  <si>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</si>
  <si>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</si>
  <si>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</si>
  <si>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</si>
  <si>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</si>
  <si>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</si>
  <si>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</si>
  <si>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</si>
  <si>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</si>
  <si>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</si>
  <si>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</si>
  <si>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</si>
  <si>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</si>
  <si>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</si>
  <si>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</si>
  <si>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</si>
  <si>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</si>
  <si>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</si>
  <si>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</si>
  <si>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</si>
  <si>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</si>
  <si>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</si>
  <si>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</si>
  <si>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</si>
  <si>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</si>
  <si>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</si>
  <si>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</si>
  <si>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</si>
  <si>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</si>
  <si>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</si>
  <si>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</si>
  <si>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</si>
  <si>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</si>
  <si>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</si>
  <si>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</si>
  <si>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</si>
  <si>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</si>
  <si>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</si>
  <si>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</si>
  <si>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</si>
  <si>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</si>
  <si>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</si>
  <si>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</si>
  <si>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</si>
  <si>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</si>
  <si>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</si>
  <si>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</si>
  <si>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</si>
  <si>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</si>
  <si>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</si>
  <si>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</si>
  <si>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</si>
  <si>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</si>
  <si>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</si>
  <si>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</si>
  <si>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</si>
  <si>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</si>
  <si>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</si>
  <si>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</si>
  <si>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</si>
  <si>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</si>
  <si>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</si>
  <si>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</si>
  <si>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</si>
  <si>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</si>
  <si>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</si>
  <si>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</si>
  <si>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</si>
  <si>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</si>
  <si>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</si>
  <si>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</si>
  <si>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</si>
  <si>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</si>
  <si>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</si>
  <si>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</si>
  <si>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</si>
  <si>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</si>
  <si>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</si>
  <si>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</si>
  <si>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</si>
  <si>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</si>
  <si>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</si>
  <si>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</si>
  <si>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</si>
  <si>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</si>
  <si>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</si>
  <si>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</si>
  <si>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</si>
  <si>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</si>
  <si>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</si>
  <si>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</si>
  <si>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</si>
  <si>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</si>
  <si>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</si>
  <si>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</si>
  <si>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</si>
  <si>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</si>
  <si>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</si>
  <si>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</si>
  <si>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</si>
  <si>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</si>
  <si>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</si>
  <si>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</si>
  <si>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</si>
  <si>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</si>
  <si>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</si>
  <si>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</si>
  <si>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</si>
  <si>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</si>
  <si>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</si>
  <si>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</si>
  <si>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</si>
  <si>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</si>
  <si>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</si>
  <si>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</si>
  <si>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</si>
  <si>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</si>
  <si>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</si>
  <si>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</si>
  <si>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</si>
  <si>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</si>
  <si>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</si>
  <si>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</si>
  <si>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</si>
  <si>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</si>
  <si>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</si>
  <si>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</si>
  <si>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</si>
  <si>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</si>
  <si>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</si>
  <si>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</si>
  <si>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</si>
  <si>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</si>
  <si>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</si>
  <si>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</si>
  <si>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</si>
  <si>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trasversale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</si>
  <si>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</si>
  <si>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</si>
  <si>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</si>
  <si>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</si>
  <si>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</si>
  <si>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</si>
  <si>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</si>
  <si>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</si>
  <si>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</si>
  <si>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</si>
  <si>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</si>
  <si>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</si>
  <si>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</si>
  <si>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</si>
  <si>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</si>
  <si>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</si>
  <si>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</si>
  <si>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</si>
  <si>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</si>
  <si>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</si>
  <si>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</si>
  <si>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</si>
  <si>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</si>
  <si>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</si>
  <si>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</si>
  <si>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</si>
  <si>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</si>
  <si>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</si>
  <si>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</si>
  <si>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</si>
  <si>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</si>
  <si>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</si>
  <si>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</si>
  <si>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</si>
  <si>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</si>
  <si>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</si>
  <si>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</si>
  <si>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</si>
  <si>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</si>
  <si>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</si>
  <si>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</si>
  <si>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</si>
  <si>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</si>
  <si>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</si>
  <si>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</si>
  <si>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</si>
  <si>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</si>
  <si>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</si>
  <si>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</si>
  <si>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</si>
  <si>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</si>
  <si>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</si>
  <si>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</si>
  <si>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external corner flashing (two parts) – PREFA</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</si>
  <si>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</si>
  <si>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</si>
  <si>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</si>
  <si>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</si>
  <si>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</si>
  <si>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</si>
  <si>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</si>
  <si>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</si>
  <si>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</si>
  <si>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</si>
  <si>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</si>
  <si>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</si>
  <si>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</si>
  <si>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</si>
  <si>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</si>
  <si>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</si>
  <si>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</si>
  <si>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</si>
  <si>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</si>
  <si>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</si>
  <si>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</si>
  <si>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</si>
  <si>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</si>
  <si>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</si>
  <si>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</si>
  <si>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</si>
  <si>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</si>
  <si>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</si>
  <si>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</si>
  <si>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</si>
  <si>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</si>
  <si>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</si>
  <si>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</si>
  <si>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</si>
  <si>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</si>
  <si>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</si>
  <si>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</si>
  <si>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</si>
  <si>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</si>
  <si>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</si>
  <si>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</si>
  <si>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</si>
  <si>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</si>
  <si>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trasversale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</si>
  <si>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</si>
  <si>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</si>
  <si>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</si>
  <si>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</si>
  <si>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</si>
  <si>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</si>
  <si>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</si>
  <si>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</si>
  <si>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</si>
  <si>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</si>
  <si>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</si>
  <si>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</si>
  <si>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</si>
  <si>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</si>
  <si>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</si>
  <si>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</si>
  <si>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</si>
  <si>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</si>
  <si>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</si>
  <si>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</si>
  <si>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</si>
  <si>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</si>
  <si>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</si>
  <si>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</si>
  <si>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</si>
  <si>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</si>
  <si>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</si>
  <si>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</si>
  <si>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</si>
  <si>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</si>
  <si>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</si>
  <si>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</si>
  <si>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</si>
  <si>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</si>
  <si>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</si>
  <si>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</si>
  <si>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</si>
  <si>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</si>
  <si>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</si>
  <si>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</si>
  <si>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</si>
  <si>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</si>
  <si>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</si>
  <si>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</si>
  <si>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</si>
  <si>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</si>
  <si>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</si>
  <si>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</si>
  <si>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</si>
  <si>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</si>
  <si>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</si>
  <si>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</si>
  <si>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</si>
  <si>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</si>
  <si>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</si>
  <si>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</si>
  <si>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</si>
  <si>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</si>
  <si>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</si>
  <si>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</si>
  <si>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</si>
  <si>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</si>
  <si>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</si>
  <si>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</si>
  <si>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</si>
  <si>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</si>
  <si>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</si>
  <si>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</si>
  <si>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</si>
  <si>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</si>
  <si>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</si>
  <si>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</si>
  <si>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</si>
  <si>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</si>
  <si>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</si>
  <si>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</si>
  <si>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</si>
  <si>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</si>
  <si>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</si>
  <si>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</si>
  <si>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</si>
  <si>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</si>
  <si>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</si>
  <si>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vent pipe cover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</si>
  <si>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</si>
  <si>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</si>
  <si>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</si>
  <si>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</si>
  <si>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</si>
  <si>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prestupový prvok pre strešný panel R.16 a stešný panel FX.12, hladký,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</si>
  <si>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</si>
  <si>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</si>
  <si>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</si>
  <si>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</si>
  <si>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</si>
  <si>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</si>
  <si>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</si>
  <si>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vent pipe cover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</si>
  <si>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</si>
  <si>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</si>
  <si>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</si>
  <si>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</si>
  <si>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</si>
  <si>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</si>
  <si>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</si>
  <si>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</si>
  <si>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</si>
  <si>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</si>
  <si>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</si>
  <si>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</si>
  <si>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</si>
  <si>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vent pipe cover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</si>
  <si>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</si>
  <si>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</si>
  <si>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</si>
  <si>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</si>
  <si>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</si>
  <si>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</si>
  <si>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</si>
  <si>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</si>
  <si>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</si>
  <si>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</si>
  <si>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</si>
  <si>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</si>
  <si>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</si>
  <si>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vent pipe cover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</si>
  <si>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</si>
  <si>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</si>
  <si>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</si>
  <si>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</si>
  <si>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</si>
  <si>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</si>
  <si>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</si>
  <si>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</si>
  <si>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</si>
  <si>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</si>
  <si>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</si>
  <si>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</si>
  <si>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</si>
  <si>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vent pipe cover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</si>
  <si>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</si>
  <si>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</si>
  <si>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</si>
  <si>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</si>
  <si>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</si>
  <si>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</si>
  <si>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</si>
  <si>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</si>
  <si>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</si>
  <si>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</si>
  <si>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</si>
  <si>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</si>
  <si>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</si>
  <si>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</si>
  <si>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</si>
  <si>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</si>
  <si>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</si>
  <si>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</si>
  <si>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</si>
  <si>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</si>
  <si>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</si>
  <si>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</si>
  <si>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</si>
  <si>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</si>
  <si>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</si>
  <si>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</si>
  <si>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</si>
  <si>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</si>
  <si>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</si>
  <si>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</si>
  <si>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</si>
  <si>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</si>
  <si>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</si>
  <si>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</si>
  <si>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</si>
  <si>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</si>
  <si>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</si>
  <si>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</si>
  <si>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</si>
  <si>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</si>
  <si>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</si>
  <si>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</si>
  <si>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</si>
  <si>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</si>
  <si>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</si>
  <si>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</si>
  <si>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</si>
  <si>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</si>
  <si>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</si>
  <si>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</si>
  <si>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</si>
  <si>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</si>
  <si>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</si>
  <si>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</si>
  <si>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</si>
  <si>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</si>
  <si>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</si>
  <si>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</si>
  <si>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</si>
  <si>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</si>
  <si>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</si>
  <si>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</si>
  <si>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</si>
  <si>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</si>
  <si>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</si>
  <si>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</si>
  <si>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</si>
  <si>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</si>
  <si>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</si>
  <si>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</si>
  <si>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</si>
  <si>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</si>
  <si>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</si>
  <si>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</si>
  <si>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</si>
  <si>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</si>
  <si>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</si>
  <si>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</si>
  <si>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</si>
  <si>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</si>
  <si>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drip edge smooth</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</si>
  <si>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</si>
  <si>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</si>
  <si>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</si>
  <si>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</si>
  <si>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</si>
  <si>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</si>
  <si>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</si>
  <si>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</si>
  <si>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</si>
  <si>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</si>
  <si>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</si>
  <si>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</si>
  <si>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t>
  </si>
  <si>
    <t>Einlaufblech glatt (230 × 2.000 × 0,7 mm)</t>
  </si>
  <si>
    <t>eaves drip edge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</si>
  <si>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</si>
  <si>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</si>
  <si>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</si>
  <si>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</si>
  <si>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</si>
  <si>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</si>
  <si>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</si>
  <si>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</si>
  <si>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</si>
  <si>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</si>
  <si>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</si>
  <si>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Einlaufblech (glatt;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</si>
  <si>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</si>
  <si>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</si>
  <si>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</si>
  <si>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</si>
  <si>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</si>
  <si>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</si>
  <si>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</si>
  <si>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</si>
  <si>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</si>
  <si>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</si>
  <si>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</si>
  <si>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</si>
  <si>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</si>
  <si>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</si>
  <si>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</si>
  <si>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</si>
  <si>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</si>
  <si>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</si>
  <si>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</si>
  <si>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</si>
  <si>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</si>
  <si>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</si>
  <si>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</si>
  <si>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</si>
  <si>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</si>
  <si>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</si>
  <si>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</si>
  <si>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</si>
  <si>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</si>
  <si>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</si>
  <si>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</si>
  <si>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</si>
  <si>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</si>
  <si>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</si>
  <si>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</si>
  <si>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</si>
  <si>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</si>
  <si>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</si>
  <si>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</si>
  <si>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</si>
  <si>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</si>
  <si>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</si>
  <si>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</si>
  <si>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</si>
  <si>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</si>
  <si>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</si>
  <si>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</si>
  <si>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</si>
  <si>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</si>
  <si>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</si>
  <si>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</si>
  <si>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</si>
  <si>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</si>
  <si>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</si>
  <si>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</si>
  <si>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</si>
  <si>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</si>
  <si>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</si>
  <si>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</si>
  <si>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</si>
  <si>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</si>
  <si>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</si>
  <si>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</si>
  <si>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</si>
  <si>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</si>
  <si>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</si>
  <si>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</si>
  <si>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</si>
  <si>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</si>
  <si>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</si>
  <si>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</si>
  <si>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</si>
  <si>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</si>
  <si>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</si>
  <si>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</si>
  <si>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</si>
  <si>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</si>
  <si>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</si>
  <si>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</si>
  <si>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</si>
  <si>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</si>
  <si>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</si>
  <si>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</si>
  <si>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</si>
  <si>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</si>
  <si>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</si>
  <si>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</si>
  <si>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</si>
  <si>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</si>
  <si>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</si>
  <si>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</si>
  <si>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</si>
  <si>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</si>
  <si>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</si>
  <si>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</si>
  <si>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</si>
  <si>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</si>
  <si>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</si>
  <si>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</si>
  <si>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</si>
  <si>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</si>
  <si>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</si>
  <si>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</si>
  <si>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</si>
  <si>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</si>
  <si>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</si>
  <si>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</si>
  <si>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</si>
  <si>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</si>
  <si>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</si>
  <si>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</si>
  <si>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</si>
  <si>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</si>
  <si>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</si>
  <si>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</si>
  <si>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</si>
  <si>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</si>
  <si>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</si>
  <si>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</si>
  <si>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</si>
  <si>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</si>
  <si>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</si>
  <si>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</si>
  <si>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</si>
  <si>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</si>
  <si>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</si>
  <si>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</si>
  <si>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</si>
  <si>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</si>
  <si>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</si>
  <si>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</si>
  <si>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</si>
  <si>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</si>
  <si>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</si>
  <si>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</si>
  <si>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</si>
  <si>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</si>
  <si>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eaves apron strip</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</si>
  <si>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</si>
  <si>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</si>
  <si>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</si>
  <si>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</si>
  <si>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</si>
  <si>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</si>
  <si>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</si>
  <si>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</si>
  <si>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</si>
  <si>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</si>
  <si>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</si>
  <si>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</si>
  <si>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</si>
  <si>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</si>
  <si>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</si>
  <si>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</si>
  <si>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</si>
  <si>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</si>
  <si>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</si>
  <si>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</si>
  <si>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</si>
  <si>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</si>
  <si>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</si>
  <si>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</si>
  <si>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</si>
  <si>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</si>
  <si>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</si>
  <si>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</si>
  <si>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</si>
  <si>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</si>
  <si>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</si>
  <si>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</si>
  <si>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</si>
  <si>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</si>
  <si>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</si>
  <si>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</si>
  <si>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</si>
  <si>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</si>
  <si>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</si>
  <si>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</si>
  <si>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</si>
  <si>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</si>
  <si>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</si>
  <si>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</si>
  <si>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</si>
  <si>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</si>
  <si>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</si>
  <si>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</si>
  <si>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</si>
  <si>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</si>
  <si>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</si>
  <si>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</si>
  <si>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</si>
  <si>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</si>
  <si>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</si>
  <si>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</si>
  <si>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</si>
  <si>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</si>
  <si>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</si>
  <si>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</si>
  <si>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</si>
  <si>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</si>
  <si>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</si>
  <si>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</si>
  <si>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</si>
  <si>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</si>
  <si>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</si>
  <si>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</si>
  <si>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</si>
  <si>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</si>
  <si>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</si>
  <si>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</si>
  <si>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</si>
  <si>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</si>
  <si>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</si>
  <si>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</si>
  <si>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</si>
  <si>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</si>
  <si>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</si>
  <si>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</si>
  <si>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</si>
  <si>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</si>
  <si>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</si>
  <si>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</si>
  <si>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</si>
  <si>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</si>
  <si>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</si>
  <si>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</si>
  <si>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</si>
  <si>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</si>
  <si>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</si>
  <si>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</si>
  <si>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</si>
  <si>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</si>
  <si>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</si>
  <si>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</si>
  <si>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</si>
  <si>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</si>
  <si>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</si>
  <si>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</si>
  <si>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</si>
  <si>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</si>
  <si>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</si>
  <si>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</si>
  <si>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</si>
  <si>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Scaglia finale</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</si>
  <si>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</si>
  <si>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</si>
  <si>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</si>
  <si>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</si>
  <si>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</si>
  <si>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</si>
  <si>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</si>
  <si>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</si>
  <si>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</si>
  <si>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</si>
  <si>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</si>
  <si>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</si>
  <si>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Scaglia finale per Scaglia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</si>
  <si>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</si>
  <si>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</si>
  <si>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</si>
  <si>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</si>
  <si>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</si>
  <si>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</si>
  <si>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</si>
  <si>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</si>
  <si>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</si>
  <si>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</si>
  <si>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</si>
  <si>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</si>
  <si>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</si>
  <si>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Scaglia finale per Scaglia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</si>
  <si>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</si>
  <si>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</si>
  <si>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</si>
  <si>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</si>
  <si>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</si>
  <si>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</si>
  <si>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</si>
  <si>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</si>
  <si>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</si>
  <si>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</si>
  <si>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</si>
  <si>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</si>
  <si>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</si>
  <si>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</si>
  <si>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</si>
  <si>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</si>
  <si>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</si>
  <si>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</si>
  <si>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</si>
  <si>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</si>
  <si>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</si>
  <si>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</si>
  <si>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</si>
  <si>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</si>
  <si>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</si>
  <si>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</si>
  <si>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</si>
  <si>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</si>
  <si>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</si>
  <si>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</si>
  <si>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</si>
  <si>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</si>
  <si>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</si>
  <si>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</si>
  <si>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</si>
  <si>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</si>
  <si>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</si>
  <si>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</si>
  <si>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</si>
  <si>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</si>
  <si>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</si>
  <si>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</si>
  <si>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</si>
  <si>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</si>
  <si>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</si>
  <si>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</si>
  <si>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</si>
  <si>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</si>
  <si>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</si>
  <si>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</si>
  <si>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</si>
  <si>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</si>
  <si>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</si>
  <si>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</si>
  <si>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</si>
  <si>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</si>
  <si>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</si>
  <si>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</si>
  <si>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</si>
  <si>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</si>
  <si>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</si>
  <si>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</si>
  <si>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</si>
  <si>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</si>
  <si>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</si>
  <si>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</si>
  <si>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</si>
  <si>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</si>
  <si>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</si>
  <si>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</si>
  <si>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</si>
  <si>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</si>
  <si>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</si>
  <si>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</si>
  <si>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</si>
  <si>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</si>
  <si>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</si>
  <si>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</si>
  <si>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</si>
  <si>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</si>
  <si>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</si>
  <si>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</si>
  <si>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</si>
  <si>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</si>
  <si>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</si>
  <si>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</si>
  <si>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</si>
  <si>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</si>
  <si>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</si>
  <si>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</si>
  <si>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</si>
  <si>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</si>
  <si>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</si>
  <si>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</si>
  <si>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</si>
  <si>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</si>
  <si>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</si>
  <si>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</si>
  <si>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</si>
  <si>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</si>
  <si>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</si>
  <si>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</si>
  <si>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</si>
  <si>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</si>
  <si>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</si>
  <si>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</si>
  <si>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ventilation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</si>
  <si>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</si>
  <si>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</si>
  <si>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</si>
  <si>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</si>
  <si>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</si>
  <si>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</si>
  <si>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</si>
  <si>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</si>
  <si>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</si>
  <si>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</si>
  <si>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</si>
  <si>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</si>
  <si>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</si>
  <si>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ventilation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</si>
  <si>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</si>
  <si>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</si>
  <si>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</si>
  <si>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</si>
  <si>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</si>
  <si>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</si>
  <si>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</si>
  <si>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</si>
  <si>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</si>
  <si>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</si>
  <si>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</si>
  <si>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</si>
  <si>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</si>
  <si>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ventilation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</si>
  <si>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</si>
  <si>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</si>
  <si>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</si>
  <si>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</si>
  <si>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</si>
  <si>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</si>
  <si>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</si>
  <si>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</si>
  <si>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</si>
  <si>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</si>
  <si>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</si>
  <si>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</si>
  <si>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</si>
  <si>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ventilation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</si>
  <si>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</si>
  <si>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</si>
  <si>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</si>
  <si>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</si>
  <si>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</si>
  <si>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</si>
  <si>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</si>
  <si>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</si>
  <si>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</si>
  <si>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</si>
  <si>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</si>
  <si>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</si>
  <si>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</si>
  <si>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</si>
  <si>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</si>
  <si>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</si>
  <si>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</si>
  <si>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</si>
  <si>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</si>
  <si>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</si>
  <si>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</si>
  <si>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</si>
  <si>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</si>
  <si>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</si>
  <si>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</si>
  <si>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</si>
  <si>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</si>
  <si>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</si>
  <si>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</si>
  <si>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</si>
  <si>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</si>
  <si>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</si>
  <si>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</si>
  <si>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</si>
  <si>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</si>
  <si>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</si>
  <si>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</si>
  <si>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</si>
  <si>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</si>
  <si>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</si>
  <si>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</si>
  <si>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</si>
  <si>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</si>
  <si>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</si>
  <si>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</si>
  <si>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</si>
  <si>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</si>
  <si>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</si>
  <si>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</si>
  <si>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</si>
  <si>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</si>
  <si>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</si>
  <si>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</si>
  <si>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</si>
  <si>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</si>
  <si>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</si>
  <si>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</si>
  <si>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</si>
  <si>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</si>
  <si>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</si>
  <si>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</si>
  <si>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</si>
  <si>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</si>
  <si>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</si>
  <si>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</si>
  <si>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</si>
  <si>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</si>
  <si>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</si>
  <si>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</si>
  <si>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</si>
  <si>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</si>
  <si>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</si>
  <si>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</si>
  <si>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</si>
  <si>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</si>
  <si>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</si>
  <si>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</si>
  <si>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</si>
  <si>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</si>
  <si>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</si>
  <si>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</si>
  <si>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</si>
  <si>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</si>
  <si>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</si>
  <si>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</si>
  <si>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</si>
  <si>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</si>
  <si>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</si>
  <si>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</si>
  <si>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</si>
  <si>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</si>
  <si>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</si>
  <si>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</si>
  <si>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</si>
  <si>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</si>
  <si>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</si>
  <si>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</si>
  <si>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</si>
  <si>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</si>
  <si>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</si>
  <si>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</si>
  <si>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</si>
  <si>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</si>
  <si>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</si>
  <si>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</si>
  <si>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</si>
  <si>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</si>
  <si>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</si>
  <si>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</si>
  <si>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</si>
  <si>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</si>
  <si>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</si>
  <si>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</si>
  <si>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</si>
  <si>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</si>
  <si>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</si>
  <si>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</si>
  <si>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</si>
  <si>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</si>
  <si>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</si>
  <si>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</si>
  <si>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</si>
  <si>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</si>
  <si>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</si>
  <si>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</si>
  <si>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</si>
  <si>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</si>
  <si>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</si>
  <si>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</si>
  <si>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</si>
  <si>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</si>
  <si>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</si>
  <si>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</si>
  <si>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</si>
  <si>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</si>
  <si>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</si>
  <si>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</si>
  <si>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</si>
  <si>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</si>
  <si>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</si>
  <si>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</si>
  <si>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</si>
  <si>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</si>
  <si>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</si>
  <si>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</si>
  <si>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</si>
  <si>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</si>
  <si>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</si>
  <si>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</si>
  <si>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</si>
  <si>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</si>
  <si>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</si>
  <si>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</si>
  <si>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</si>
  <si>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</si>
  <si>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</si>
  <si>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</si>
  <si>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</si>
  <si>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</si>
  <si>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</si>
  <si>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</si>
  <si>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</si>
  <si>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</si>
  <si>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</si>
  <si>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</si>
  <si>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</si>
  <si>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</si>
  <si>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</si>
  <si>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</si>
  <si>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</si>
  <si>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</si>
  <si>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</si>
  <si>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</si>
  <si>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</si>
  <si>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</si>
  <si>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</si>
  <si>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</si>
  <si>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</si>
  <si>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</si>
  <si>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</si>
  <si>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</si>
  <si>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</si>
  <si>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</si>
  <si>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</si>
  <si>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</si>
  <si>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</si>
  <si>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</si>
  <si>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</si>
  <si>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</si>
  <si>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</si>
  <si>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</si>
  <si>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</si>
  <si>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</si>
  <si>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</si>
  <si>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</si>
  <si>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</si>
  <si>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</si>
  <si>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</si>
  <si>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</si>
  <si>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</si>
  <si>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</si>
  <si>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</si>
  <si>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</si>
  <si>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</si>
  <si>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</si>
  <si>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</si>
  <si>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</si>
  <si>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</si>
  <si>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</si>
  <si>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</si>
  <si>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</si>
  <si>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</si>
  <si>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</si>
  <si>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</si>
  <si>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</si>
  <si>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</si>
  <si>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</si>
  <si>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</si>
  <si>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</si>
  <si>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</si>
  <si>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</si>
  <si>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</si>
  <si>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</si>
  <si>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</si>
  <si>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</si>
  <si>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</si>
  <si>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</si>
  <si>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</si>
  <si>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</si>
  <si>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</si>
  <si>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</si>
  <si>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</si>
  <si>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</si>
  <si>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</si>
  <si>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</si>
  <si>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</si>
  <si>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</si>
  <si>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</si>
  <si>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</si>
  <si>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</si>
  <si>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</si>
  <si>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</si>
  <si>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</si>
  <si>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</si>
  <si>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</si>
  <si>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</si>
  <si>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</si>
  <si>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</si>
  <si>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</si>
  <si>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</si>
  <si>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</si>
  <si>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</si>
  <si>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</si>
  <si>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</si>
  <si>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</si>
  <si>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</si>
  <si>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</si>
  <si>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</si>
  <si>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</si>
  <si>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</si>
  <si>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</si>
  <si>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</si>
  <si>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</si>
  <si>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</si>
  <si>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</si>
  <si>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</si>
  <si>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</si>
  <si>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</si>
  <si>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FX.12 façade panel</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</si>
  <si>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</si>
  <si>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</si>
  <si>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</si>
  <si>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</si>
  <si>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</si>
  <si>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</si>
  <si>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</si>
  <si>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</si>
  <si>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</si>
  <si>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</si>
  <si>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</si>
  <si>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</si>
  <si>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</si>
  <si>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</si>
  <si>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</si>
  <si>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</si>
  <si>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</si>
  <si>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</si>
  <si>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</si>
  <si>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</si>
  <si>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</si>
  <si>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</si>
  <si>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</si>
  <si>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</si>
  <si>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</si>
  <si>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</si>
  <si>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</si>
  <si>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</si>
  <si>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</si>
  <si>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</si>
  <si>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</si>
  <si>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</si>
  <si>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</si>
  <si>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</si>
  <si>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</si>
  <si>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</si>
  <si>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</si>
  <si>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</si>
  <si>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</si>
  <si>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</si>
  <si>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</si>
  <si>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</si>
  <si>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</si>
  <si>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</si>
  <si>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</si>
  <si>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</si>
  <si>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</si>
  <si>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</si>
  <si>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</si>
  <si>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</si>
  <si>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</si>
  <si>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</si>
  <si>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</si>
  <si>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</si>
  <si>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</si>
  <si>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</si>
  <si>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</si>
  <si>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</si>
  <si>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</si>
  <si>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</si>
  <si>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</si>
  <si>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</si>
  <si>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</si>
  <si>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</si>
  <si>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</si>
  <si>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</si>
  <si>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</si>
  <si>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</si>
  <si>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</si>
  <si>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</si>
  <si>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</si>
  <si>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</si>
  <si>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</si>
  <si>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</si>
  <si>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Esecuzione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</si>
  <si>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</si>
  <si>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</si>
  <si>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</si>
  <si>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</si>
  <si>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</si>
  <si>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</si>
  <si>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</si>
  <si>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</si>
  <si>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</si>
  <si>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</si>
  <si>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</si>
  <si>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</si>
  <si>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</si>
  <si>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</si>
  <si>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Esecuzione colmo con displuvio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</si>
  <si>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</si>
  <si>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</si>
  <si>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</si>
  <si>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</si>
  <si>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</si>
  <si>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</si>
  <si>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</si>
  <si>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</si>
  <si>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</si>
  <si>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</si>
  <si>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</si>
  <si>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</si>
  <si>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</si>
  <si>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Esecuzione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</si>
  <si>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</si>
  <si>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</si>
  <si>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</si>
  <si>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</si>
  <si>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</si>
  <si>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</si>
  <si>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</si>
  <si>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</si>
  <si>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</si>
  <si>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</si>
  <si>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</si>
  <si>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</si>
  <si>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</si>
  <si>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</si>
  <si>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</si>
  <si>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</si>
  <si>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</si>
  <si>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</si>
  <si>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</si>
  <si>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</si>
  <si>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</si>
  <si>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</si>
  <si>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</si>
  <si>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</si>
  <si>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</si>
  <si>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</si>
  <si>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</si>
  <si>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</si>
  <si>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</si>
  <si>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</si>
  <si>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</si>
  <si>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</si>
  <si>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</si>
  <si>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</si>
  <si>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</si>
  <si>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</si>
  <si>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</si>
  <si>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</si>
  <si>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</si>
  <si>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</si>
  <si>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</si>
  <si>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</si>
  <si>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</si>
  <si>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</si>
  <si>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</si>
  <si>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</si>
  <si>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</si>
  <si>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</si>
  <si>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</si>
  <si>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</si>
  <si>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</si>
  <si>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</si>
  <si>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</si>
  <si>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</si>
  <si>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</si>
  <si>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</si>
  <si>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</si>
  <si>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</si>
  <si>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</si>
  <si>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</si>
  <si>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</si>
  <si>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</si>
  <si>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</si>
  <si>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</si>
  <si>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</si>
  <si>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</si>
  <si>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</si>
  <si>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</si>
  <si>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</si>
  <si>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</si>
  <si>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</si>
  <si>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</si>
  <si>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</si>
  <si>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</si>
  <si>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</si>
  <si>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</si>
  <si>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</si>
  <si>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</si>
  <si>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</si>
  <si>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</si>
  <si>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</si>
  <si>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</si>
  <si>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</si>
  <si>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</si>
  <si>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</si>
  <si>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</si>
  <si>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</si>
  <si>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</si>
  <si>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</si>
  <si>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</si>
  <si>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</si>
  <si>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</si>
  <si>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</si>
  <si>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</si>
  <si>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</si>
  <si>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</si>
  <si>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</si>
  <si>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</si>
  <si>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</si>
  <si>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</si>
  <si>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</si>
  <si>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</si>
  <si>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</si>
  <si>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</si>
  <si>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</si>
  <si>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</si>
  <si>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</si>
  <si>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</si>
  <si>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</si>
  <si>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</si>
  <si>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</si>
  <si>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</si>
  <si>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</si>
  <si>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</si>
  <si>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</si>
  <si>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</si>
  <si>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</si>
  <si>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</si>
  <si>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</si>
  <si>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</si>
  <si>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</si>
  <si>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</si>
  <si>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</si>
  <si>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</si>
  <si>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</si>
  <si>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</si>
  <si>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</si>
  <si>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</si>
  <si>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</si>
  <si>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</si>
  <si>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</si>
  <si>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</si>
  <si>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</si>
  <si>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</si>
  <si>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</si>
  <si>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</si>
  <si>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</si>
  <si>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</si>
  <si>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</si>
  <si>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</si>
  <si>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</si>
  <si>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</si>
  <si>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</si>
  <si>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</si>
  <si>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</si>
  <si>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</si>
  <si>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</si>
  <si>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</si>
  <si>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</si>
  <si>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</si>
  <si>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</si>
  <si>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</si>
  <si>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</si>
  <si>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</si>
  <si>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</si>
  <si>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</si>
  <si>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</si>
  <si>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</si>
  <si>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</si>
  <si>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</si>
  <si>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</si>
  <si>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</si>
  <si>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</si>
  <si>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</si>
  <si>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</si>
  <si>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</si>
  <si>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</si>
  <si>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</si>
  <si>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</si>
  <si>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</si>
  <si>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</si>
  <si>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</si>
  <si>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</si>
  <si>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</si>
  <si>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</si>
  <si>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</si>
  <si>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</si>
  <si>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</si>
  <si>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</si>
  <si>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</si>
  <si>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</si>
  <si>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</si>
  <si>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</si>
  <si>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</si>
  <si>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</si>
  <si>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</si>
  <si>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</si>
  <si>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</si>
  <si>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</si>
  <si>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</si>
  <si>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</si>
  <si>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</si>
  <si>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</si>
  <si>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</si>
  <si>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</si>
  <si>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</si>
  <si>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</si>
  <si>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</si>
  <si>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</si>
  <si>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</si>
  <si>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</si>
  <si>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</si>
  <si>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</si>
  <si>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</si>
  <si>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</si>
  <si>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</si>
  <si>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</si>
  <si>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</si>
  <si>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</si>
  <si>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</si>
  <si>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</si>
  <si>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</si>
  <si>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</si>
  <si>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</si>
  <si>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</si>
  <si>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</si>
  <si>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</si>
  <si>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</si>
  <si>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</si>
  <si>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</si>
  <si>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</si>
  <si>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</si>
  <si>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</si>
  <si>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</si>
  <si>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</si>
  <si>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</si>
  <si>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</si>
  <si>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</si>
  <si>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</si>
  <si>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</si>
  <si>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</si>
  <si>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</si>
  <si>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</si>
  <si>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</si>
  <si>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</si>
  <si>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</si>
  <si>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</si>
  <si>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</si>
  <si>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</si>
  <si>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</si>
  <si>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</si>
  <si>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</si>
  <si>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</si>
  <si>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</si>
  <si>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</si>
  <si>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</si>
  <si>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</si>
  <si>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</si>
  <si>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</si>
  <si>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</si>
  <si>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</si>
  <si>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</si>
  <si>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</si>
  <si>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</si>
  <si>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</si>
  <si>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</si>
  <si>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</si>
  <si>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</si>
  <si>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</si>
  <si>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</si>
  <si>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</si>
  <si>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</si>
  <si>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</si>
  <si>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</si>
  <si>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</si>
  <si>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</si>
  <si>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</si>
  <si>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</si>
  <si>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</si>
  <si>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</si>
  <si>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</si>
  <si>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</si>
  <si>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</si>
  <si>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</si>
  <si>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</si>
  <si>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</si>
  <si>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</si>
  <si>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</si>
  <si>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</si>
  <si>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</si>
  <si>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</si>
  <si>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</si>
  <si>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</si>
  <si>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</si>
  <si>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</si>
  <si>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</si>
  <si>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</si>
  <si>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</si>
  <si>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</si>
  <si>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</si>
  <si>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</si>
  <si>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</si>
  <si>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</si>
  <si>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</si>
  <si>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</si>
  <si>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</si>
  <si>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</si>
  <si>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</si>
  <si>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</si>
  <si>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</si>
  <si>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</si>
  <si>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</si>
  <si>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</si>
  <si>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</si>
  <si>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</si>
  <si>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</si>
  <si>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</si>
  <si>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</si>
  <si>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</si>
  <si>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</si>
  <si>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</si>
  <si>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</si>
  <si>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</si>
  <si>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</si>
  <si>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</si>
  <si>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</si>
  <si>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</si>
  <si>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</si>
  <si>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</si>
  <si>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</si>
  <si>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</si>
  <si>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</si>
  <si>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</si>
  <si>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</si>
  <si>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</si>
  <si>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</si>
  <si>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</si>
  <si>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</si>
  <si>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</si>
  <si>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</si>
  <si>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</si>
  <si>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</si>
  <si>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</si>
  <si>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</si>
  <si>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</si>
  <si>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</si>
  <si>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</si>
  <si>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</si>
  <si>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</si>
  <si>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</si>
  <si>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</si>
  <si>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</si>
  <si>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</si>
  <si>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</si>
  <si>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</si>
  <si>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</si>
  <si>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</si>
  <si>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</si>
  <si>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</si>
  <si>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</si>
  <si>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</si>
  <si>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</si>
  <si>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</si>
  <si>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</si>
  <si>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</si>
  <si>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</si>
  <si>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</si>
  <si>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</si>
  <si>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</si>
  <si>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</si>
  <si>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</si>
  <si>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</si>
  <si>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</si>
  <si>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</si>
  <si>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Sistema fermaneve con legno tondo</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</si>
  <si>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</si>
  <si>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</si>
  <si>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</si>
  <si>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</si>
  <si>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</si>
  <si>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</si>
  <si>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</si>
  <si>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</si>
  <si>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</si>
  <si>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</si>
  <si>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</si>
  <si>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</si>
  <si>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</si>
  <si>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</si>
  <si>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</si>
  <si>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</si>
  <si>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</si>
  <si>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</si>
  <si>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</si>
  <si>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</si>
  <si>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</si>
  <si>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</si>
  <si>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</si>
  <si>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</si>
  <si>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</si>
  <si>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</si>
  <si>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Esecuzione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</si>
  <si>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</si>
  <si>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</si>
  <si>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</si>
  <si>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</si>
  <si>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</si>
  <si>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</si>
  <si>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</si>
  <si>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</si>
  <si>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</si>
  <si>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</si>
  <si>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</si>
  <si>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</si>
  <si>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</si>
  <si>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Esecuzione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</si>
  <si>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</si>
  <si>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</si>
  <si>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</si>
  <si>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</si>
  <si>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</si>
  <si>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</si>
  <si>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</si>
  <si>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</si>
  <si>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</si>
  <si>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</si>
  <si>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</si>
  <si>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</si>
  <si>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</si>
  <si>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</si>
  <si>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</si>
  <si>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</si>
  <si>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</si>
  <si>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</si>
  <si>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</si>
  <si>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</si>
  <si>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</si>
  <si>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</si>
  <si>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</si>
  <si>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</si>
  <si>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</si>
  <si>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</si>
  <si>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</si>
  <si>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</si>
  <si>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</si>
  <si>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</si>
  <si>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</si>
  <si>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</si>
  <si>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</si>
  <si>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</si>
  <si>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</si>
  <si>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</si>
  <si>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</si>
  <si>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</si>
  <si>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</si>
  <si>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</si>
  <si>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</si>
  <si>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</si>
  <si>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</si>
  <si>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</si>
  <si>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</si>
  <si>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</si>
  <si>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</si>
  <si>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</si>
  <si>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</si>
  <si>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</si>
  <si>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</si>
  <si>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</si>
  <si>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</si>
  <si>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</si>
  <si>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</si>
  <si>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</si>
  <si>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</si>
  <si>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</si>
  <si>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</si>
  <si>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</si>
  <si>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</si>
  <si>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</si>
  <si>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</si>
  <si>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</si>
  <si>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</si>
  <si>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</si>
  <si>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</si>
  <si>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</si>
  <si>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</si>
  <si>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</si>
  <si>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</si>
  <si>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</si>
  <si>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</si>
  <si>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</si>
  <si>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</si>
  <si>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</si>
  <si>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</si>
  <si>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</si>
  <si>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</si>
  <si>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</si>
  <si>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</si>
  <si>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</si>
  <si>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</si>
  <si>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</si>
  <si>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</si>
  <si>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</si>
  <si>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</si>
  <si>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</si>
  <si>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</si>
  <si>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</si>
  <si>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</si>
  <si>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</si>
  <si>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</si>
  <si>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</si>
  <si>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</si>
  <si>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</si>
  <si>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</si>
  <si>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</si>
  <si>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</si>
  <si>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</si>
  <si>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</si>
  <si>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</si>
  <si>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</si>
  <si>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</si>
  <si>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</si>
  <si>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</si>
  <si>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</si>
  <si>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</si>
  <si>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</si>
  <si>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</si>
  <si>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</si>
  <si>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</si>
  <si>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</si>
  <si>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</si>
  <si>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</si>
  <si>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</si>
  <si>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</si>
  <si>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</si>
  <si>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</si>
  <si>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</si>
  <si>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</si>
  <si>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</si>
  <si>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</si>
  <si>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</si>
  <si>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</si>
  <si>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</si>
  <si>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</si>
  <si>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</si>
  <si>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</si>
  <si>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</si>
  <si>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</si>
  <si>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</si>
  <si>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</si>
  <si>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</si>
  <si>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</si>
  <si>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</si>
  <si>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</si>
  <si>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</si>
  <si>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</si>
  <si>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</si>
  <si>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</si>
  <si>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</si>
  <si>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</si>
  <si>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</si>
  <si>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</si>
  <si>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</si>
  <si>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</si>
  <si>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</si>
  <si>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</si>
  <si>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</si>
  <si>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</si>
  <si>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</si>
  <si>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</si>
  <si>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</si>
  <si>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</si>
  <si>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</si>
  <si>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</si>
  <si>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</si>
  <si>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</si>
  <si>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</si>
  <si>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</si>
  <si>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</si>
  <si>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</si>
  <si>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</si>
  <si>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</si>
  <si>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</si>
  <si>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</si>
  <si>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</si>
  <si>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</si>
  <si>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</si>
  <si>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</si>
  <si>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</si>
  <si>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</si>
  <si>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</si>
  <si>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</si>
  <si>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</si>
  <si>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</si>
  <si>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</si>
  <si>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</si>
  <si>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</si>
  <si>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</si>
  <si>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</si>
  <si>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</si>
  <si>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</si>
  <si>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</si>
  <si>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</si>
  <si>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</si>
  <si>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</si>
  <si>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</si>
  <si>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</si>
  <si>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</si>
  <si>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</si>
  <si>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</si>
  <si>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</si>
  <si>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</si>
  <si>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</si>
  <si>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</si>
  <si>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</si>
  <si>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</si>
  <si>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</si>
  <si>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</si>
  <si>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</si>
  <si>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</si>
  <si>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</si>
  <si>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</si>
  <si>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</si>
  <si>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</si>
  <si>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</si>
  <si>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</si>
  <si>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</si>
  <si>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</si>
  <si>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</si>
  <si>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</si>
  <si>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gumitömítés 110 mm-es PVC csőhöz</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</si>
  <si>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</si>
  <si>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</si>
  <si>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</si>
  <si>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</si>
  <si>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</si>
  <si>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</si>
  <si>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</si>
  <si>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</si>
  <si>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</si>
  <si>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</si>
  <si>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</si>
  <si>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</si>
  <si>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</si>
  <si>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</si>
  <si>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</si>
  <si>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</si>
  <si>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</si>
  <si>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</si>
  <si>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</si>
  <si>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</si>
  <si>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</si>
  <si>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</si>
  <si>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</si>
  <si>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</si>
  <si>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</si>
  <si>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</si>
  <si>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</si>
  <si>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</si>
  <si>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</si>
  <si>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</si>
  <si>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</si>
  <si>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</si>
  <si>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</si>
  <si>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</si>
  <si>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</si>
  <si>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</si>
  <si>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</si>
  <si>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</si>
  <si>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</si>
  <si>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</si>
  <si>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</si>
  <si>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</si>
  <si>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</si>
  <si>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</si>
  <si>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</si>
  <si>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</si>
  <si>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</si>
  <si>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</si>
  <si>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</si>
  <si>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</si>
  <si>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</si>
  <si>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</si>
  <si>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</si>
  <si>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</si>
  <si>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</si>
  <si>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</si>
  <si>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</si>
  <si>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</si>
  <si>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</si>
  <si>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</si>
  <si>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</si>
  <si>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</si>
  <si>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</si>
  <si>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</si>
  <si>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</si>
  <si>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</si>
  <si>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</si>
  <si>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</si>
  <si>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</si>
  <si>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</si>
  <si>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</si>
  <si>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</si>
  <si>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</si>
  <si>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</si>
  <si>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</si>
  <si>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</si>
  <si>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</si>
  <si>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</si>
  <si>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</si>
  <si>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</si>
  <si>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</si>
  <si>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</si>
  <si>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</si>
  <si>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</si>
  <si>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</si>
  <si>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</si>
  <si>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</si>
  <si>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</si>
  <si>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</si>
  <si>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</si>
  <si>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</si>
  <si>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</si>
  <si>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</si>
  <si>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</si>
  <si>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</si>
  <si>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</si>
  <si>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</si>
  <si>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</si>
  <si>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</si>
  <si>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</si>
  <si>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</si>
  <si>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</si>
  <si>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</si>
  <si>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</si>
  <si>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</si>
  <si>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</si>
  <si>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</si>
  <si>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</si>
  <si>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</si>
  <si>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</si>
  <si>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</si>
  <si>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</si>
  <si>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</si>
  <si>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</si>
  <si>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</si>
  <si>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</si>
  <si>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</si>
  <si>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</si>
  <si>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</si>
  <si>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</si>
  <si>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</si>
  <si>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</si>
  <si>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</si>
  <si>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</si>
  <si>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</si>
  <si>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</si>
  <si>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</si>
  <si>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</si>
  <si>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</si>
  <si>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</si>
  <si>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</si>
  <si>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</si>
  <si>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</si>
  <si>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</si>
  <si>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</si>
  <si>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</si>
  <si>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</si>
  <si>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</si>
  <si>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</si>
  <si>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</si>
  <si>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</si>
  <si>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</si>
  <si>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</si>
  <si>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</si>
  <si>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</si>
  <si>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</si>
  <si>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half-round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</si>
  <si>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</si>
  <si>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</si>
  <si>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</si>
  <si>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</si>
  <si>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</si>
  <si>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</si>
  <si>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</si>
  <si>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</si>
  <si>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</si>
  <si>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</si>
  <si>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</si>
  <si>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</si>
  <si>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</si>
  <si>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half-round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</si>
  <si>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</si>
  <si>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</si>
  <si>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</si>
  <si>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</si>
  <si>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</si>
  <si>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</si>
  <si>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</si>
  <si>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</si>
  <si>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</si>
  <si>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</si>
  <si>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</si>
  <si>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</si>
  <si>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</si>
  <si>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</si>
  <si>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</si>
  <si>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</si>
  <si>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</si>
  <si>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</si>
  <si>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</si>
  <si>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</si>
  <si>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</si>
  <si>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</si>
  <si>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</si>
  <si>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</si>
  <si>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</si>
  <si>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</si>
  <si>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</si>
  <si>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</si>
  <si>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</si>
  <si>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</si>
  <si>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</si>
  <si>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</si>
  <si>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</si>
  <si>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</si>
  <si>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</si>
  <si>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</si>
  <si>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</si>
  <si>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</si>
  <si>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</si>
  <si>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</si>
  <si>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</si>
  <si>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</si>
  <si>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</si>
  <si>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</si>
  <si>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</si>
  <si>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</si>
  <si>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</si>
  <si>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</si>
  <si>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</si>
  <si>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</si>
  <si>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</si>
  <si>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</si>
  <si>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</si>
  <si>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</si>
  <si>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</si>
  <si>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</si>
  <si>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</si>
  <si>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</si>
  <si>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</si>
  <si>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</si>
  <si>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</si>
  <si>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</si>
  <si>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</si>
  <si>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</si>
  <si>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</si>
  <si>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</si>
  <si>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</si>
  <si>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</si>
  <si>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</si>
  <si>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</si>
  <si>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</si>
  <si>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</si>
  <si>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</si>
  <si>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</si>
  <si>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</si>
  <si>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</si>
  <si>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</si>
  <si>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</si>
  <si>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</si>
  <si>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</si>
  <si>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</si>
  <si>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</si>
  <si>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</si>
  <si>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</si>
  <si>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</si>
  <si>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</si>
  <si>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</si>
  <si>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</si>
  <si>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</si>
  <si>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</si>
  <si>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</si>
  <si>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</si>
  <si>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</si>
  <si>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</si>
  <si>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</si>
  <si>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</si>
  <si>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</si>
  <si>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</si>
  <si>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</si>
  <si>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</si>
  <si>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</si>
  <si>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</si>
  <si>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</si>
  <si>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</si>
  <si>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</si>
  <si>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</si>
  <si>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</si>
  <si>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</si>
  <si>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</si>
  <si>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</si>
  <si>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</si>
  <si>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</si>
  <si>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</si>
  <si>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</si>
  <si>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</si>
  <si>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</si>
  <si>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</si>
  <si>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</si>
  <si>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</si>
  <si>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</si>
  <si>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</si>
  <si>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</si>
  <si>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</si>
  <si>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</si>
  <si>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</si>
  <si>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</si>
  <si>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</si>
  <si>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</si>
  <si>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</si>
  <si>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</si>
  <si>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</si>
  <si>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</si>
  <si>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</si>
  <si>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</si>
  <si>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</si>
  <si>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</si>
  <si>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</si>
  <si>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</si>
  <si>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</si>
  <si>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</si>
  <si>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</si>
  <si>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</si>
  <si>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</si>
  <si>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</si>
  <si>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</si>
  <si>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</si>
  <si>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</si>
  <si>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</si>
  <si>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</si>
  <si>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</si>
  <si>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</si>
  <si>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</si>
  <si>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</si>
  <si>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</si>
  <si>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</si>
  <si>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</si>
  <si>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</si>
  <si>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</si>
  <si>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</si>
  <si>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</si>
  <si>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</si>
  <si>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</si>
  <si>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</si>
  <si>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</si>
  <si>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</si>
  <si>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</si>
  <si>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</si>
  <si>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</si>
  <si>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</si>
  <si>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</si>
  <si>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</si>
  <si>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</si>
  <si>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</si>
  <si>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</si>
  <si>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</si>
  <si>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</si>
  <si>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</si>
  <si>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</si>
  <si>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</si>
  <si>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</si>
  <si>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</si>
  <si>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</si>
  <si>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Sezione orizzontale - Spalletta della finestra</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</si>
  <si>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</si>
  <si>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</si>
  <si>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</si>
  <si>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</si>
  <si>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</si>
  <si>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</si>
  <si>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</si>
  <si>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</si>
  <si>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</si>
  <si>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</si>
  <si>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</si>
  <si>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</si>
  <si>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</si>
  <si>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Sezione orizzontale - Spalletta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</si>
  <si>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</si>
  <si>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</si>
  <si>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</si>
  <si>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</si>
  <si>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</si>
  <si>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</si>
  <si>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</si>
  <si>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</si>
  <si>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</si>
  <si>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</si>
  <si>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</si>
  <si>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</si>
  <si>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</si>
  <si>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Spalletta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</si>
  <si>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</si>
  <si>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</si>
  <si>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</si>
  <si>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</si>
  <si>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</si>
  <si>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</si>
  <si>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</si>
  <si>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</si>
  <si>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</si>
  <si>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</si>
  <si>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</si>
  <si>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</si>
  <si>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</si>
  <si>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Spalletta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</si>
  <si>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</si>
  <si>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</si>
  <si>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</si>
  <si>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</si>
  <si>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</si>
  <si>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</si>
  <si>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</si>
  <si>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</si>
  <si>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</si>
  <si>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</si>
  <si>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</si>
  <si>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</si>
  <si>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</si>
  <si>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</si>
  <si>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</si>
  <si>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</si>
  <si>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</si>
  <si>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</si>
  <si>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</si>
  <si>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</si>
  <si>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</si>
  <si>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</si>
  <si>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</si>
  <si>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</si>
  <si>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</si>
  <si>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</si>
  <si>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</si>
  <si>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</si>
  <si>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</si>
  <si>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</si>
  <si>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</si>
  <si>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</si>
  <si>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</si>
  <si>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</si>
  <si>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</si>
  <si>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</si>
  <si>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</si>
  <si>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</si>
  <si>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</si>
  <si>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</si>
  <si>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</si>
  <si>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</si>
  <si>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</si>
  <si>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</si>
  <si>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</si>
  <si>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</si>
  <si>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</si>
  <si>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</si>
  <si>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</si>
  <si>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</si>
  <si>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</si>
  <si>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</si>
  <si>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</si>
  <si>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</si>
  <si>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</si>
  <si>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</si>
  <si>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</si>
  <si>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</si>
  <si>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</si>
  <si>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</si>
  <si>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</si>
  <si>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</si>
  <si>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</si>
  <si>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</si>
  <si>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</si>
  <si>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</si>
  <si>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</si>
  <si>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</si>
  <si>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</si>
  <si>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</si>
  <si>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</si>
  <si>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</si>
  <si>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</si>
  <si>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</si>
  <si>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</si>
  <si>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</si>
  <si>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</si>
  <si>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</si>
  <si>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</si>
  <si>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</si>
  <si>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</si>
  <si>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</si>
  <si>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</si>
  <si>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</si>
  <si>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</si>
  <si>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</si>
  <si>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</si>
  <si>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</si>
  <si>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</si>
  <si>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</si>
  <si>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</si>
  <si>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</si>
  <si>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</si>
  <si>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</si>
  <si>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</si>
  <si>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</si>
  <si>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</si>
  <si>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</si>
  <si>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</si>
  <si>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</si>
  <si>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</si>
  <si>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</si>
  <si>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</si>
  <si>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</si>
  <si>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</si>
  <si>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</si>
  <si>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</si>
  <si>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</si>
  <si>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</si>
  <si>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</si>
  <si>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</si>
  <si>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</si>
  <si>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</si>
  <si>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</si>
  <si>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</si>
  <si>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</si>
  <si>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</si>
  <si>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</si>
  <si>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</si>
  <si>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</si>
  <si>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</si>
  <si>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</si>
  <si>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</si>
  <si>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</si>
  <si>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</si>
  <si>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</si>
  <si>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</si>
  <si>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</si>
  <si>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</si>
  <si>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</si>
  <si>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</si>
  <si>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</si>
  <si>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</si>
  <si>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</si>
  <si>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</si>
  <si>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</si>
  <si>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</si>
  <si>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</si>
  <si>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</si>
  <si>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</si>
  <si>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</si>
  <si>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</si>
  <si>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</si>
  <si>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</si>
  <si>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</si>
  <si>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</si>
  <si>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</si>
  <si>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</si>
  <si>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</si>
  <si>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</si>
  <si>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</si>
  <si>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</si>
  <si>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</si>
  <si>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</si>
  <si>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</si>
  <si>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</si>
  <si>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</si>
  <si>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</si>
  <si>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</si>
  <si>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</si>
  <si>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</si>
  <si>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</si>
  <si>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</si>
  <si>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</si>
  <si>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</si>
  <si>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</si>
  <si>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</si>
  <si>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</si>
  <si>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</si>
  <si>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</si>
  <si>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</si>
  <si>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</si>
  <si>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</si>
  <si>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</si>
  <si>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</si>
  <si>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</si>
  <si>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</si>
  <si>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</si>
  <si>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</si>
  <si>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</si>
  <si>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</si>
  <si>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</si>
  <si>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</si>
  <si>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</si>
  <si>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</si>
  <si>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</si>
  <si>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</si>
  <si>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</si>
  <si>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</si>
  <si>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</si>
  <si>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</si>
  <si>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piegato</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</si>
  <si>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</si>
  <si>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</si>
  <si>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</si>
  <si>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</si>
  <si>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</si>
  <si>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</si>
  <si>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</si>
  <si>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</si>
  <si>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</si>
  <si>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</si>
  <si>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</si>
  <si>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</si>
  <si>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</si>
  <si>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piegato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</si>
  <si>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</si>
  <si>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</si>
  <si>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</si>
  <si>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</si>
  <si>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</si>
  <si>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</si>
  <si>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</si>
  <si>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</si>
  <si>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</si>
  <si>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</si>
  <si>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</si>
  <si>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</si>
  <si>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</si>
  <si>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piegato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</si>
  <si>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</si>
  <si>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</si>
  <si>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</si>
  <si>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</si>
  <si>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</si>
  <si>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</si>
  <si>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</si>
  <si>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</si>
  <si>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</si>
  <si>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</si>
  <si>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</si>
  <si>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</si>
  <si>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</si>
  <si>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piegato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</si>
  <si>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</si>
  <si>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</si>
  <si>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</si>
  <si>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</si>
  <si>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</si>
  <si>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</si>
  <si>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</si>
  <si>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</si>
  <si>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</si>
  <si>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</si>
  <si>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</si>
  <si>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</si>
  <si>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</si>
  <si>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</si>
  <si>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</si>
  <si>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</si>
  <si>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</si>
  <si>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</si>
  <si>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</si>
  <si>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</si>
  <si>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</si>
  <si>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</si>
  <si>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</si>
  <si>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</si>
  <si>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</si>
  <si>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</si>
  <si>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</si>
  <si>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incassato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</si>
  <si>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</si>
  <si>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</si>
  <si>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</si>
  <si>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</si>
  <si>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</si>
  <si>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</si>
  <si>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</si>
  <si>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</si>
  <si>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</si>
  <si>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</si>
  <si>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</si>
  <si>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</si>
  <si>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</si>
  <si>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</si>
  <si>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</si>
  <si>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</si>
  <si>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</si>
  <si>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</si>
  <si>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</si>
  <si>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</si>
  <si>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</si>
  <si>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</si>
  <si>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</si>
  <si>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</si>
  <si>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</si>
  <si>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</si>
  <si>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</si>
  <si>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</si>
  <si>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</si>
  <si>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</si>
  <si>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</si>
  <si>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</si>
  <si>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</si>
  <si>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</si>
  <si>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</si>
  <si>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</si>
  <si>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</si>
  <si>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</si>
  <si>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</si>
  <si>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</si>
  <si>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</si>
  <si>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</si>
  <si>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</si>
  <si>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</si>
  <si>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</si>
  <si>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</si>
  <si>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</si>
  <si>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</si>
  <si>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</si>
  <si>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</si>
  <si>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</si>
  <si>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</si>
  <si>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</si>
  <si>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</si>
  <si>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</si>
  <si>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</si>
  <si>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</si>
  <si>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</si>
  <si>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</si>
  <si>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</si>
  <si>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</si>
  <si>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</si>
  <si>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</si>
  <si>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</si>
  <si>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</si>
  <si>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</si>
  <si>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</si>
  <si>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</si>
  <si>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</si>
  <si>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</si>
  <si>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</si>
  <si>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</si>
  <si>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</si>
  <si>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</si>
  <si>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</si>
  <si>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</si>
  <si>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</si>
  <si>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</si>
  <si>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</si>
  <si>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</si>
  <si>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</si>
  <si>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</si>
  <si>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</si>
  <si>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</si>
  <si>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</si>
  <si>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</si>
  <si>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</si>
  <si>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</si>
  <si>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</si>
  <si>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</si>
  <si>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</si>
  <si>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</si>
  <si>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</si>
  <si>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</si>
  <si>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</si>
  <si>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</si>
  <si>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</si>
  <si>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</si>
  <si>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</si>
  <si>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</si>
  <si>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</si>
  <si>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</si>
  <si>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</si>
  <si>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</si>
  <si>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</si>
  <si>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</si>
  <si>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</si>
  <si>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</si>
  <si>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</si>
  <si>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</si>
  <si>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</si>
  <si>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</si>
  <si>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</si>
  <si>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</si>
  <si>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</si>
  <si>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</si>
  <si>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</si>
  <si>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</si>
  <si>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</si>
  <si>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</si>
  <si>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</si>
  <si>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</si>
  <si>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</si>
  <si>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</si>
  <si>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</si>
  <si>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</si>
  <si>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</si>
  <si>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</si>
  <si>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</si>
  <si>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</si>
  <si>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</si>
  <si>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</si>
  <si>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</si>
  <si>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</si>
  <si>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</si>
  <si>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</si>
  <si>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</si>
  <si>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</si>
  <si>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</si>
  <si>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</si>
  <si>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</si>
  <si>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</si>
  <si>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</si>
  <si>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</si>
  <si>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</si>
  <si>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</si>
  <si>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</si>
  <si>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</si>
  <si>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</si>
  <si>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</si>
  <si>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</si>
  <si>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</si>
  <si>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</si>
  <si>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</si>
  <si>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</si>
  <si>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</si>
  <si>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</si>
  <si>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</si>
  <si>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</si>
  <si>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</si>
  <si>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</si>
  <si>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</si>
  <si>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</si>
  <si>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</si>
  <si>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</si>
  <si>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</si>
  <si>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</si>
  <si>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</si>
  <si>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</si>
  <si>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</si>
  <si>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</si>
  <si>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</si>
  <si>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</si>
  <si>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</si>
  <si>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</si>
  <si>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</si>
  <si>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</si>
  <si>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</si>
  <si>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</si>
  <si>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</si>
  <si>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</si>
  <si>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</si>
  <si>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</si>
  <si>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</si>
  <si>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</si>
  <si>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</si>
  <si>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</si>
  <si>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</si>
  <si>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</si>
  <si>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</si>
  <si>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</si>
  <si>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</si>
  <si>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</si>
  <si>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</si>
  <si>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</si>
  <si>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</si>
  <si>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</si>
  <si>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</si>
  <si>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</si>
  <si>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</si>
  <si>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</si>
  <si>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</si>
  <si>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</si>
  <si>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</si>
  <si>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</si>
  <si>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</si>
  <si>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</si>
  <si>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</si>
  <si>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</si>
  <si>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</si>
  <si>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</si>
  <si>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</si>
  <si>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</si>
  <si>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</si>
  <si>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</si>
  <si>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</si>
  <si>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</si>
  <si>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</si>
  <si>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</si>
  <si>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</si>
  <si>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</si>
  <si>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</si>
  <si>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</si>
  <si>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</si>
  <si>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</si>
  <si>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</si>
  <si>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</si>
  <si>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</si>
  <si>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</si>
  <si>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</si>
  <si>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</si>
  <si>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</si>
  <si>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</si>
  <si>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</si>
  <si>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</si>
  <si>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</si>
  <si>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</si>
  <si>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</si>
  <si>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</si>
  <si>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</si>
  <si>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</si>
  <si>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</si>
  <si>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</si>
  <si>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</si>
  <si>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</si>
  <si>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</si>
  <si>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</si>
  <si>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</si>
  <si>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</si>
  <si>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</si>
  <si>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</si>
  <si>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</si>
  <si>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</si>
  <si>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</si>
  <si>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</si>
  <si>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</si>
  <si>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</si>
  <si>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</si>
  <si>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</si>
  <si>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</si>
  <si>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</si>
  <si>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</si>
  <si>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</si>
  <si>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</si>
  <si>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</si>
  <si>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</si>
  <si>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</si>
  <si>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</si>
  <si>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</si>
  <si>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</si>
  <si>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</si>
  <si>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</si>
  <si>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</si>
  <si>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</si>
  <si>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</si>
  <si>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</si>
  <si>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</si>
  <si>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</si>
  <si>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</si>
  <si>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</si>
  <si>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</si>
  <si>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</si>
  <si>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</si>
  <si>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</si>
  <si>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</si>
  <si>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</si>
  <si>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</si>
  <si>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</si>
  <si>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</si>
  <si>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</si>
  <si>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</si>
  <si>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</si>
  <si>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</si>
  <si>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</si>
  <si>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</si>
  <si>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</si>
  <si>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</si>
  <si>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</si>
  <si>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</si>
  <si>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</si>
  <si>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</si>
  <si>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</si>
  <si>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</si>
  <si>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</si>
  <si>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</si>
  <si>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</si>
  <si>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</si>
  <si>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</si>
  <si>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</si>
  <si>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</si>
  <si>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</si>
  <si>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</si>
  <si>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</si>
  <si>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</si>
  <si>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</si>
  <si>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</si>
  <si>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</si>
  <si>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</si>
  <si>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</si>
  <si>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</si>
  <si>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</si>
  <si>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</si>
  <si>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</si>
  <si>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</si>
  <si>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</si>
  <si>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</si>
  <si>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</si>
  <si>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</si>
  <si>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</si>
  <si>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</si>
  <si>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</si>
  <si>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</si>
  <si>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</si>
  <si>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</si>
  <si>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</si>
  <si>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</si>
  <si>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</si>
  <si>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</si>
  <si>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</si>
  <si>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</si>
  <si>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</si>
  <si>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</si>
  <si>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</si>
  <si>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</si>
  <si>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</si>
  <si>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</si>
  <si>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</si>
  <si>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</si>
  <si>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</si>
  <si>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</si>
  <si>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</si>
  <si>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</si>
  <si>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</si>
  <si>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</si>
  <si>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</si>
  <si>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</si>
  <si>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</si>
  <si>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</si>
  <si>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</si>
  <si>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</si>
  <si>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</si>
  <si>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</si>
  <si>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</si>
  <si>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</si>
  <si>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</si>
  <si>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</si>
  <si>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</si>
  <si>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</si>
  <si>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</si>
  <si>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</si>
  <si>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</si>
  <si>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</si>
  <si>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</si>
  <si>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</si>
  <si>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</si>
  <si>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</si>
  <si>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</si>
  <si>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</si>
  <si>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</si>
  <si>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</si>
  <si>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</si>
  <si>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</si>
  <si>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</si>
  <si>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</si>
  <si>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</si>
  <si>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</si>
  <si>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</si>
  <si>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</si>
  <si>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</si>
  <si>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box gutter corner 90° (external)</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</si>
  <si>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</si>
  <si>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</si>
  <si>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</si>
  <si>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</si>
  <si>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</si>
  <si>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</si>
  <si>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</si>
  <si>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</si>
  <si>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</si>
  <si>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</si>
  <si>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</si>
  <si>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</si>
  <si>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</si>
  <si>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box gutter corner 90° (internal)</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</si>
  <si>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</si>
  <si>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</si>
  <si>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</si>
  <si>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</si>
  <si>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</si>
  <si>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</si>
  <si>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</si>
  <si>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</si>
  <si>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</si>
  <si>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</si>
  <si>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</si>
  <si>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</si>
  <si>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</si>
  <si>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</si>
  <si>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</si>
  <si>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</si>
  <si>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</si>
  <si>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</si>
  <si>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</si>
  <si>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</si>
  <si>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</si>
  <si>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</si>
  <si>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</si>
  <si>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</si>
  <si>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</si>
  <si>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</si>
  <si>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</si>
  <si>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</si>
  <si>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</si>
  <si>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</si>
  <si>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</si>
  <si>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</si>
  <si>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</si>
  <si>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</si>
  <si>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</si>
  <si>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</si>
  <si>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</si>
  <si>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</si>
  <si>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</si>
  <si>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</si>
  <si>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</si>
  <si>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</si>
  <si>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</si>
  <si>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</si>
  <si>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</si>
  <si>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</si>
  <si>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</si>
  <si>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</si>
  <si>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</si>
  <si>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</si>
  <si>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</si>
  <si>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</si>
  <si>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</si>
  <si>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</si>
  <si>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</si>
  <si>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</si>
  <si>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</si>
  <si>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</si>
  <si>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</si>
  <si>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</si>
  <si>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</si>
  <si>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</si>
  <si>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</si>
  <si>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</si>
  <si>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</si>
  <si>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</si>
  <si>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</si>
  <si>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</si>
  <si>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</si>
  <si>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</si>
  <si>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</si>
  <si>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</si>
  <si>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</si>
  <si>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</si>
  <si>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</si>
  <si>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</si>
  <si>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</si>
  <si>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</si>
  <si>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</si>
  <si>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</si>
  <si>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</si>
  <si>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</si>
  <si>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</si>
  <si>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</si>
  <si>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</si>
  <si>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</si>
  <si>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</si>
  <si>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</si>
  <si>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</si>
  <si>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</si>
  <si>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</si>
  <si>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</si>
  <si>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</si>
  <si>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</si>
  <si>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</si>
  <si>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</si>
  <si>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</si>
  <si>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</si>
  <si>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</si>
  <si>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</si>
  <si>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</si>
  <si>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</si>
  <si>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bonded vent pipe cover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</si>
  <si>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</si>
  <si>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</si>
  <si>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</si>
  <si>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</si>
  <si>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</si>
  <si>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</si>
  <si>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</si>
  <si>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</si>
  <si>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</si>
  <si>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</si>
  <si>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</si>
  <si>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</si>
  <si>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</si>
  <si>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bonded vent pipe cover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</si>
  <si>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</si>
  <si>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</si>
  <si>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</si>
  <si>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</si>
  <si>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</si>
  <si>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</si>
  <si>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</si>
  <si>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</si>
  <si>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</si>
  <si>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</si>
  <si>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</si>
  <si>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</si>
  <si>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</si>
  <si>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bonded vent pipe cover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</si>
  <si>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</si>
  <si>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</si>
  <si>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</si>
  <si>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</si>
  <si>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</si>
  <si>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</si>
  <si>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</si>
  <si>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</si>
  <si>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</si>
  <si>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</si>
  <si>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</si>
  <si>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</si>
  <si>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</si>
  <si>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bonded vent pipe cover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</si>
  <si>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</si>
  <si>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</si>
  <si>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</si>
  <si>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</si>
  <si>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</si>
  <si>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</si>
  <si>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</si>
  <si>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</si>
  <si>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</si>
  <si>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</si>
  <si>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</si>
  <si>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</si>
  <si>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</si>
  <si>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</si>
  <si>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</si>
  <si>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</si>
  <si>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</si>
  <si>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</si>
  <si>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</si>
  <si>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</si>
  <si>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</si>
  <si>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</si>
  <si>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</si>
  <si>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</si>
  <si>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</si>
  <si>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</si>
  <si>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</si>
  <si>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</si>
  <si>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</si>
  <si>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</si>
  <si>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</si>
  <si>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</si>
  <si>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</si>
  <si>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</si>
  <si>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</si>
  <si>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</si>
  <si>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</si>
  <si>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</si>
  <si>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</si>
  <si>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</si>
  <si>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</si>
  <si>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</si>
  <si>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</si>
  <si>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</si>
  <si>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</si>
  <si>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</si>
  <si>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</si>
  <si>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</si>
  <si>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</si>
  <si>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</si>
  <si>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</si>
  <si>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</si>
  <si>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</si>
  <si>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</si>
  <si>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</si>
  <si>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</si>
  <si>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</si>
  <si>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</si>
  <si>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</si>
  <si>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</si>
  <si>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</si>
  <si>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</si>
  <si>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</si>
  <si>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</si>
  <si>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</si>
  <si>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</si>
  <si>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</si>
  <si>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</si>
  <si>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</si>
  <si>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</si>
  <si>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</si>
  <si>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</si>
  <si>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</si>
  <si>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</si>
  <si>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</si>
  <si>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</si>
  <si>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</si>
  <si>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</si>
  <si>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</si>
  <si>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</si>
  <si>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</si>
  <si>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</si>
  <si>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</si>
  <si>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</si>
  <si>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</si>
  <si>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</si>
  <si>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</si>
  <si>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</si>
  <si>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</si>
  <si>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</si>
  <si>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</si>
  <si>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</si>
  <si>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</si>
  <si>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</si>
  <si>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</si>
  <si>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</si>
  <si>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</si>
  <si>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</si>
  <si>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</si>
  <si>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</si>
  <si>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</si>
  <si>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</si>
  <si>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</si>
  <si>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</si>
  <si>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</si>
  <si>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</si>
  <si>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</si>
  <si>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</si>
  <si>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</si>
  <si>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</si>
  <si>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</si>
  <si>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</si>
  <si>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</si>
  <si>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</si>
  <si>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</si>
  <si>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</si>
  <si>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</si>
  <si>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</si>
  <si>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</si>
  <si>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</si>
  <si>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</si>
  <si>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</si>
  <si>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</si>
  <si>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</si>
  <si>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</si>
  <si>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</si>
  <si>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</si>
  <si>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</si>
  <si>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</si>
  <si>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</si>
  <si>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</si>
  <si>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</si>
  <si>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</si>
  <si>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</si>
  <si>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</si>
  <si>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</si>
  <si>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</si>
  <si>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</si>
  <si>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</si>
  <si>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</si>
  <si>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</si>
  <si>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</si>
  <si>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</si>
  <si>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</si>
  <si>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</si>
  <si>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</si>
  <si>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</si>
  <si>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</si>
  <si>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</si>
  <si>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</si>
  <si>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</si>
  <si>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</si>
  <si>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</si>
  <si>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</si>
  <si>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</si>
  <si>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</si>
  <si>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</si>
  <si>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</si>
  <si>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</si>
  <si>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</si>
  <si>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</si>
  <si>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</si>
  <si>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</si>
  <si>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</si>
  <si>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</si>
  <si>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</si>
  <si>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</si>
  <si>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</si>
  <si>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</si>
  <si>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</si>
  <si>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</si>
  <si>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</si>
  <si>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</si>
  <si>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</si>
  <si>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</si>
  <si>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</si>
  <si>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</si>
  <si>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</si>
  <si>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</si>
  <si>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</si>
  <si>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</si>
  <si>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</si>
  <si>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</si>
  <si>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</si>
  <si>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</si>
  <si>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</si>
  <si>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</si>
  <si>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</si>
  <si>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</si>
  <si>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</si>
  <si>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</si>
  <si>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</si>
  <si>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</si>
  <si>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</si>
  <si>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</si>
  <si>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</si>
  <si>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</si>
  <si>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</si>
  <si>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</si>
  <si>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</si>
  <si>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</si>
  <si>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</si>
  <si>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</si>
  <si>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</si>
  <si>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</si>
  <si>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</si>
  <si>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</si>
  <si>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</si>
  <si>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</si>
  <si>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</si>
  <si>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</si>
  <si>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</si>
  <si>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</si>
  <si>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</si>
  <si>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</si>
  <si>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</si>
  <si>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</si>
  <si>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</si>
  <si>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</si>
  <si>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</si>
  <si>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</si>
  <si>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</si>
  <si>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</si>
  <si>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</si>
  <si>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</si>
  <si>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</si>
  <si>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</si>
  <si>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</si>
  <si>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</si>
  <si>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</si>
  <si>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</si>
  <si>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</si>
  <si>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</si>
  <si>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</si>
  <si>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</si>
  <si>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</si>
  <si>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</si>
  <si>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</si>
  <si>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</si>
  <si>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</si>
  <si>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</si>
  <si>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</si>
  <si>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</si>
  <si>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</si>
  <si>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</si>
  <si>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</si>
  <si>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</si>
  <si>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</si>
  <si>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</si>
  <si>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</si>
  <si>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</si>
  <si>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</si>
  <si>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</si>
  <si>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</si>
  <si>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</si>
  <si>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</si>
  <si>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</si>
  <si>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</si>
  <si>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</si>
  <si>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</si>
  <si>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</si>
  <si>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</si>
  <si>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</si>
  <si>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</si>
  <si>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</si>
  <si>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</si>
  <si>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</si>
  <si>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</si>
  <si>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</si>
  <si>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</si>
  <si>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</si>
  <si>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</si>
  <si>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</si>
  <si>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</si>
  <si>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</si>
  <si>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</si>
  <si>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</si>
  <si>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</si>
  <si>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</si>
  <si>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</si>
  <si>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</si>
  <si>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</si>
  <si>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</si>
  <si>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</si>
  <si>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</si>
  <si>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</si>
  <si>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</si>
  <si>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</si>
  <si>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</si>
  <si>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</si>
  <si>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</si>
  <si>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</si>
  <si>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</si>
  <si>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</si>
  <si>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</si>
  <si>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</si>
  <si>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</si>
  <si>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</si>
  <si>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</si>
  <si>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</si>
  <si>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</si>
  <si>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</si>
  <si>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</si>
  <si>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</si>
  <si>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</si>
  <si>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</si>
  <si>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</si>
  <si>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</si>
  <si>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</si>
  <si>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</si>
  <si>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</si>
  <si>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</si>
  <si>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</si>
  <si>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</si>
  <si>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</si>
  <si>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</si>
  <si>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</si>
  <si>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</si>
  <si>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</si>
  <si>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</si>
  <si>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</si>
  <si>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</si>
  <si>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</si>
  <si>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</si>
  <si>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</si>
  <si>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</si>
  <si>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</si>
  <si>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</si>
  <si>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</si>
  <si>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</si>
  <si>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</si>
  <si>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</si>
  <si>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</si>
  <si>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</si>
  <si>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</si>
  <si>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</si>
  <si>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</si>
  <si>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</si>
  <si>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</si>
  <si>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</si>
  <si>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</si>
  <si>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</si>
  <si>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</si>
  <si>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</si>
  <si>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</si>
  <si>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</si>
  <si>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</si>
  <si>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</si>
  <si>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</si>
  <si>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</si>
  <si>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</si>
  <si>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</si>
  <si>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</si>
  <si>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</si>
  <si>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</si>
  <si>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</si>
  <si>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</si>
  <si>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</si>
  <si>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</si>
  <si>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</si>
  <si>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</si>
  <si>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</si>
  <si>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</si>
  <si>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</si>
  <si>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</si>
  <si>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</si>
  <si>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</si>
  <si>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</si>
  <si>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</si>
  <si>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</si>
  <si>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</si>
  <si>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</si>
  <si>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</si>
  <si>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</si>
  <si>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</si>
  <si>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</si>
  <si>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</si>
  <si>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</si>
  <si>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</si>
  <si>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</si>
  <si>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</si>
  <si>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</si>
  <si>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</si>
  <si>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</si>
  <si>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</si>
  <si>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</si>
  <si>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</si>
  <si>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</si>
  <si>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</si>
  <si>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</si>
  <si>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</si>
  <si>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</si>
  <si>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</si>
  <si>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</si>
  <si>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</si>
  <si>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</si>
  <si>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</si>
  <si>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</si>
  <si>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</si>
  <si>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</si>
  <si>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</si>
  <si>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</si>
  <si>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</si>
  <si>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</si>
  <si>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</si>
  <si>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</si>
  <si>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</si>
  <si>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</si>
  <si>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</si>
  <si>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</si>
  <si>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</si>
  <si>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</si>
  <si>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</si>
  <si>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</si>
  <si>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</si>
  <si>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</si>
  <si>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</si>
  <si>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</si>
  <si>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</si>
  <si>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</si>
  <si>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</si>
  <si>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</si>
  <si>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</si>
  <si>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</si>
  <si>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</si>
  <si>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</si>
  <si>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</si>
  <si>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</si>
  <si>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</si>
  <si>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</si>
  <si>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</si>
  <si>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</si>
  <si>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</si>
  <si>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</si>
  <si>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</si>
  <si>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</si>
  <si>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</si>
  <si>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</si>
  <si>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</si>
  <si>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</si>
  <si>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</si>
  <si>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</si>
  <si>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</si>
  <si>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</si>
  <si>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</si>
  <si>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</si>
  <si>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</si>
  <si>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</si>
  <si>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</si>
  <si>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</si>
  <si>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</si>
  <si>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</si>
  <si>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</si>
  <si>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</si>
  <si>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</si>
  <si>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</si>
  <si>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</si>
  <si>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</si>
  <si>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</si>
  <si>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</si>
  <si>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</si>
  <si>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</si>
  <si>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</si>
  <si>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</si>
  <si>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</si>
  <si>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</si>
  <si>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</si>
  <si>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</si>
  <si>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</si>
  <si>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</si>
  <si>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</si>
  <si>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</si>
  <si>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</si>
  <si>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</si>
  <si>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</si>
  <si>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</si>
  <si>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</si>
  <si>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</si>
  <si>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</si>
  <si>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</si>
  <si>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</si>
  <si>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</si>
  <si>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</si>
  <si>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</si>
  <si>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</si>
  <si>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</si>
  <si>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</si>
  <si>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</si>
  <si>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</si>
  <si>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</si>
  <si>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</si>
  <si>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</si>
  <si>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</si>
  <si>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</si>
  <si>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</si>
  <si>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</si>
  <si>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</si>
  <si>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</si>
  <si>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</si>
  <si>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</si>
  <si>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</si>
  <si>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</si>
  <si>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</si>
  <si>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</si>
  <si>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</si>
  <si>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</si>
  <si>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</si>
  <si>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</si>
  <si>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</si>
  <si>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</si>
  <si>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</si>
  <si>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</si>
  <si>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</si>
  <si>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</si>
  <si>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</si>
  <si>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</si>
  <si>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</si>
  <si>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</si>
  <si>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</si>
  <si>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</si>
  <si>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</si>
  <si>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</si>
  <si>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</si>
  <si>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</si>
  <si>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</si>
  <si>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</si>
  <si>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</si>
  <si>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</si>
  <si>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</si>
  <si>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</si>
  <si>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</si>
  <si>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</si>
  <si>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</si>
  <si>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</si>
  <si>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</si>
  <si>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</si>
  <si>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</si>
  <si>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</si>
  <si>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</si>
  <si>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</si>
  <si>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</si>
  <si>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</si>
  <si>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</si>
  <si>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</si>
  <si>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</si>
  <si>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</si>
  <si>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</si>
  <si>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</si>
  <si>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</si>
  <si>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</si>
  <si>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</si>
  <si>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</si>
  <si>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</si>
  <si>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</si>
  <si>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</si>
  <si>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</si>
  <si>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</si>
  <si>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</si>
  <si>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</si>
  <si>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</si>
  <si>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</si>
  <si>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</si>
  <si>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</si>
  <si>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</si>
  <si>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</si>
  <si>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</si>
  <si>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</si>
  <si>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</si>
  <si>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</si>
  <si>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</si>
  <si>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</si>
  <si>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</si>
  <si>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</si>
  <si>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</si>
  <si>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</si>
  <si>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</si>
  <si>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</si>
  <si>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</si>
  <si>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</si>
  <si>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</si>
  <si>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</si>
  <si>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</si>
  <si>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</si>
  <si>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</si>
  <si>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</si>
  <si>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</si>
  <si>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</si>
  <si>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</si>
  <si>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</si>
  <si>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</si>
  <si>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</si>
  <si>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</si>
  <si>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</si>
  <si>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</si>
  <si>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</si>
  <si>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</si>
  <si>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</si>
  <si>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</si>
  <si>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</si>
  <si>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</si>
  <si>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</si>
  <si>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</si>
  <si>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</si>
  <si>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</si>
  <si>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</si>
  <si>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</si>
  <si>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</si>
  <si>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</si>
  <si>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</si>
  <si>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</si>
  <si>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</si>
  <si>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</si>
  <si>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</si>
  <si>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</si>
  <si>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</si>
  <si>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</si>
  <si>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</si>
  <si>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</si>
  <si>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</si>
  <si>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</si>
  <si>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</si>
  <si>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</si>
  <si>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</si>
  <si>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</si>
  <si>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</si>
  <si>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</si>
  <si>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</si>
  <si>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</si>
  <si>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</si>
  <si>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</si>
  <si>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</si>
  <si>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</si>
  <si>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</si>
  <si>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</si>
  <si>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</si>
  <si>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</si>
  <si>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</si>
  <si>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</si>
  <si>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</si>
  <si>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</si>
  <si>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</si>
  <si>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</si>
  <si>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</si>
  <si>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</si>
  <si>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</si>
  <si>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</si>
  <si>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</si>
  <si>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</si>
  <si>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</si>
  <si>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</si>
  <si>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</si>
  <si>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</si>
  <si>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</si>
  <si>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</si>
  <si>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</si>
  <si>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</si>
  <si>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</si>
  <si>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</si>
  <si>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</si>
  <si>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</si>
  <si>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</si>
  <si>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</si>
  <si>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</si>
  <si>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</si>
  <si>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</si>
  <si>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</si>
  <si>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</si>
  <si>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</si>
  <si>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</si>
  <si>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</si>
  <si>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</si>
  <si>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</si>
  <si>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M10-Gewindedorn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</si>
  <si>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</si>
  <si>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</si>
  <si>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</si>
  <si>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</si>
  <si>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</si>
  <si>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</si>
  <si>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</si>
  <si>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</si>
  <si>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</si>
  <si>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</si>
  <si>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</si>
  <si>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</si>
  <si>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</si>
  <si>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</si>
  <si>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</si>
  <si>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</si>
  <si>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</si>
  <si>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</si>
  <si>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</si>
  <si>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</si>
  <si>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</si>
  <si>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</si>
  <si>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</si>
  <si>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</si>
  <si>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</si>
  <si>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</si>
  <si>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</si>
  <si>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</si>
  <si>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</si>
  <si>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</si>
  <si>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</si>
  <si>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</si>
  <si>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</si>
  <si>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</si>
  <si>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</si>
  <si>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</si>
  <si>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</si>
  <si>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</si>
  <si>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</si>
  <si>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</si>
  <si>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</si>
  <si>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</si>
  <si>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</si>
  <si>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</si>
  <si>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</si>
  <si>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</si>
  <si>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</si>
  <si>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</si>
  <si>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</si>
  <si>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</si>
  <si>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</si>
  <si>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</si>
  <si>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</si>
  <si>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</si>
  <si>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</si>
  <si>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</si>
  <si>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</si>
  <si>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</si>
  <si>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</si>
  <si>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</si>
  <si>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</si>
  <si>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</si>
  <si>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</si>
  <si>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</si>
  <si>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</si>
  <si>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</si>
  <si>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</si>
  <si>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</si>
  <si>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</si>
  <si>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</si>
  <si>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</si>
  <si>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</si>
  <si>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</si>
  <si>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</si>
  <si>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</si>
  <si>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</si>
  <si>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</si>
  <si>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</si>
  <si>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</si>
  <si>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</si>
  <si>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</si>
  <si>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</si>
  <si>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</si>
  <si>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</si>
  <si>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</si>
  <si>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</si>
  <si>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</si>
  <si>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</si>
  <si>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</si>
  <si>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</si>
  <si>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</si>
  <si>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</si>
  <si>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</si>
  <si>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</si>
  <si>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</si>
  <si>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</si>
  <si>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</si>
  <si>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</si>
  <si>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</si>
  <si>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</si>
  <si>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</si>
  <si>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</si>
  <si>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</si>
  <si>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</si>
  <si>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</si>
  <si>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</si>
  <si>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</si>
  <si>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</si>
  <si>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</si>
  <si>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</si>
  <si>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</si>
  <si>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</si>
  <si>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</si>
  <si>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</si>
  <si>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</si>
  <si>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</si>
  <si>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</si>
  <si>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</si>
  <si>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</si>
  <si>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</si>
  <si>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</si>
  <si>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</si>
  <si>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</si>
  <si>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</si>
  <si>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</si>
  <si>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</si>
  <si>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</si>
  <si>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</si>
  <si>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</si>
  <si>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</si>
  <si>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</si>
  <si>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</si>
  <si>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</si>
  <si>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</si>
  <si>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</si>
  <si>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</si>
  <si>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</si>
  <si>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</si>
  <si>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</si>
  <si>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</si>
  <si>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</si>
  <si>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</si>
  <si>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</si>
  <si>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</si>
  <si>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</si>
  <si>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</si>
  <si>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</si>
  <si>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</si>
  <si>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</si>
  <si>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</si>
  <si>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</si>
  <si>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</si>
  <si>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</si>
  <si>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</si>
  <si>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</si>
  <si>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</si>
  <si>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</si>
  <si>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</si>
  <si>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</si>
  <si>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</si>
  <si>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</si>
  <si>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</si>
  <si>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</si>
  <si>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</si>
  <si>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</si>
  <si>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</si>
  <si>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</si>
  <si>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</si>
  <si>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</si>
  <si>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</si>
  <si>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</si>
  <si>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</si>
  <si>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</si>
  <si>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</si>
  <si>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</si>
  <si>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</si>
  <si>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</si>
  <si>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</si>
  <si>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</si>
  <si>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</si>
  <si>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</si>
  <si>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</si>
  <si>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</si>
  <si>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</si>
  <si>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</si>
  <si>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</si>
  <si>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</si>
  <si>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</si>
  <si>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</si>
  <si>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</si>
  <si>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</si>
  <si>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</si>
  <si>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</si>
  <si>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</si>
  <si>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</si>
  <si>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</si>
  <si>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</si>
  <si>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</si>
  <si>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</si>
  <si>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</si>
  <si>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</si>
  <si>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</si>
  <si>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</si>
  <si>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</si>
  <si>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</si>
  <si>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</si>
  <si>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</si>
  <si>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</si>
  <si>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</si>
  <si>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</si>
  <si>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</si>
  <si>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</si>
  <si>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</si>
  <si>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</si>
  <si>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</si>
  <si>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</si>
  <si>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</si>
  <si>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</si>
  <si>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</si>
  <si>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</si>
  <si>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</si>
  <si>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Quantità minima</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</si>
  <si>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</si>
  <si>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</si>
  <si>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</si>
  <si>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</si>
  <si>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</si>
  <si>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</si>
  <si>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</si>
  <si>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</si>
  <si>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</si>
  <si>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</si>
  <si>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</si>
  <si>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</si>
  <si>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</si>
  <si>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</si>
  <si>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</si>
  <si>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</si>
  <si>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</si>
  <si>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</si>
  <si>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</si>
  <si>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</si>
  <si>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</si>
  <si>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</si>
  <si>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</si>
  <si>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</si>
  <si>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</si>
  <si>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</si>
  <si>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</si>
  <si>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</si>
  <si>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</si>
  <si>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</si>
  <si>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</si>
  <si>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</si>
  <si>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</si>
  <si>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</si>
  <si>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</si>
  <si>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</si>
  <si>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</si>
  <si>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</si>
  <si>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</si>
  <si>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</si>
  <si>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</si>
  <si>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</si>
  <si>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</si>
  <si>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</si>
  <si>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</si>
  <si>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</si>
  <si>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</si>
  <si>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</si>
  <si>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</si>
  <si>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</si>
  <si>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</si>
  <si>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</si>
  <si>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</si>
  <si>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</si>
  <si>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</si>
  <si>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</si>
  <si>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</si>
  <si>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</si>
  <si>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</si>
  <si>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</si>
  <si>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</si>
  <si>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</si>
  <si>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</si>
  <si>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</si>
  <si>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</si>
  <si>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</si>
  <si>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</si>
  <si>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</si>
  <si>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</si>
  <si>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</si>
  <si>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</si>
  <si>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</si>
  <si>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</si>
  <si>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</si>
  <si>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</si>
  <si>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</si>
  <si>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</si>
  <si>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</si>
  <si>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</si>
  <si>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</si>
  <si>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</si>
  <si>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</si>
  <si>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</si>
  <si>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</si>
  <si>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</si>
  <si>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</si>
  <si>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</si>
  <si>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</si>
  <si>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</si>
  <si>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</si>
  <si>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</si>
  <si>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</si>
  <si>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</si>
  <si>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</si>
  <si>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</si>
  <si>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</si>
  <si>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</si>
  <si>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</si>
  <si>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</si>
  <si>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</si>
  <si>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</si>
  <si>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</si>
  <si>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</si>
  <si>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</si>
  <si>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</si>
  <si>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</si>
  <si>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</si>
  <si>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</si>
  <si>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</si>
  <si>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</si>
  <si>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</si>
  <si>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</si>
  <si>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</si>
  <si>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</si>
  <si>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</si>
  <si>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</si>
  <si>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</si>
  <si>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</si>
  <si>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</si>
  <si>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</si>
  <si>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</si>
  <si>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</si>
  <si>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</si>
  <si>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</si>
  <si>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</si>
  <si>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</si>
  <si>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</si>
  <si>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</si>
  <si>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</si>
  <si>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</si>
  <si>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</si>
  <si>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</si>
  <si>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</si>
  <si>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</si>
  <si>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</si>
  <si>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</si>
  <si>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</si>
  <si>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</si>
  <si>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</si>
  <si>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</si>
  <si>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</si>
  <si>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</si>
  <si>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</si>
  <si>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</si>
  <si>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</si>
  <si>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</si>
  <si>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</si>
  <si>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</si>
  <si>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</si>
  <si>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</si>
  <si>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</si>
  <si>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</si>
  <si>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</si>
  <si>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</si>
  <si>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</si>
  <si>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</si>
  <si>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</si>
  <si>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</si>
  <si>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</si>
  <si>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</si>
  <si>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</si>
  <si>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</si>
  <si>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</si>
  <si>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</si>
  <si>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</si>
  <si>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</si>
  <si>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</si>
  <si>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</si>
  <si>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</si>
  <si>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</si>
  <si>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</si>
  <si>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</si>
  <si>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</si>
  <si>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</si>
  <si>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</si>
  <si>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</si>
  <si>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</si>
  <si>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</si>
  <si>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</si>
  <si>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</si>
  <si>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</si>
  <si>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impermeabilizzazione punto chiodo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</si>
  <si>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</si>
  <si>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</si>
  <si>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</si>
  <si>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</si>
  <si>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</si>
  <si>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</si>
  <si>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</si>
  <si>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</si>
  <si>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</si>
  <si>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</si>
  <si>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</si>
  <si>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</si>
  <si>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</si>
  <si>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</si>
  <si>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</si>
  <si>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</si>
  <si>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</si>
  <si>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</si>
  <si>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</si>
  <si>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</si>
  <si>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</si>
  <si>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</si>
  <si>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</si>
  <si>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</si>
  <si>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</si>
  <si>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</si>
  <si>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</si>
  <si>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</si>
  <si>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</si>
  <si>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</si>
  <si>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</si>
  <si>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</si>
  <si>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</si>
  <si>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</si>
  <si>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</si>
  <si>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</si>
  <si>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</si>
  <si>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</si>
  <si>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</si>
  <si>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</si>
  <si>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</si>
  <si>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</si>
  <si>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</si>
  <si>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</si>
  <si>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</si>
  <si>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</si>
  <si>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</si>
  <si>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</si>
  <si>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</si>
  <si>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</si>
  <si>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</si>
  <si>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</si>
  <si>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</si>
  <si>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</si>
  <si>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</si>
  <si>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</si>
  <si>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</si>
  <si>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</si>
  <si>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</si>
  <si>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</si>
  <si>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</si>
  <si>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</si>
  <si>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</si>
  <si>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</si>
  <si>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</si>
  <si>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</si>
  <si>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</si>
  <si>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</si>
  <si>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</si>
  <si>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</si>
  <si>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</si>
  <si>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</si>
  <si>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</si>
  <si>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</si>
  <si>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</si>
  <si>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</si>
  <si>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</si>
  <si>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</si>
  <si>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</si>
  <si>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</si>
  <si>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</si>
  <si>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</si>
  <si>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</si>
  <si>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</si>
  <si>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</si>
  <si>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</si>
  <si>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</si>
  <si>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</si>
  <si>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</si>
  <si>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</si>
  <si>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</si>
  <si>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</si>
  <si>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</si>
  <si>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</si>
  <si>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</si>
  <si>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</si>
  <si>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</si>
  <si>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</si>
  <si>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</si>
  <si>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</si>
  <si>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</si>
  <si>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</si>
  <si>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</si>
  <si>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</si>
  <si>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</si>
  <si>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</si>
  <si>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</si>
  <si>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</si>
  <si>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</si>
  <si>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</si>
  <si>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</si>
  <si>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</si>
  <si>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</si>
  <si>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</si>
  <si>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</si>
  <si>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</si>
  <si>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</si>
  <si>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</si>
  <si>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</si>
  <si>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</si>
  <si>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</si>
  <si>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</si>
  <si>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</si>
  <si>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</si>
  <si>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</si>
  <si>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</si>
  <si>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</si>
  <si>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</si>
  <si>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</si>
  <si>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</si>
  <si>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</si>
  <si>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</si>
  <si>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</si>
  <si>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</si>
  <si>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</si>
  <si>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</si>
  <si>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</si>
  <si>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</si>
  <si>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</si>
  <si>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</si>
  <si>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</si>
  <si>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</si>
  <si>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</si>
  <si>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</si>
  <si>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</si>
  <si>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</si>
  <si>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</si>
  <si>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</si>
  <si>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</si>
  <si>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</si>
  <si>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</si>
  <si>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</si>
  <si>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</si>
  <si>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</si>
  <si>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</si>
  <si>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</si>
  <si>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</si>
  <si>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</si>
  <si>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</si>
  <si>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</si>
  <si>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</si>
  <si>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</si>
  <si>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</si>
  <si>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</si>
  <si>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</si>
  <si>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</si>
  <si>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</si>
  <si>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</si>
  <si>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</si>
  <si>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</si>
  <si>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</si>
  <si>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</si>
  <si>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</si>
  <si>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</si>
  <si>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</si>
  <si>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</si>
  <si>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</si>
  <si>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</si>
  <si>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</si>
  <si>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</si>
  <si>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</si>
  <si>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</si>
  <si>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</si>
  <si>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</si>
  <si>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</si>
  <si>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</si>
  <si>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</si>
  <si>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</si>
  <si>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</si>
  <si>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</si>
  <si>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</si>
  <si>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</si>
  <si>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</si>
  <si>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</si>
  <si>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</si>
  <si>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</si>
  <si>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</si>
  <si>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</si>
  <si>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</si>
  <si>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</si>
  <si>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</si>
  <si>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</si>
  <si>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</si>
  <si>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</si>
  <si>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</si>
  <si>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</si>
  <si>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</si>
  <si>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</si>
  <si>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</si>
  <si>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</si>
  <si>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</si>
  <si>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</si>
  <si>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</si>
  <si>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</si>
  <si>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</si>
  <si>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</si>
  <si>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</si>
  <si>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</si>
  <si>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</si>
  <si>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</si>
  <si>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</si>
  <si>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</si>
  <si>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</si>
  <si>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</si>
  <si>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</si>
  <si>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</si>
  <si>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</si>
  <si>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</si>
  <si>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</si>
  <si>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</si>
  <si>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</si>
  <si>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</si>
  <si>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</si>
  <si>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</si>
  <si>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</si>
  <si>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</si>
  <si>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</si>
  <si>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</si>
  <si>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</si>
  <si>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</si>
  <si>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</si>
  <si>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</si>
  <si>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</si>
  <si>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</si>
  <si>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</si>
  <si>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</si>
  <si>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</si>
  <si>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</si>
  <si>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</si>
  <si>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</si>
  <si>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</si>
  <si>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</si>
  <si>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</si>
  <si>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</si>
  <si>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</si>
  <si>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</si>
  <si>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</si>
  <si>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</si>
  <si>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</si>
  <si>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</si>
  <si>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</si>
  <si>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</si>
  <si>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</si>
  <si>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</si>
  <si>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</si>
  <si>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</si>
  <si>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</si>
  <si>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</si>
  <si>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</si>
  <si>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</si>
  <si>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</si>
  <si>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</si>
  <si>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</si>
  <si>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</si>
  <si>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</si>
  <si>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</si>
  <si>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</si>
  <si>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</si>
  <si>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</si>
  <si>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</si>
  <si>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</si>
  <si>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Esecuzione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</si>
  <si>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</si>
  <si>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</si>
  <si>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</si>
  <si>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</si>
  <si>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</si>
  <si>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</si>
  <si>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</si>
  <si>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</si>
  <si>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</si>
  <si>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</si>
  <si>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</si>
  <si>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</si>
  <si>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</si>
  <si>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Esecuzione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</si>
  <si>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</si>
  <si>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</si>
  <si>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</si>
  <si>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</si>
  <si>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</si>
  <si>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</si>
  <si>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</si>
  <si>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</si>
  <si>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</si>
  <si>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</si>
  <si>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</si>
  <si>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</si>
  <si>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</si>
  <si>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Esecuzione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</si>
  <si>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</si>
  <si>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</si>
  <si>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</si>
  <si>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</si>
  <si>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</si>
  <si>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</si>
  <si>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</si>
  <si>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</si>
  <si>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</si>
  <si>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</si>
  <si>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</si>
  <si>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</si>
  <si>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</si>
  <si>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Esecuzione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</si>
  <si>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</si>
  <si>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</si>
  <si>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</si>
  <si>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</si>
  <si>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</si>
  <si>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</si>
  <si>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</si>
  <si>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</si>
  <si>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</si>
  <si>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</si>
  <si>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</si>
  <si>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</si>
  <si>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</si>
  <si>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</si>
  <si>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</si>
  <si>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</si>
  <si>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</si>
  <si>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</si>
  <si>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</si>
  <si>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</si>
  <si>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</si>
  <si>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</si>
  <si>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</si>
  <si>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</si>
  <si>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</si>
  <si>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</si>
  <si>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</si>
  <si>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</si>
  <si>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</si>
  <si>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</si>
  <si>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</si>
  <si>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</si>
  <si>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</si>
  <si>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</si>
  <si>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</si>
  <si>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</si>
  <si>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</si>
  <si>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</si>
  <si>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</si>
  <si>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</si>
  <si>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</si>
  <si>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</si>
  <si>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</si>
  <si>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</si>
  <si>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</si>
  <si>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</si>
  <si>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</si>
  <si>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</si>
  <si>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</si>
  <si>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DS.19 fitting shingle</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</si>
  <si>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</si>
  <si>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</si>
  <si>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</si>
  <si>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</si>
  <si>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</si>
  <si>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</si>
  <si>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</si>
  <si>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</si>
  <si>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</si>
  <si>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</si>
  <si>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</si>
  <si>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</si>
  <si>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</si>
  <si>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</si>
  <si>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</si>
  <si>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</si>
  <si>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</si>
  <si>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</si>
  <si>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</si>
  <si>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</si>
  <si>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</si>
  <si>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</si>
  <si>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</si>
  <si>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</si>
  <si>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</si>
  <si>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</si>
  <si>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</si>
  <si>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</si>
  <si>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</si>
  <si>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</si>
  <si>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</si>
  <si>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</si>
  <si>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</si>
  <si>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</si>
  <si>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</si>
  <si>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</si>
  <si>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</si>
  <si>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</si>
  <si>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</si>
  <si>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</si>
  <si>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</si>
  <si>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</si>
  <si>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</si>
  <si>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</si>
  <si>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</si>
  <si>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</si>
  <si>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</si>
  <si>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</si>
  <si>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</si>
  <si>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</si>
  <si>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</si>
  <si>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</si>
  <si>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</si>
  <si>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</si>
  <si>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</si>
  <si>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</si>
  <si>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</si>
  <si>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</si>
  <si>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</si>
  <si>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</si>
  <si>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</si>
  <si>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</si>
  <si>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</si>
  <si>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</si>
  <si>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</si>
  <si>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</si>
  <si>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</si>
  <si>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</si>
  <si>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</si>
  <si>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</si>
  <si>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</si>
  <si>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</si>
  <si>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</si>
  <si>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</si>
  <si>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</si>
  <si>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</si>
  <si>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</si>
  <si>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</si>
  <si>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</si>
  <si>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</si>
  <si>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</si>
  <si>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</si>
  <si>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</si>
  <si>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</si>
  <si>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</si>
  <si>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</si>
  <si>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</si>
  <si>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</si>
  <si>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</si>
  <si>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</si>
  <si>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</si>
  <si>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</si>
  <si>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</si>
  <si>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</si>
  <si>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</si>
  <si>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</si>
  <si>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</si>
  <si>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</si>
  <si>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</si>
  <si>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</si>
  <si>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</si>
  <si>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</si>
  <si>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</si>
  <si>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</si>
  <si>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</si>
  <si>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</si>
  <si>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</si>
  <si>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</si>
  <si>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</si>
  <si>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</si>
  <si>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</si>
  <si>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</si>
  <si>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</si>
  <si>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</si>
  <si>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</si>
  <si>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</si>
  <si>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</si>
  <si>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</si>
  <si>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</si>
  <si>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</si>
  <si>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</si>
  <si>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</si>
  <si>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</si>
  <si>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</si>
  <si>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</si>
  <si>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</si>
  <si>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</si>
  <si>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</si>
  <si>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</si>
  <si>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</si>
  <si>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</si>
  <si>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</si>
  <si>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</si>
  <si>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</si>
  <si>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</si>
  <si>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</si>
  <si>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</si>
  <si>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</si>
  <si>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</si>
  <si>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</si>
  <si>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</si>
  <si>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</si>
  <si>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</si>
  <si>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</si>
  <si>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</si>
  <si>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</si>
  <si>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</si>
  <si>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</si>
  <si>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</si>
  <si>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</si>
  <si>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</si>
  <si>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</si>
  <si>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</si>
  <si>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</si>
  <si>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</si>
  <si>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</si>
  <si>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</si>
  <si>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</si>
  <si>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</si>
  <si>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</si>
  <si>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</si>
  <si>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</si>
  <si>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</si>
  <si>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</si>
  <si>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</si>
  <si>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</si>
  <si>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</si>
  <si>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</si>
  <si>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</si>
  <si>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</si>
  <si>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</si>
  <si>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</si>
  <si>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</si>
  <si>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</si>
  <si>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</si>
  <si>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</si>
  <si>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</si>
  <si>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</si>
  <si>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</si>
  <si>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</si>
  <si>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</si>
  <si>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</si>
  <si>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</si>
  <si>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</si>
  <si>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</si>
  <si>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</si>
  <si>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</si>
  <si>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</si>
  <si>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</si>
  <si>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</si>
  <si>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</si>
  <si>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</si>
  <si>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</si>
  <si>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</si>
  <si>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</si>
  <si>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</si>
  <si>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</si>
  <si>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</si>
  <si>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</si>
  <si>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</si>
  <si>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</si>
  <si>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</si>
  <si>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</si>
  <si>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</si>
  <si>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</si>
  <si>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</si>
  <si>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</si>
  <si>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</si>
  <si>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</si>
  <si>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</si>
  <si>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</si>
  <si>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</si>
  <si>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</si>
  <si>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</si>
  <si>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</si>
  <si>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</si>
  <si>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</si>
  <si>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</si>
  <si>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</si>
  <si>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</si>
  <si>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</si>
  <si>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</si>
  <si>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</si>
  <si>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</si>
  <si>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</si>
  <si>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</si>
  <si>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</si>
  <si>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</si>
  <si>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</si>
  <si>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</si>
  <si>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</si>
  <si>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</si>
  <si>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</si>
  <si>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</si>
  <si>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</si>
  <si>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</si>
  <si>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</si>
  <si>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</si>
  <si>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</si>
  <si>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</si>
  <si>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</si>
  <si>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</si>
  <si>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</si>
  <si>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</si>
  <si>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</si>
  <si>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</si>
  <si>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</si>
  <si>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</si>
  <si>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</si>
  <si>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</si>
  <si>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</si>
  <si>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</si>
  <si>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</si>
  <si>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</si>
  <si>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</si>
  <si>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</si>
  <si>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</si>
  <si>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</si>
  <si>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</si>
  <si>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</si>
  <si>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</si>
  <si>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</si>
  <si>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</si>
  <si>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</si>
  <si>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</si>
  <si>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</si>
  <si>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</si>
  <si>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</si>
  <si>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</si>
  <si>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</si>
  <si>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</si>
  <si>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</si>
  <si>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</si>
  <si>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</si>
  <si>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</si>
  <si>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</si>
  <si>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</si>
  <si>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</si>
  <si>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</si>
  <si>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</si>
  <si>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</si>
  <si>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</si>
  <si>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</si>
  <si>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</si>
  <si>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</si>
  <si>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</si>
  <si>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</si>
  <si>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</si>
  <si>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</si>
  <si>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</si>
  <si>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</si>
  <si>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</si>
  <si>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</si>
  <si>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</si>
  <si>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</si>
  <si>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</si>
  <si>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</si>
  <si>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</si>
  <si>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</si>
  <si>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</si>
  <si>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</si>
  <si>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</si>
  <si>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</si>
  <si>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</si>
  <si>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</si>
  <si>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</si>
  <si>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</si>
  <si>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</si>
  <si>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</si>
  <si>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</si>
  <si>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</si>
  <si>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</si>
  <si>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</si>
  <si>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</si>
  <si>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</si>
  <si>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</si>
  <si>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</si>
  <si>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</si>
  <si>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</si>
  <si>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</si>
  <si>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</si>
  <si>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</si>
  <si>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</si>
  <si>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</si>
  <si>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</si>
  <si>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</si>
  <si>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</si>
  <si>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</si>
  <si>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</si>
  <si>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</si>
  <si>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</si>
  <si>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</si>
  <si>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</si>
  <si>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</si>
  <si>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</si>
  <si>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</si>
  <si>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</si>
  <si>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</si>
  <si>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</si>
  <si>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</si>
  <si>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</si>
  <si>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</si>
  <si>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</si>
  <si>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</si>
  <si>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</si>
  <si>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</si>
  <si>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</si>
  <si>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</si>
  <si>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</si>
  <si>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</si>
  <si>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</si>
  <si>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</si>
  <si>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</si>
  <si>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</si>
  <si>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</si>
  <si>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</si>
  <si>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</si>
  <si>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</si>
  <si>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</si>
  <si>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</si>
  <si>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</si>
  <si>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</si>
  <si>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</si>
  <si>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</si>
  <si>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</si>
  <si>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</si>
  <si>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</si>
  <si>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</si>
  <si>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</si>
  <si>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</si>
  <si>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</si>
  <si>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</si>
  <si>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</si>
  <si>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</si>
  <si>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</si>
  <si>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</si>
  <si>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</si>
  <si>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</si>
  <si>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</si>
  <si>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</si>
  <si>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</si>
  <si>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</si>
  <si>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</si>
  <si>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</si>
  <si>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</si>
  <si>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</si>
  <si>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</si>
  <si>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</si>
  <si>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</si>
  <si>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</si>
  <si>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</si>
  <si>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</si>
  <si>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</si>
  <si>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</si>
  <si>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</si>
  <si>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</si>
  <si>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</si>
  <si>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</si>
  <si>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</si>
  <si>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</si>
  <si>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</si>
  <si>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</si>
  <si>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</si>
  <si>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</si>
  <si>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</si>
  <si>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</si>
  <si>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</si>
  <si>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</si>
  <si>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</si>
  <si>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</si>
  <si>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</si>
  <si>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</si>
  <si>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</si>
  <si>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</si>
  <si>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</si>
  <si>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</si>
  <si>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</si>
  <si>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</si>
  <si>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</si>
  <si>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</si>
  <si>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</si>
  <si>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</si>
  <si>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</si>
  <si>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</si>
  <si>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</si>
  <si>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</si>
  <si>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</si>
  <si>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</si>
  <si>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</si>
  <si>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</si>
  <si>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</si>
  <si>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</si>
  <si>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</si>
  <si>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</si>
  <si>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</si>
  <si>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</si>
  <si>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</si>
  <si>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</si>
  <si>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</si>
  <si>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</si>
  <si>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</si>
  <si>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</si>
  <si>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</si>
  <si>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</si>
  <si>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</si>
  <si>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</si>
  <si>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</si>
  <si>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</si>
  <si>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</si>
  <si>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</si>
  <si>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</si>
  <si>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</si>
  <si>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</si>
  <si>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</si>
  <si>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</si>
  <si>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</si>
  <si>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</si>
  <si>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</si>
  <si>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</si>
  <si>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</si>
  <si>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</si>
  <si>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</si>
  <si>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</si>
  <si>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</si>
  <si>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</si>
  <si>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</si>
  <si>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</si>
  <si>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</si>
  <si>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</si>
  <si>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</si>
  <si>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</si>
  <si>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</si>
  <si>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</si>
  <si>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</si>
  <si>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</si>
  <si>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</si>
  <si>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</si>
  <si>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</si>
  <si>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</si>
  <si>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</si>
  <si>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</si>
  <si>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</si>
  <si>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</si>
  <si>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</si>
  <si>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</si>
  <si>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</si>
  <si>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</si>
  <si>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</si>
  <si>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</si>
  <si>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</si>
  <si>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</si>
  <si>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</si>
  <si>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</si>
  <si>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</si>
  <si>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</si>
  <si>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</si>
  <si>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</si>
  <si>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</si>
  <si>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</si>
  <si>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</si>
  <si>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</si>
  <si>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</si>
  <si>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</si>
  <si>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</si>
  <si>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</si>
  <si>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</si>
  <si>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</si>
  <si>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</si>
  <si>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</si>
  <si>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</si>
  <si>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</si>
  <si>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</si>
  <si>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</si>
  <si>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</si>
  <si>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</si>
  <si>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</si>
  <si>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</si>
  <si>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</si>
  <si>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</si>
  <si>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</si>
  <si>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</si>
  <si>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</si>
  <si>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</si>
  <si>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</si>
  <si>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</si>
  <si>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</si>
  <si>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</si>
  <si>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</si>
  <si>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</si>
  <si>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</si>
  <si>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</si>
  <si>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</si>
  <si>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</si>
  <si>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</si>
  <si>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</si>
  <si>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</si>
  <si>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</si>
  <si>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</si>
  <si>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</si>
  <si>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</si>
  <si>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</si>
  <si>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</si>
  <si>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Pluviale quadro - cassetta di raccolta fuori standard</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</si>
  <si>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</si>
  <si>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</si>
  <si>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</si>
  <si>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</si>
  <si>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</si>
  <si>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</si>
  <si>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</si>
  <si>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</si>
  <si>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</si>
  <si>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</si>
  <si>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</si>
  <si>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</si>
  <si>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</si>
  <si>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</si>
  <si>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</si>
  <si>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</si>
  <si>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</si>
  <si>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</si>
  <si>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</si>
  <si>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</si>
  <si>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</si>
  <si>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</si>
  <si>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</si>
  <si>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</si>
  <si>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</si>
  <si>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</si>
  <si>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</si>
  <si>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</si>
  <si>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</si>
  <si>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</si>
  <si>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</si>
  <si>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</si>
  <si>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</si>
  <si>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</si>
  <si>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</si>
  <si>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</si>
  <si>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</si>
  <si>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</si>
  <si>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</si>
  <si>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</si>
  <si>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</si>
  <si>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</si>
  <si>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</si>
  <si>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</si>
  <si>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</si>
  <si>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</si>
  <si>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</si>
  <si>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</si>
  <si>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</si>
  <si>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</si>
  <si>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</si>
  <si>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</si>
  <si>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</si>
  <si>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</si>
  <si>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</si>
  <si>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</si>
  <si>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</si>
  <si>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</si>
  <si>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</si>
  <si>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</si>
  <si>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</si>
  <si>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</si>
  <si>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</si>
  <si>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</si>
  <si>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</si>
  <si>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</si>
  <si>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</si>
  <si>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</si>
  <si>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</si>
  <si>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</si>
  <si>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</si>
  <si>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</si>
  <si>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</si>
  <si>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</si>
  <si>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</si>
  <si>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</si>
  <si>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</si>
  <si>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</si>
  <si>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</si>
  <si>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</si>
  <si>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</si>
  <si>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</si>
  <si>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</si>
  <si>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</si>
  <si>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</si>
  <si>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</si>
  <si>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</si>
  <si>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</si>
  <si>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</si>
  <si>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</si>
  <si>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</si>
  <si>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</si>
  <si>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</si>
  <si>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</si>
  <si>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</si>
  <si>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</si>
  <si>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</si>
  <si>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</si>
  <si>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</si>
  <si>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</si>
  <si>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</si>
  <si>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</si>
  <si>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</si>
  <si>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</si>
  <si>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</si>
  <si>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</si>
  <si>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</si>
  <si>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</si>
  <si>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</si>
  <si>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</si>
  <si>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</si>
  <si>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</si>
  <si>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</si>
  <si>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</si>
  <si>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</si>
  <si>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</si>
  <si>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</si>
  <si>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</si>
  <si>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Quadratrohr-Speiereinmündung</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</si>
  <si>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</si>
  <si>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</si>
  <si>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</si>
  <si>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</si>
  <si>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</si>
  <si>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</si>
  <si>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</si>
  <si>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</si>
  <si>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</si>
  <si>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</si>
  <si>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</si>
  <si>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</si>
  <si>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</si>
  <si>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</si>
  <si>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</si>
  <si>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</si>
  <si>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</si>
  <si>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</si>
  <si>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</si>
  <si>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</si>
  <si>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</si>
  <si>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</si>
  <si>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</si>
  <si>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</si>
  <si>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</si>
  <si>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</si>
  <si>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</si>
  <si>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</si>
  <si>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</si>
  <si>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</si>
  <si>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</si>
  <si>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</si>
  <si>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</si>
  <si>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</si>
  <si>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</si>
  <si>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</si>
  <si>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</si>
  <si>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</si>
  <si>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</si>
  <si>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</si>
  <si>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</si>
  <si>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</si>
  <si>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</si>
  <si>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</si>
  <si>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</si>
  <si>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</si>
  <si>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</si>
  <si>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</si>
  <si>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</si>
  <si>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</si>
  <si>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</si>
  <si>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</si>
  <si>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</si>
  <si>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</si>
  <si>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</si>
  <si>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</si>
  <si>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</si>
  <si>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</si>
  <si>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</si>
  <si>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</si>
  <si>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</si>
  <si>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</si>
  <si>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</si>
  <si>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</si>
  <si>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</si>
  <si>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</si>
  <si>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</si>
  <si>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</si>
  <si>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</si>
  <si>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</si>
  <si>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</si>
  <si>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</si>
  <si>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</si>
  <si>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</si>
  <si>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</si>
  <si>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</si>
  <si>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</si>
  <si>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</si>
  <si>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</si>
  <si>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</si>
  <si>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</si>
  <si>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</si>
  <si>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</si>
  <si>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</si>
  <si>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</si>
  <si>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</si>
  <si>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</si>
  <si>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</si>
  <si>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</si>
  <si>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</si>
  <si>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</si>
  <si>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</si>
  <si>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</si>
  <si>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</si>
  <si>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</si>
  <si>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</si>
  <si>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</si>
  <si>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</si>
  <si>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</si>
  <si>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</si>
  <si>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</si>
  <si>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</si>
  <si>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</si>
  <si>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</si>
  <si>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</si>
  <si>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</si>
  <si>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</si>
  <si>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</si>
  <si>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</si>
  <si>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</si>
  <si>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</si>
  <si>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</si>
  <si>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</si>
  <si>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</si>
  <si>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</si>
  <si>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</si>
  <si>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</si>
  <si>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</si>
  <si>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</si>
  <si>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</si>
  <si>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</si>
  <si>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</si>
  <si>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</si>
  <si>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</si>
  <si>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</si>
  <si>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</si>
  <si>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</si>
  <si>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</si>
  <si>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</si>
  <si>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</si>
  <si>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</si>
  <si>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</si>
  <si>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</si>
  <si>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</si>
  <si>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</si>
  <si>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</si>
  <si>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</si>
  <si>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</si>
  <si>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</si>
  <si>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</si>
  <si>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</si>
  <si>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</si>
  <si>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</si>
  <si>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</si>
  <si>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</si>
  <si>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</si>
  <si>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</si>
  <si>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</si>
  <si>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</si>
  <si>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</si>
  <si>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</si>
  <si>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Cicogna per canale di gronda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</si>
  <si>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</si>
  <si>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</si>
  <si>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</si>
  <si>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</si>
  <si>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</si>
  <si>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</si>
  <si>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</si>
  <si>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</si>
  <si>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</si>
  <si>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</si>
  <si>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</si>
  <si>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</si>
  <si>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</si>
  <si>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Cicogna per canale di gronda con ferro in costa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</si>
  <si>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</si>
  <si>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</si>
  <si>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</si>
  <si>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</si>
  <si>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</si>
  <si>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</si>
  <si>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</si>
  <si>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</si>
  <si>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</si>
  <si>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</si>
  <si>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</si>
  <si>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</si>
  <si>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</si>
  <si>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Cicogna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</si>
  <si>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</si>
  <si>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</si>
  <si>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</si>
  <si>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</si>
  <si>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</si>
  <si>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</si>
  <si>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</si>
  <si>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</si>
  <si>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</si>
  <si>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</si>
  <si>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</si>
  <si>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</si>
  <si>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per canale di gronda con ferro in costa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</si>
  <si>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</si>
  <si>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</si>
  <si>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</si>
  <si>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</si>
  <si>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</si>
  <si>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</si>
  <si>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</si>
  <si>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</si>
  <si>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</si>
  <si>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</si>
  <si>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</si>
  <si>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</si>
  <si>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</si>
  <si>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Cicogna svizzera</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</si>
  <si>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</si>
  <si>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</si>
  <si>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</si>
  <si>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</si>
  <si>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</si>
  <si>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</si>
  <si>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</si>
  <si>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</si>
  <si>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</si>
  <si>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</si>
  <si>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</si>
  <si>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</si>
  <si>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</si>
  <si>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</si>
  <si>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</si>
  <si>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</si>
  <si>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</si>
  <si>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</si>
  <si>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</si>
  <si>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</si>
  <si>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</si>
  <si>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</si>
  <si>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</si>
  <si>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</si>
  <si>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</si>
  <si>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</si>
  <si>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</si>
  <si>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</si>
  <si>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</si>
  <si>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</si>
  <si>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</si>
  <si>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</si>
  <si>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</si>
  <si>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</si>
  <si>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</si>
  <si>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</si>
  <si>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</si>
  <si>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</si>
  <si>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</si>
  <si>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</si>
  <si>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</si>
  <si>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</si>
  <si>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</si>
  <si>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</si>
  <si>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</si>
  <si>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</si>
  <si>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</si>
  <si>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</si>
  <si>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</si>
  <si>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</si>
  <si>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</si>
  <si>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</si>
  <si>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</si>
  <si>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</si>
  <si>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</si>
  <si>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</si>
  <si>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</si>
  <si>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</si>
  <si>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</si>
  <si>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</si>
  <si>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</si>
  <si>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</si>
  <si>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</si>
  <si>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</si>
  <si>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</si>
  <si>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</si>
  <si>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</si>
  <si>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</si>
  <si>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Bocchetta di scarico</t>
  </si>
  <si>
    <t>žlabové hrdlo</t>
  </si>
  <si>
    <t>Przyłącze rynny</t>
  </si>
  <si>
    <t>csatornacsonk</t>
  </si>
  <si>
    <t>hrdlo polkruhového žľabu</t>
  </si>
  <si>
    <t>Gootaansluiting</t>
  </si>
  <si>
    <t>Nacevnik za žleb</t>
  </si>
  <si>
    <t>rännstöd</t>
  </si>
  <si>
    <t>Tagrendeudløb</t>
  </si>
  <si>
    <t>Rennestøtter</t>
  </si>
  <si>
    <t>Rinnenwinkel 90° (außen)</t>
  </si>
  <si>
    <t>gutter corner 90° (external)</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</si>
  <si>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</si>
  <si>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</si>
  <si>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</si>
  <si>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</si>
  <si>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</si>
  <si>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</si>
  <si>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</si>
  <si>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</si>
  <si>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</si>
  <si>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</si>
  <si>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</si>
  <si>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</si>
  <si>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</si>
  <si>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gutter corner 90° (internal)</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</si>
  <si>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</si>
  <si>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</si>
  <si>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</si>
  <si>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</si>
  <si>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</si>
  <si>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</si>
  <si>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</si>
  <si>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</si>
  <si>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</si>
  <si>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</si>
  <si>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</si>
  <si>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</si>
  <si>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</si>
  <si>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</si>
  <si>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</si>
  <si>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</si>
  <si>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</si>
  <si>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</si>
  <si>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</si>
  <si>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</si>
  <si>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</si>
  <si>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</si>
  <si>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</si>
  <si>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</si>
  <si>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</si>
  <si>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</si>
  <si>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</si>
  <si>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</si>
  <si>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</si>
  <si>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</si>
  <si>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</si>
  <si>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</si>
  <si>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</si>
  <si>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</si>
  <si>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</si>
  <si>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</si>
  <si>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</si>
  <si>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</si>
  <si>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</si>
  <si>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</si>
  <si>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</si>
  <si>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</si>
  <si>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</si>
  <si>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</si>
  <si>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</si>
  <si>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</si>
  <si>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</si>
  <si>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</si>
  <si>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</si>
  <si>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</si>
  <si>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</si>
  <si>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</si>
  <si>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</si>
  <si>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</si>
  <si>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</si>
  <si>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</si>
  <si>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</si>
  <si>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</si>
  <si>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</si>
  <si>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</si>
  <si>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</si>
  <si>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</si>
  <si>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</si>
  <si>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</si>
  <si>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</si>
  <si>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</si>
  <si>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</si>
  <si>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</si>
  <si>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</si>
  <si>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</si>
  <si>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</si>
  <si>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</si>
  <si>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</si>
  <si>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</si>
  <si>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</si>
  <si>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</si>
  <si>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</si>
  <si>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</si>
  <si>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</si>
  <si>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</si>
  <si>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</si>
  <si>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</si>
  <si>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</si>
  <si>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</si>
  <si>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</si>
  <si>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</si>
  <si>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</si>
  <si>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</si>
  <si>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</si>
  <si>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</si>
  <si>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</si>
  <si>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</si>
  <si>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</si>
  <si>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</si>
  <si>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</si>
  <si>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</si>
  <si>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</si>
  <si>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</si>
  <si>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</si>
  <si>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</si>
  <si>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</si>
  <si>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</si>
  <si>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</si>
  <si>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</si>
  <si>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</si>
  <si>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</si>
  <si>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</si>
  <si>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</si>
  <si>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</si>
  <si>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</si>
  <si>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</si>
  <si>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Gomito per pluviale quadro</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</si>
  <si>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</si>
  <si>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</si>
  <si>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</si>
  <si>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</si>
  <si>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</si>
  <si>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</si>
  <si>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</si>
  <si>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</si>
  <si>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</si>
  <si>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</si>
  <si>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</si>
  <si>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</si>
  <si>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</si>
  <si>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</si>
  <si>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</si>
  <si>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</si>
  <si>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</si>
  <si>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</si>
  <si>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</si>
  <si>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</si>
  <si>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</si>
  <si>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</si>
  <si>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</si>
  <si>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</si>
  <si>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</si>
  <si>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</si>
  <si>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</si>
  <si>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</si>
  <si>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</si>
  <si>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</si>
  <si>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</si>
  <si>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</si>
  <si>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</si>
  <si>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</si>
  <si>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</si>
  <si>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</si>
  <si>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</si>
  <si>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</si>
  <si>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</si>
  <si>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</si>
  <si>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</si>
  <si>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</si>
  <si>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</si>
  <si>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</si>
  <si>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</si>
  <si>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</si>
  <si>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</si>
  <si>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</si>
  <si>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</si>
  <si>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</si>
  <si>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</si>
  <si>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</si>
  <si>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</si>
  <si>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</si>
  <si>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</si>
  <si>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Braga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</si>
  <si>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</si>
  <si>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</si>
  <si>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</si>
  <si>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</si>
  <si>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</si>
  <si>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</si>
  <si>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</si>
  <si>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</si>
  <si>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</si>
  <si>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</si>
  <si>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</si>
  <si>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</si>
  <si>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</si>
  <si>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Braga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</si>
  <si>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</si>
  <si>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</si>
  <si>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</si>
  <si>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</si>
  <si>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</si>
  <si>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</si>
  <si>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</si>
  <si>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</si>
  <si>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</si>
  <si>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</si>
  <si>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</si>
  <si>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</si>
  <si>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</si>
  <si>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Braga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</si>
  <si>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</si>
  <si>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</si>
  <si>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</si>
  <si>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</si>
  <si>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</si>
  <si>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</si>
  <si>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</si>
  <si>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</si>
  <si>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</si>
  <si>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</si>
  <si>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</si>
  <si>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</si>
  <si>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</si>
  <si>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Braga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</si>
  <si>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</si>
  <si>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</si>
  <si>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</si>
  <si>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</si>
  <si>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</si>
  <si>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</si>
  <si>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</si>
  <si>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</si>
  <si>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</si>
  <si>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</si>
  <si>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</si>
  <si>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</si>
  <si>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</si>
  <si>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</si>
  <si>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</si>
  <si>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</si>
  <si>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</si>
  <si>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</si>
  <si>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</si>
  <si>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</si>
  <si>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</si>
  <si>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</si>
  <si>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</si>
  <si>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</si>
  <si>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</si>
  <si>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</si>
  <si>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</si>
  <si>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</si>
  <si>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</si>
  <si>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</si>
  <si>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</si>
  <si>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</si>
  <si>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</si>
  <si>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</si>
  <si>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</si>
  <si>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</si>
  <si>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</si>
  <si>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</si>
  <si>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</si>
  <si>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</si>
  <si>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</si>
  <si>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</si>
  <si>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</si>
  <si>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</si>
  <si>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</si>
  <si>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</si>
  <si>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</si>
  <si>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</si>
  <si>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</si>
  <si>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</si>
  <si>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</si>
  <si>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</si>
  <si>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</si>
  <si>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</si>
  <si>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</si>
  <si>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</si>
  <si>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</si>
  <si>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</si>
  <si>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</si>
  <si>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</si>
  <si>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</si>
  <si>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</si>
  <si>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</si>
  <si>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</si>
  <si>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</si>
  <si>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</si>
  <si>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</si>
  <si>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</si>
  <si>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</si>
  <si>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</si>
  <si>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</si>
  <si>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</si>
  <si>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</si>
  <si>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</si>
  <si>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</si>
  <si>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</si>
  <si>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</si>
  <si>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</si>
  <si>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</si>
  <si>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</si>
  <si>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</si>
  <si>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</si>
  <si>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</si>
  <si>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</si>
  <si>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</si>
  <si>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</si>
  <si>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</si>
  <si>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</si>
  <si>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</si>
  <si>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</si>
  <si>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</si>
  <si>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</si>
  <si>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</si>
  <si>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</si>
  <si>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</si>
  <si>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</si>
  <si>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</si>
  <si>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</si>
  <si>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</si>
  <si>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</si>
  <si>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</si>
  <si>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</si>
  <si>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</si>
  <si>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</si>
  <si>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</si>
  <si>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</si>
  <si>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</si>
  <si>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</si>
  <si>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</si>
  <si>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ETICS pipe bracket plug Ø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</si>
  <si>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</si>
  <si>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</si>
  <si>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</si>
  <si>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</si>
  <si>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</si>
  <si>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</si>
  <si>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</si>
  <si>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</si>
  <si>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</si>
  <si>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</si>
  <si>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</si>
  <si>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</si>
  <si>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</si>
  <si>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</si>
  <si>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</si>
  <si>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</si>
  <si>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</si>
  <si>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</si>
  <si>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</si>
  <si>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</si>
  <si>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</si>
  <si>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</si>
  <si>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</si>
  <si>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</si>
  <si>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</si>
  <si>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</si>
  <si>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</si>
  <si>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</si>
  <si>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</si>
  <si>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</si>
  <si>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</si>
  <si>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</si>
  <si>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</si>
  <si>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</si>
  <si>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</si>
  <si>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</si>
  <si>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</si>
  <si>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</si>
  <si>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</si>
  <si>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</si>
  <si>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</si>
  <si>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</si>
  <si>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</si>
  <si>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</si>
  <si>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</si>
  <si>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</si>
  <si>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</si>
  <si>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</si>
  <si>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</si>
  <si>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</si>
  <si>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</si>
  <si>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</si>
  <si>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</si>
  <si>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</si>
  <si>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</si>
  <si>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</si>
  <si>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</si>
  <si>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</si>
  <si>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</si>
  <si>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</si>
  <si>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</si>
  <si>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</si>
  <si>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</si>
  <si>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</si>
  <si>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</si>
  <si>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</si>
  <si>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</si>
  <si>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</si>
  <si>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</si>
  <si>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</si>
  <si>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</si>
  <si>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</si>
  <si>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</si>
  <si>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</si>
  <si>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</si>
  <si>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</si>
  <si>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</si>
  <si>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</si>
  <si>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</si>
  <si>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</si>
  <si>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</si>
  <si>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</si>
  <si>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</si>
  <si>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</si>
  <si>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</si>
  <si>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</si>
  <si>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</si>
  <si>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</si>
  <si>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</si>
  <si>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</si>
  <si>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</si>
  <si>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</si>
  <si>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</si>
  <si>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</si>
  <si>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</si>
  <si>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</si>
  <si>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</si>
  <si>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</si>
  <si>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</si>
  <si>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</si>
  <si>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</si>
  <si>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</si>
  <si>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</si>
  <si>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</si>
  <si>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</si>
  <si>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</si>
  <si>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</si>
  <si>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</si>
  <si>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</si>
  <si>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</si>
  <si>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</si>
  <si>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</si>
  <si>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</si>
  <si>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</si>
  <si>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</si>
  <si>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</si>
  <si>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</si>
  <si>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</si>
  <si>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</si>
  <si>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</si>
  <si>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</si>
  <si>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</si>
  <si>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</si>
  <si>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</si>
  <si>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</si>
  <si>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</si>
  <si>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</si>
  <si>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</si>
  <si>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</si>
  <si>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</si>
  <si>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</si>
  <si>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</si>
  <si>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</si>
  <si>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</si>
  <si>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</si>
  <si>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</si>
  <si>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</si>
  <si>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</si>
  <si>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</si>
  <si>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</si>
  <si>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</si>
  <si>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</si>
  <si>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</si>
  <si>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</si>
  <si>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</si>
  <si>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</si>
  <si>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</si>
  <si>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</si>
  <si>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</si>
  <si>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</si>
  <si>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</si>
  <si>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</si>
  <si>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</si>
  <si>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</si>
  <si>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</si>
  <si>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</si>
  <si>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</si>
  <si>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</si>
  <si>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</si>
  <si>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</si>
  <si>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</si>
  <si>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</si>
  <si>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</si>
  <si>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</si>
  <si>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</si>
  <si>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</si>
  <si>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</si>
  <si>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</si>
  <si>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</si>
  <si>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</si>
  <si>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</si>
  <si>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</si>
  <si>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</si>
  <si>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</si>
  <si>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</si>
  <si>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</si>
  <si>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</si>
  <si>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</si>
  <si>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</si>
  <si>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</si>
  <si>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diagonale</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</si>
  <si>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</si>
  <si>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</si>
  <si>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</si>
  <si>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</si>
  <si>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</si>
  <si>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</si>
  <si>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</si>
  <si>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</si>
  <si>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</si>
  <si>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</si>
  <si>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</si>
  <si>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</si>
  <si>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</si>
  <si>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</si>
  <si>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</si>
  <si>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</si>
  <si>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</si>
  <si>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</si>
  <si>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</si>
  <si>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</si>
  <si>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</si>
  <si>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</si>
  <si>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</si>
  <si>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</si>
  <si>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</si>
  <si>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</si>
  <si>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Lamiera di gronda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</si>
  <si>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</si>
  <si>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</si>
  <si>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</si>
  <si>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</si>
  <si>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</si>
  <si>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</si>
  <si>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</si>
  <si>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</si>
  <si>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</si>
  <si>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</si>
  <si>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</si>
  <si>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</si>
  <si>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</si>
  <si>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Tavola di gronda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</si>
  <si>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</si>
  <si>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</si>
  <si>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</si>
  <si>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</si>
  <si>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</si>
  <si>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</si>
  <si>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</si>
  <si>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</si>
  <si>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</si>
  <si>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</si>
  <si>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</si>
  <si>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</si>
  <si>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</si>
  <si>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</si>
  <si>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</si>
  <si>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</si>
  <si>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</si>
  <si>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</si>
  <si>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</si>
  <si>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</si>
  <si>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</si>
  <si>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</si>
  <si>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</si>
  <si>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</si>
  <si>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</si>
  <si>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</si>
  <si>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</si>
  <si>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</si>
  <si>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</si>
  <si>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</si>
  <si>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</si>
  <si>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</si>
  <si>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</si>
  <si>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</si>
  <si>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</si>
  <si>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</si>
  <si>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</si>
  <si>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</si>
  <si>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</si>
  <si>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</si>
  <si>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</si>
  <si>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</si>
  <si>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</si>
  <si>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</si>
  <si>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</si>
  <si>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</si>
  <si>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</si>
  <si>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</si>
  <si>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</si>
  <si>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</si>
  <si>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</si>
  <si>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</si>
  <si>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</si>
  <si>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</si>
  <si>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</si>
  <si>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</si>
  <si>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</si>
  <si>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</si>
  <si>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</si>
  <si>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</si>
  <si>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</si>
  <si>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</si>
  <si>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</si>
  <si>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</si>
  <si>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</si>
  <si>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</si>
  <si>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</si>
  <si>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</si>
  <si>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</si>
  <si>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</si>
  <si>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</si>
  <si>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</si>
  <si>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</si>
  <si>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</si>
  <si>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</si>
  <si>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</si>
  <si>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</si>
  <si>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</si>
  <si>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</si>
  <si>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</si>
  <si>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</si>
  <si>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</si>
  <si>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</si>
  <si>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</si>
  <si>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</si>
  <si>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</si>
  <si>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</si>
  <si>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</si>
  <si>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</si>
  <si>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</si>
  <si>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</si>
  <si>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</si>
  <si>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</si>
  <si>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</si>
  <si>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</si>
  <si>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</si>
  <si>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</si>
  <si>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</si>
  <si>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</si>
  <si>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</si>
  <si>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</si>
  <si>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</si>
  <si>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</si>
  <si>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</si>
  <si>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</si>
  <si>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</si>
  <si>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</si>
  <si>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</si>
  <si>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</si>
  <si>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</si>
  <si>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</si>
  <si>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</si>
  <si>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</si>
  <si>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</si>
  <si>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</si>
  <si>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</si>
  <si>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</si>
  <si>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</si>
  <si>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</si>
  <si>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</si>
  <si>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</si>
  <si>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</si>
  <si>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</si>
  <si>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</si>
  <si>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</si>
  <si>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</si>
  <si>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</si>
  <si>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</si>
  <si>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</si>
  <si>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</si>
  <si>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</si>
  <si>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</si>
  <si>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</si>
  <si>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</si>
  <si>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</si>
  <si>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</si>
  <si>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</si>
  <si>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</si>
  <si>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</si>
  <si>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</si>
  <si>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</si>
  <si>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</si>
  <si>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</si>
  <si>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</si>
  <si>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</si>
  <si>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</si>
  <si>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</si>
  <si>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</si>
  <si>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</si>
  <si>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</si>
  <si>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</si>
  <si>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</si>
  <si>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</si>
  <si>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</si>
  <si>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</si>
  <si>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</si>
  <si>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</si>
  <si>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</si>
  <si>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</si>
  <si>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</si>
  <si>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</si>
  <si>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</si>
  <si>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</si>
  <si>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</si>
  <si>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</si>
  <si>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</si>
  <si>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</si>
  <si>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</si>
  <si>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</si>
  <si>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</si>
  <si>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</si>
  <si>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</si>
  <si>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</si>
  <si>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</si>
  <si>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</si>
  <si>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</si>
  <si>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</si>
  <si>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</si>
  <si>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</si>
  <si>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</si>
  <si>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</si>
  <si>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</si>
  <si>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</si>
  <si>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</si>
  <si>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</si>
  <si>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</si>
  <si>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</si>
  <si>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</si>
  <si>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</si>
  <si>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</si>
  <si>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</si>
  <si>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</si>
  <si>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</si>
  <si>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</si>
  <si>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</si>
  <si>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</si>
  <si>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</si>
  <si>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</si>
  <si>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</si>
  <si>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</si>
  <si>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</si>
  <si>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</si>
  <si>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</si>
  <si>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</si>
  <si>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</si>
  <si>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</si>
  <si>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</si>
  <si>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</si>
  <si>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</si>
  <si>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</si>
  <si>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</si>
  <si>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</si>
  <si>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</si>
  <si>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</si>
  <si>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</si>
  <si>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</si>
  <si>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</si>
  <si>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</si>
  <si>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</si>
  <si>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</si>
  <si>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</si>
  <si>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</si>
  <si>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</si>
  <si>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</si>
  <si>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</si>
  <si>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</si>
  <si>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</si>
  <si>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</si>
  <si>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</si>
  <si>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</si>
  <si>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</si>
  <si>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</si>
  <si>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</si>
  <si>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</si>
  <si>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</si>
  <si>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</si>
  <si>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</si>
  <si>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</si>
  <si>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</si>
  <si>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</si>
  <si>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</si>
  <si>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</si>
  <si>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</si>
  <si>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</si>
  <si>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starter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</si>
  <si>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</si>
  <si>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</si>
  <si>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</si>
  <si>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</si>
  <si>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</si>
  <si>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</si>
  <si>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</si>
  <si>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</si>
  <si>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</si>
  <si>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</si>
  <si>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</si>
  <si>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</si>
  <si>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</si>
  <si>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</si>
  <si>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</si>
  <si>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</si>
  <si>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</si>
  <si>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</si>
  <si>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</si>
  <si>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</si>
  <si>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</si>
  <si>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</si>
  <si>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</si>
  <si>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</si>
  <si>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</si>
  <si>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</si>
  <si>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</si>
  <si>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</si>
  <si>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</si>
  <si>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</si>
  <si>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</si>
  <si>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</si>
  <si>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</si>
  <si>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</si>
  <si>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</si>
  <si>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</si>
  <si>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</si>
  <si>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</si>
  <si>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</si>
  <si>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</si>
  <si>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</si>
  <si>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</si>
  <si>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</si>
  <si>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</si>
  <si>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</si>
  <si>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</si>
  <si>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</si>
  <si>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</si>
  <si>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</si>
  <si>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</si>
  <si>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</si>
  <si>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</si>
  <si>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</si>
  <si>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</si>
  <si>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</si>
  <si>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</si>
  <si>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</si>
  <si>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</si>
  <si>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</si>
  <si>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</si>
  <si>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</si>
  <si>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</si>
  <si>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</si>
  <si>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</si>
  <si>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</si>
  <si>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</si>
  <si>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</si>
  <si>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</si>
  <si>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</si>
  <si>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</si>
  <si>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</si>
  <si>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</si>
  <si>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</si>
  <si>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</si>
  <si>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</si>
  <si>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</si>
  <si>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</si>
  <si>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</si>
  <si>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</si>
  <si>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</si>
  <si>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</si>
  <si>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</si>
  <si>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</si>
  <si>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</si>
  <si>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</si>
  <si>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</si>
  <si>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</si>
  <si>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</si>
  <si>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</si>
  <si>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</si>
  <si>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</si>
  <si>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</si>
  <si>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</si>
  <si>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</si>
  <si>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</si>
  <si>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</si>
  <si>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</si>
  <si>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</si>
  <si>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</si>
  <si>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</si>
  <si>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</si>
  <si>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</si>
  <si>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</si>
  <si>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</si>
  <si>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</si>
  <si>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</si>
  <si>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</si>
  <si>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</si>
  <si>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</si>
  <si>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</si>
  <si>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</si>
  <si>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</si>
  <si>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</si>
  <si>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</si>
  <si>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</si>
  <si>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</si>
  <si>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</si>
  <si>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</si>
  <si>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</si>
  <si>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</si>
  <si>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</si>
  <si>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</si>
  <si>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</si>
  <si>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</si>
  <si>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</si>
  <si>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</si>
  <si>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</si>
  <si>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</si>
  <si>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</si>
  <si>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</si>
  <si>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</si>
  <si>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</si>
  <si>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</si>
  <si>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</si>
  <si>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</si>
  <si>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</si>
  <si>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</si>
  <si>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</si>
  <si>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</si>
  <si>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</si>
  <si>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</si>
  <si>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</si>
  <si>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</si>
  <si>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</si>
  <si>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</si>
  <si>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</si>
  <si>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</si>
  <si>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</si>
  <si>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</si>
  <si>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Sistema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</si>
  <si>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</si>
  <si>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</si>
  <si>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</si>
  <si>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</si>
  <si>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</si>
  <si>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</si>
  <si>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</si>
  <si>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</si>
  <si>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</si>
  <si>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</si>
  <si>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</si>
  <si>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</si>
  <si>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</si>
  <si>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</si>
  <si>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</si>
  <si>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</si>
  <si>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</si>
  <si>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</si>
  <si>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</si>
  <si>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</si>
  <si>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</si>
  <si>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</si>
  <si>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</si>
  <si>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</si>
  <si>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insert profiles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</si>
  <si>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</si>
  <si>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</si>
  <si>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</si>
  <si>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</si>
  <si>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</si>
  <si>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</si>
  <si>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</si>
  <si>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</si>
  <si>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</si>
  <si>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</si>
  <si>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</si>
  <si>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</si>
  <si>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</si>
  <si>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insert profiles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</si>
  <si>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</si>
  <si>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</si>
  <si>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</si>
  <si>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</si>
  <si>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</si>
  <si>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</si>
  <si>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</si>
  <si>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</si>
  <si>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</si>
  <si>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</si>
  <si>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</si>
  <si>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</si>
  <si>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</si>
  <si>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</si>
  <si>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</si>
  <si>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</si>
  <si>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</si>
  <si>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</si>
  <si>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</si>
  <si>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</si>
  <si>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</si>
  <si>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</si>
  <si>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</si>
  <si>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</si>
  <si>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</si>
  <si>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</si>
  <si>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</si>
  <si>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</si>
  <si>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</si>
  <si>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</si>
  <si>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</si>
  <si>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</si>
  <si>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</si>
  <si>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</si>
  <si>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</si>
  <si>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</si>
  <si>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</si>
  <si>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</si>
  <si>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</si>
  <si>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</si>
  <si>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</si>
  <si>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</si>
  <si>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</si>
  <si>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</si>
  <si>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</si>
  <si>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</si>
  <si>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</si>
  <si>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</si>
  <si>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</si>
  <si>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</si>
  <si>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</si>
  <si>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</si>
  <si>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</si>
  <si>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</si>
  <si>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</si>
  <si>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</si>
  <si>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</si>
  <si>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</si>
  <si>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</si>
  <si>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</si>
  <si>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</si>
  <si>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</si>
  <si>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</si>
  <si>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</si>
  <si>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</si>
  <si>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</si>
  <si>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</si>
  <si>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</si>
  <si>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</si>
  <si>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e FX.12</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</si>
  <si>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</si>
  <si>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</si>
  <si>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</si>
  <si>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</si>
  <si>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</si>
  <si>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</si>
  <si>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</si>
  <si>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</si>
  <si>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</si>
  <si>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</si>
  <si>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</si>
  <si>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</si>
  <si>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</si>
  <si>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</si>
  <si>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</si>
  <si>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</si>
  <si>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</si>
  <si>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</si>
  <si>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</si>
  <si>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</si>
  <si>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</si>
  <si>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</si>
  <si>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</si>
  <si>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</si>
  <si>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</si>
  <si>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</si>
  <si>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</si>
  <si>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</si>
  <si>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</si>
  <si>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</si>
  <si>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</si>
  <si>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</si>
  <si>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</si>
  <si>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</si>
  <si>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</si>
  <si>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</si>
  <si>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</si>
  <si>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</si>
  <si>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</si>
  <si>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</si>
  <si>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</si>
  <si>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</si>
  <si>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</si>
  <si>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</si>
  <si>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</si>
  <si>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</si>
  <si>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</si>
  <si>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</si>
  <si>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</si>
  <si>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</si>
  <si>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</si>
  <si>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</si>
  <si>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</si>
  <si>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</si>
  <si>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</si>
  <si>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</si>
  <si>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</si>
  <si>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</si>
  <si>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</si>
  <si>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</si>
  <si>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</si>
  <si>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</si>
  <si>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</si>
  <si>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</si>
  <si>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</si>
  <si>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</si>
  <si>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</si>
  <si>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</si>
  <si>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</si>
  <si>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</si>
  <si>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</si>
  <si>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</si>
  <si>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</si>
  <si>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</si>
  <si>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</si>
  <si>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</si>
  <si>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</si>
  <si>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</si>
  <si>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</si>
  <si>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</si>
  <si>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</si>
  <si>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</si>
  <si>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</si>
  <si>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</si>
  <si>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</si>
  <si>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</si>
  <si>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</si>
  <si>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</si>
  <si>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</si>
  <si>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</si>
  <si>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</si>
  <si>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</si>
  <si>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</si>
  <si>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</si>
  <si>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</si>
  <si>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</si>
  <si>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</si>
  <si>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</si>
  <si>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</si>
  <si>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</si>
  <si>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</si>
  <si>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</si>
  <si>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</si>
  <si>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</si>
  <si>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</si>
  <si>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</si>
  <si>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</si>
  <si>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</si>
  <si>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</si>
  <si>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</si>
  <si>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</si>
  <si>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</si>
  <si>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</si>
  <si>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</si>
  <si>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</si>
  <si>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Sezione - Copertina muro perimetrale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</si>
  <si>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</si>
  <si>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</si>
  <si>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</si>
  <si>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</si>
  <si>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</si>
  <si>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</si>
  <si>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</si>
  <si>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</si>
  <si>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</si>
  <si>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</si>
  <si>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</si>
  <si>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</si>
  <si>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</si>
  <si>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</si>
  <si>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</si>
  <si>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</si>
  <si>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</si>
  <si>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</si>
  <si>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</si>
  <si>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</si>
  <si>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</si>
  <si>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</si>
  <si>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</si>
  <si>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</si>
  <si>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</si>
  <si>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</si>
  <si>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</si>
  <si>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</si>
  <si>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</si>
  <si>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</si>
  <si>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</si>
  <si>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</si>
  <si>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</si>
  <si>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</si>
  <si>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</si>
  <si>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</si>
  <si>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</si>
  <si>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</si>
  <si>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</si>
  <si>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</si>
  <si>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</si>
  <si>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</si>
  <si>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</si>
  <si>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</si>
  <si>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</si>
  <si>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</si>
  <si>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</si>
  <si>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</si>
  <si>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</si>
  <si>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</si>
  <si>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</si>
  <si>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</si>
  <si>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</si>
  <si>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</si>
  <si>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</si>
  <si>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</si>
  <si>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</si>
  <si>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</si>
  <si>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</si>
  <si>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</si>
  <si>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</si>
  <si>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</si>
  <si>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</si>
  <si>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</si>
  <si>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</si>
  <si>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</si>
  <si>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</si>
  <si>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</si>
  <si>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</si>
  <si>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</si>
  <si>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</si>
  <si>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</si>
  <si>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</si>
  <si>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</si>
  <si>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</si>
  <si>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</si>
  <si>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</si>
  <si>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</si>
  <si>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</si>
  <si>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</si>
  <si>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</si>
  <si>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</si>
  <si>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</si>
  <si>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</si>
  <si>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</si>
  <si>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</si>
  <si>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</si>
  <si>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</si>
  <si>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</si>
  <si>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</si>
  <si>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</si>
  <si>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</si>
  <si>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</si>
  <si>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</si>
  <si>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</si>
  <si>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</si>
  <si>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</si>
  <si>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</si>
  <si>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</si>
  <si>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</si>
  <si>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</si>
  <si>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</si>
  <si>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</si>
  <si>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</si>
  <si>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</si>
  <si>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</si>
  <si>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</si>
  <si>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</si>
  <si>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</si>
  <si>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</si>
  <si>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</si>
  <si>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</si>
  <si>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</si>
  <si>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</si>
  <si>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</si>
  <si>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</si>
  <si>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</si>
  <si>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</si>
  <si>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</si>
  <si>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</si>
  <si>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</si>
  <si>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</si>
  <si>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</si>
  <si>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</si>
  <si>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</si>
  <si>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</si>
  <si>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</si>
  <si>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</si>
  <si>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</si>
  <si>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</si>
  <si>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</si>
  <si>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</si>
  <si>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</si>
  <si>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</si>
  <si>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</si>
  <si>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</si>
  <si>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</si>
  <si>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</si>
  <si>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</si>
  <si>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</si>
  <si>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</si>
  <si>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</si>
  <si>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</si>
  <si>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</si>
  <si>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</si>
  <si>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</si>
  <si>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</si>
  <si>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</si>
  <si>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</si>
  <si>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</si>
  <si>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</si>
  <si>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</si>
  <si>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</si>
  <si>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</si>
  <si>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</si>
  <si>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</si>
  <si>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</si>
  <si>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</si>
  <si>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</si>
  <si>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</si>
  <si>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</si>
  <si>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</si>
  <si>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</si>
  <si>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</si>
  <si>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</si>
  <si>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</si>
  <si>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</si>
  <si>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</si>
  <si>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</si>
  <si>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</si>
  <si>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</si>
  <si>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</si>
  <si>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</si>
  <si>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</si>
  <si>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</si>
  <si>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</si>
  <si>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</si>
  <si>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</si>
  <si>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</si>
  <si>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</si>
  <si>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</si>
  <si>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</si>
  <si>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</si>
  <si>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</si>
  <si>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</si>
  <si>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</si>
  <si>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</si>
  <si>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</si>
  <si>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</si>
  <si>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</si>
  <si>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</si>
  <si>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</si>
  <si>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</si>
  <si>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</si>
  <si>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</si>
  <si>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</si>
  <si>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</si>
  <si>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</si>
  <si>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</si>
  <si>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</si>
  <si>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</si>
  <si>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</si>
  <si>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</si>
  <si>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</si>
  <si>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</si>
  <si>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</si>
  <si>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</si>
  <si>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</si>
  <si>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</si>
  <si>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</si>
  <si>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</si>
  <si>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</si>
  <si>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</si>
  <si>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</si>
  <si>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</si>
  <si>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</si>
  <si>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</si>
  <si>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</si>
  <si>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</si>
  <si>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</si>
  <si>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</si>
  <si>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</si>
  <si>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</si>
  <si>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</si>
  <si>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</si>
  <si>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</si>
  <si>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</si>
  <si>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</si>
  <si>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</si>
  <si>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</si>
  <si>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</si>
  <si>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</si>
  <si>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</si>
  <si>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</si>
  <si>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</si>
  <si>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</si>
  <si>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</si>
  <si>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</si>
  <si>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</si>
  <si>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</si>
  <si>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</si>
  <si>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</si>
  <si>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</si>
  <si>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</si>
  <si>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</si>
  <si>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</si>
  <si>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</si>
  <si>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</si>
  <si>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</si>
  <si>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</si>
  <si>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</si>
  <si>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</si>
  <si>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</si>
  <si>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</si>
  <si>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</si>
  <si>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</si>
  <si>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</si>
  <si>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</si>
  <si>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</si>
  <si>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</si>
  <si>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</si>
  <si>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</si>
  <si>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</si>
  <si>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</si>
  <si>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</si>
  <si>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</si>
  <si>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</si>
  <si>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</si>
  <si>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</si>
  <si>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</si>
  <si>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</si>
  <si>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</si>
  <si>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</si>
  <si>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</si>
  <si>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</si>
  <si>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</si>
  <si>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</si>
  <si>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</si>
  <si>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</si>
  <si>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</si>
  <si>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</si>
  <si>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</si>
  <si>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</si>
  <si>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</si>
  <si>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</si>
  <si>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</si>
  <si>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</si>
  <si>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</si>
  <si>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</si>
  <si>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</si>
  <si>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</si>
  <si>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</si>
  <si>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</si>
  <si>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</si>
  <si>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</si>
  <si>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</si>
  <si>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</si>
  <si>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</si>
  <si>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</si>
  <si>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</si>
  <si>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</si>
  <si>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</si>
  <si>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</si>
  <si>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</si>
  <si>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</si>
  <si>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</si>
  <si>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</si>
  <si>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</si>
  <si>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</si>
  <si>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</si>
  <si>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</si>
  <si>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</si>
  <si>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</si>
  <si>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</si>
  <si>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</si>
  <si>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</si>
  <si>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</si>
  <si>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</si>
  <si>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</si>
  <si>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</si>
  <si>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</si>
  <si>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</si>
  <si>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</si>
  <si>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per Doghe</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</si>
  <si>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</si>
  <si>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</si>
  <si>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</si>
  <si>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</si>
  <si>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</si>
  <si>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</si>
  <si>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</si>
  <si>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</si>
  <si>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</si>
  <si>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</si>
  <si>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</si>
  <si>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</si>
  <si>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</si>
  <si>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</si>
  <si>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</si>
  <si>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</si>
  <si>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</si>
  <si>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</si>
  <si>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</si>
  <si>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</si>
  <si>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</si>
  <si>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</si>
  <si>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</si>
  <si>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</si>
  <si>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</si>
  <si>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</si>
  <si>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</si>
  <si>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</si>
  <si>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</si>
  <si>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</si>
  <si>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</si>
  <si>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</si>
  <si>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</si>
  <si>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</si>
  <si>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</si>
  <si>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</si>
  <si>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</si>
  <si>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</si>
  <si>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</si>
  <si>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</si>
  <si>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</si>
  <si>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</si>
  <si>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</si>
  <si>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</si>
  <si>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</si>
  <si>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</si>
  <si>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</si>
  <si>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</si>
  <si>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</si>
  <si>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</si>
  <si>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</si>
  <si>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</si>
  <si>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</si>
  <si>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</si>
  <si>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</si>
  <si>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</si>
  <si>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</si>
  <si>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</si>
  <si>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</si>
  <si>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</si>
  <si>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</si>
  <si>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</si>
  <si>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</si>
  <si>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</si>
  <si>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</si>
  <si>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</si>
  <si>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</si>
  <si>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</si>
  <si>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</si>
  <si>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</si>
  <si>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</si>
  <si>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</si>
  <si>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</si>
  <si>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</si>
  <si>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</si>
  <si>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</si>
  <si>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</si>
  <si>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</si>
  <si>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</si>
  <si>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</si>
  <si>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</si>
  <si>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</si>
  <si>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</si>
  <si>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</si>
  <si>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</si>
  <si>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</si>
  <si>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</si>
  <si>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</si>
  <si>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</si>
  <si>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</si>
  <si>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</si>
  <si>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</si>
  <si>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</si>
  <si>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</si>
  <si>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</si>
  <si>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</si>
  <si>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</si>
  <si>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</si>
  <si>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</si>
  <si>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</si>
  <si>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</si>
  <si>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</si>
  <si>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</si>
  <si>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</si>
  <si>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</si>
  <si>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</si>
  <si>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</si>
  <si>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</si>
  <si>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</si>
  <si>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</si>
  <si>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</si>
  <si>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</si>
  <si>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</si>
  <si>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</si>
  <si>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</si>
  <si>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</si>
  <si>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</si>
  <si>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</si>
  <si>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</si>
  <si>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</si>
  <si>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</si>
  <si>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</si>
  <si>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</si>
  <si>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</si>
  <si>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</si>
  <si>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</si>
  <si>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</si>
  <si>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fuori standard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</si>
  <si>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</si>
  <si>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</si>
  <si>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</si>
  <si>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</si>
  <si>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</si>
  <si>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</si>
  <si>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</si>
  <si>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</si>
  <si>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</si>
  <si>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</si>
  <si>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</si>
  <si>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</si>
  <si>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</si>
  <si>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Cassetta di raccolta fuori standard</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</si>
  <si>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</si>
  <si>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</si>
  <si>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</si>
  <si>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</si>
  <si>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</si>
  <si>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</si>
  <si>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</si>
  <si>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</si>
  <si>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</si>
  <si>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</si>
  <si>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</si>
  <si>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</si>
  <si>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</si>
  <si>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Travi</t>
  </si>
  <si>
    <t>Krokwie</t>
  </si>
  <si>
    <t>szarufa</t>
  </si>
  <si>
    <t>Spanten</t>
  </si>
  <si>
    <t>Špirovci</t>
  </si>
  <si>
    <t>Spær</t>
  </si>
  <si>
    <t>Sperrer</t>
  </si>
  <si>
    <t>Roženice</t>
  </si>
  <si>
    <t>Sparrenabdeckung</t>
  </si>
  <si>
    <t>rafter cover</t>
  </si>
  <si>
    <t>tôle de protection pour chevron</t>
  </si>
  <si>
    <t>Rivestimento travi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</si>
  <si>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</si>
  <si>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</si>
  <si>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</si>
  <si>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</si>
  <si>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</si>
  <si>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</si>
  <si>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</si>
  <si>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</si>
  <si>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</si>
  <si>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</si>
  <si>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</si>
  <si>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</si>
  <si>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</si>
  <si>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</si>
  <si>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</si>
  <si>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</si>
  <si>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</si>
  <si>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</si>
  <si>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</si>
  <si>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</si>
  <si>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</si>
  <si>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</si>
  <si>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</si>
  <si>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</si>
  <si>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</si>
  <si>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</si>
  <si>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</si>
  <si>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</si>
  <si>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</si>
  <si>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</si>
  <si>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</si>
  <si>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</si>
  <si>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</si>
  <si>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</si>
  <si>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</si>
  <si>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</si>
  <si>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</si>
  <si>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</si>
  <si>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</si>
  <si>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</si>
  <si>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</si>
  <si>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</si>
  <si>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</si>
  <si>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</si>
  <si>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</si>
  <si>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</si>
  <si>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</si>
  <si>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</si>
  <si>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</si>
  <si>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</si>
  <si>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</si>
  <si>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</si>
  <si>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</si>
  <si>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</si>
  <si>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</si>
  <si>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</si>
  <si>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</si>
  <si>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</si>
  <si>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</si>
  <si>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</si>
  <si>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</si>
  <si>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</si>
  <si>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</si>
  <si>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</si>
  <si>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</si>
  <si>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</si>
  <si>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</si>
  <si>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</si>
  <si>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</si>
  <si>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</si>
  <si>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</si>
  <si>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</si>
  <si>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</si>
  <si>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</si>
  <si>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</si>
  <si>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</si>
  <si>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</si>
  <si>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</si>
  <si>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</si>
  <si>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</si>
  <si>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</si>
  <si>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</si>
  <si>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</si>
  <si>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</si>
  <si>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</si>
  <si>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</si>
  <si>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</si>
  <si>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</si>
  <si>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</si>
  <si>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</si>
  <si>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</si>
  <si>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</si>
  <si>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</si>
  <si>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</si>
  <si>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</si>
  <si>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</si>
  <si>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</si>
  <si>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</si>
  <si>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</si>
  <si>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</si>
  <si>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</si>
  <si>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</si>
  <si>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</si>
  <si>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</si>
  <si>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</si>
  <si>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</si>
  <si>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VERSION :</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</si>
  <si>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</si>
  <si>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</si>
  <si>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</si>
  <si>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</si>
  <si>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</si>
  <si>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</si>
  <si>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</si>
  <si>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</si>
  <si>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</si>
  <si>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</si>
  <si>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</si>
  <si>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</si>
  <si>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</si>
  <si>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</si>
  <si>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</si>
  <si>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</si>
  <si>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</si>
  <si>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</si>
  <si>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</si>
  <si>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</si>
  <si>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</si>
  <si>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</si>
  <si>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</si>
  <si>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reinforced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</si>
  <si>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</si>
  <si>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</si>
  <si>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</si>
  <si>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</si>
  <si>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</si>
  <si>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</si>
  <si>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</si>
  <si>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</si>
  <si>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</si>
  <si>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</si>
  <si>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</si>
  <si>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</si>
  <si>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</si>
  <si>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</si>
  <si>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</si>
  <si>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</si>
  <si>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</si>
  <si>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</si>
  <si>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</si>
  <si>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</si>
  <si>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</si>
  <si>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</si>
  <si>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</si>
  <si>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</si>
  <si>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</si>
  <si>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</si>
  <si>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</si>
  <si>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</si>
  <si>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</si>
  <si>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</si>
  <si>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</si>
  <si>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</si>
  <si>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</si>
  <si>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</si>
  <si>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</si>
  <si>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</si>
  <si>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</si>
  <si>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</si>
  <si>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</si>
  <si>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</si>
  <si>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</si>
  <si>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</si>
  <si>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</si>
  <si>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</si>
  <si>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</si>
  <si>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</si>
  <si>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</si>
  <si>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</si>
  <si>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</si>
  <si>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</si>
  <si>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</si>
  <si>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</si>
  <si>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</si>
  <si>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</si>
  <si>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</si>
  <si>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</si>
  <si>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</si>
  <si>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</si>
  <si>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</si>
  <si>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</si>
  <si>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</si>
  <si>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</si>
  <si>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</si>
  <si>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</si>
  <si>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</si>
  <si>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</si>
  <si>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</si>
  <si>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</si>
  <si>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</si>
  <si>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</si>
  <si>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</si>
  <si>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</si>
  <si>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</si>
  <si>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</si>
  <si>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</si>
  <si>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</si>
  <si>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</si>
  <si>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</si>
  <si>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</si>
  <si>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</si>
  <si>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</si>
  <si>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</si>
  <si>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</si>
  <si>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</si>
  <si>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</si>
  <si>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</si>
  <si>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</si>
  <si>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</si>
  <si>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</si>
  <si>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</si>
  <si>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</si>
  <si>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</si>
  <si>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</si>
  <si>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</si>
  <si>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</si>
  <si>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t>
  </si>
  <si>
    <t>demi-losange de départ (façade)</t>
  </si>
  <si>
    <t>Scaglia di partenza per scaglia per facciata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</si>
  <si>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</si>
  <si>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</si>
  <si>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</si>
  <si>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</si>
  <si>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</si>
  <si>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</si>
  <si>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</si>
  <si>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</si>
  <si>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</si>
  <si>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</si>
  <si>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</si>
  <si>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</si>
  <si>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</si>
  <si>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</si>
  <si>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</si>
  <si>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</si>
  <si>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</si>
  <si>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</si>
  <si>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</si>
  <si>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</si>
  <si>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</si>
  <si>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</si>
  <si>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</si>
  <si>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</si>
  <si>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</si>
  <si>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</si>
  <si>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</si>
  <si>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</si>
  <si>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</si>
  <si>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</si>
  <si>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</si>
  <si>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</si>
  <si>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</si>
  <si>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</si>
  <si>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</si>
  <si>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</si>
  <si>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</si>
  <si>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</si>
  <si>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</si>
  <si>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</si>
  <si>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</si>
  <si>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</si>
  <si>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</si>
  <si>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</si>
  <si>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</si>
  <si>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</si>
  <si>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</si>
  <si>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</si>
  <si>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</si>
  <si>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</si>
  <si>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</si>
  <si>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</si>
  <si>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</si>
  <si>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</si>
  <si>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</si>
  <si>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</si>
  <si>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</si>
  <si>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</si>
  <si>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</si>
  <si>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</si>
  <si>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</si>
  <si>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</si>
  <si>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</si>
  <si>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</si>
  <si>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</si>
  <si>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</si>
  <si>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</si>
  <si>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</si>
  <si>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</si>
  <si>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</si>
  <si>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</si>
  <si>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</si>
  <si>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</si>
  <si>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</si>
  <si>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</si>
  <si>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</si>
  <si>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</si>
  <si>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</si>
  <si>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</si>
  <si>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</si>
  <si>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</si>
  <si>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</si>
  <si>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</si>
  <si>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</si>
  <si>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</si>
  <si>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</si>
  <si>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</si>
  <si>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</si>
  <si>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</si>
  <si>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</si>
  <si>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</si>
  <si>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</si>
  <si>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</si>
  <si>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</si>
  <si>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</si>
  <si>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</si>
  <si>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</si>
  <si>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</si>
  <si>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</si>
  <si>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</si>
  <si>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</si>
  <si>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</si>
  <si>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</si>
  <si>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</si>
  <si>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</si>
  <si>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</si>
  <si>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</si>
  <si>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</si>
  <si>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</si>
  <si>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</si>
  <si>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</si>
  <si>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</si>
  <si>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</si>
  <si>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fascia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</si>
  <si>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</si>
  <si>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</si>
  <si>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</si>
  <si>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</si>
  <si>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</si>
  <si>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</si>
  <si>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</si>
  <si>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</si>
  <si>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</si>
  <si>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</si>
  <si>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</si>
  <si>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</si>
  <si>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</si>
  <si>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fascia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</si>
  <si>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</si>
  <si>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</si>
  <si>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</si>
  <si>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</si>
  <si>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</si>
  <si>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</si>
  <si>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</si>
  <si>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</si>
  <si>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</si>
  <si>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</si>
  <si>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</si>
  <si>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</si>
  <si>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</si>
  <si>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</si>
  <si>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</si>
  <si>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</si>
  <si>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</si>
  <si>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</si>
  <si>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</si>
  <si>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</si>
  <si>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</si>
  <si>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</si>
  <si>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</si>
  <si>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</si>
  <si>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</si>
  <si>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</si>
  <si>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</si>
  <si>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</si>
  <si>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</si>
  <si>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</si>
  <si>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</si>
  <si>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</si>
  <si>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</si>
  <si>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</si>
  <si>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</si>
  <si>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</si>
  <si>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</si>
  <si>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</si>
  <si>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</si>
  <si>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</si>
  <si>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</si>
  <si>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</si>
  <si>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</si>
  <si>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</si>
  <si>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</si>
  <si>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</si>
  <si>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</si>
  <si>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</si>
  <si>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</si>
  <si>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</si>
  <si>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</si>
  <si>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</si>
  <si>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</si>
  <si>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</si>
  <si>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</si>
  <si>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</si>
  <si>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</si>
  <si>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</si>
  <si>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</si>
  <si>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</si>
  <si>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</si>
  <si>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</si>
  <si>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</si>
  <si>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</si>
  <si>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</si>
  <si>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</si>
  <si>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</si>
  <si>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</si>
  <si>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</si>
  <si>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</si>
  <si>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</si>
  <si>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</si>
  <si>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</si>
  <si>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</si>
  <si>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</si>
  <si>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</si>
  <si>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</si>
  <si>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</si>
  <si>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</si>
  <si>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</si>
  <si>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</si>
  <si>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</si>
  <si>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</si>
  <si>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</si>
  <si>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</si>
  <si>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</si>
  <si>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</si>
  <si>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</si>
  <si>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</si>
  <si>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</si>
  <si>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</si>
  <si>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</si>
  <si>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</si>
  <si>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</si>
  <si>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</si>
  <si>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</si>
  <si>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</si>
  <si>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</si>
  <si>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</si>
  <si>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</si>
  <si>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</si>
  <si>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</si>
  <si>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</si>
  <si>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</si>
  <si>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</si>
  <si>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</si>
  <si>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</si>
  <si>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</si>
  <si>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</si>
  <si>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Strato separatore a filamento 3D</t>
  </si>
  <si>
    <t>strukturní rohož</t>
  </si>
  <si>
    <t>Mata strukturalna</t>
  </si>
  <si>
    <t>alátétszőnyeg</t>
  </si>
  <si>
    <t>štruktúrovaná rohož</t>
  </si>
  <si>
    <t>Structuurmat</t>
  </si>
  <si>
    <t>Strukturna blazina</t>
  </si>
  <si>
    <t>texturmatta</t>
  </si>
  <si>
    <t>Strukturmåtte</t>
  </si>
  <si>
    <t>Podloga s teksturom</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</si>
  <si>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</si>
  <si>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</si>
  <si>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</si>
  <si>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</si>
  <si>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</si>
  <si>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</si>
  <si>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</si>
  <si>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</si>
  <si>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</si>
  <si>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</si>
  <si>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</si>
  <si>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</si>
  <si>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</si>
  <si>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</si>
  <si>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</si>
  <si>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</si>
  <si>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</si>
  <si>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</si>
  <si>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</si>
  <si>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</si>
  <si>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</si>
  <si>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</si>
  <si>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</si>
  <si>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</si>
  <si>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</si>
  <si>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</si>
  <si>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</si>
  <si>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</si>
  <si>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</si>
  <si>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</si>
  <si>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</si>
  <si>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</si>
  <si>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</si>
  <si>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</si>
  <si>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</si>
  <si>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</si>
  <si>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</si>
  <si>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</si>
  <si>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</si>
  <si>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</si>
  <si>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</si>
  <si>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</si>
  <si>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</si>
  <si>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</si>
  <si>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</si>
  <si>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</si>
  <si>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</si>
  <si>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</si>
  <si>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</si>
  <si>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</si>
  <si>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</si>
  <si>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</si>
  <si>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</si>
  <si>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</si>
  <si>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</si>
  <si>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</si>
  <si>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</si>
  <si>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</si>
  <si>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</si>
  <si>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</si>
  <si>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</si>
  <si>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</si>
  <si>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</si>
  <si>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</si>
  <si>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</si>
  <si>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</si>
  <si>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</si>
  <si>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</si>
  <si>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</si>
  <si>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</si>
  <si>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</si>
  <si>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</si>
  <si>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</si>
  <si>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</si>
  <si>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</si>
  <si>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</si>
  <si>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</si>
  <si>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</si>
  <si>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</si>
  <si>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</si>
  <si>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</si>
  <si>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</si>
  <si>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</si>
  <si>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</si>
  <si>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</si>
  <si>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</si>
  <si>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</si>
  <si>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</si>
  <si>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</si>
  <si>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</si>
  <si>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</si>
  <si>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</si>
  <si>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</si>
  <si>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</si>
  <si>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</si>
  <si>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</si>
  <si>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</si>
  <si>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</si>
  <si>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</si>
  <si>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</si>
  <si>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</si>
  <si>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</si>
  <si>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</si>
  <si>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</si>
  <si>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</si>
  <si>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</si>
  <si>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</si>
  <si>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</si>
  <si>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</si>
  <si>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</si>
  <si>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</si>
  <si>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</si>
  <si>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</si>
  <si>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</si>
  <si>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</si>
  <si>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</si>
  <si>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</si>
  <si>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</si>
  <si>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</si>
  <si>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</si>
  <si>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</si>
  <si>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</si>
  <si>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</si>
  <si>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</si>
  <si>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</si>
  <si>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</si>
  <si>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</si>
  <si>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</si>
  <si>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</si>
  <si>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</si>
  <si>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</si>
  <si>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</si>
  <si>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</si>
  <si>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</si>
  <si>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</si>
  <si>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</si>
  <si>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</si>
  <si>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</si>
  <si>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</si>
  <si>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</si>
  <si>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</si>
  <si>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</si>
  <si>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</si>
  <si>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</si>
  <si>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</si>
  <si>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</si>
  <si>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</si>
  <si>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</si>
  <si>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</si>
  <si>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</si>
  <si>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</si>
  <si>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</si>
  <si>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</si>
  <si>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</si>
  <si>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</si>
  <si>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</si>
  <si>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</si>
  <si>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</si>
  <si>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</si>
  <si>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</si>
  <si>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</si>
  <si>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</si>
  <si>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</si>
  <si>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</si>
  <si>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</si>
  <si>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</si>
  <si>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</si>
  <si>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</si>
  <si>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</si>
  <si>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</si>
  <si>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</si>
  <si>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</si>
  <si>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</si>
  <si>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</si>
  <si>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</si>
  <si>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</si>
  <si>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</si>
  <si>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</si>
  <si>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</si>
  <si>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</si>
  <si>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</si>
  <si>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</si>
  <si>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</si>
  <si>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</si>
  <si>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</si>
  <si>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</si>
  <si>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</si>
  <si>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</si>
  <si>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</si>
  <si>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</si>
  <si>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</si>
  <si>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</si>
  <si>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</si>
  <si>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</si>
  <si>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</si>
  <si>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</si>
  <si>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</si>
  <si>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</si>
  <si>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</si>
  <si>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</si>
  <si>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</si>
  <si>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</si>
  <si>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</si>
  <si>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</si>
  <si>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</si>
  <si>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</si>
  <si>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</si>
  <si>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</si>
  <si>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</si>
  <si>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</si>
  <si>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</si>
  <si>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</si>
  <si>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</si>
  <si>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</si>
  <si>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</si>
  <si>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</si>
  <si>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</si>
  <si>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</si>
  <si>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</si>
  <si>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</si>
  <si>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</si>
  <si>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</si>
  <si>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</si>
  <si>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</si>
  <si>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</si>
  <si>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</si>
  <si>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</si>
  <si>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</si>
  <si>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</si>
  <si>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</si>
  <si>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</si>
  <si>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</si>
  <si>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</si>
  <si>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</si>
  <si>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</si>
  <si>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</si>
  <si>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</si>
  <si>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</si>
  <si>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</si>
  <si>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</si>
  <si>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</si>
  <si>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</si>
  <si>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</si>
  <si>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</si>
  <si>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</si>
  <si>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</si>
  <si>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</si>
  <si>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</si>
  <si>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</si>
  <si>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</si>
  <si>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</si>
  <si>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</si>
  <si>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</si>
  <si>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</si>
  <si>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</si>
  <si>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</si>
  <si>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</si>
  <si>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</si>
  <si>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</si>
  <si>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</si>
  <si>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</si>
  <si>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</si>
  <si>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</si>
  <si>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</si>
  <si>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</si>
  <si>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</si>
  <si>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</si>
  <si>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</si>
  <si>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</si>
  <si>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</si>
  <si>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</si>
  <si>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</si>
  <si>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</si>
  <si>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</si>
  <si>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</si>
  <si>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</si>
  <si>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</si>
  <si>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</si>
  <si>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</si>
  <si>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</si>
  <si>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</si>
  <si>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</si>
  <si>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</si>
  <si>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</si>
  <si>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</si>
  <si>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</si>
  <si>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</si>
  <si>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</si>
  <si>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</si>
  <si>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</si>
  <si>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</si>
  <si>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</si>
  <si>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</si>
  <si>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cicogne con ferro in costa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</si>
  <si>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</si>
  <si>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</si>
  <si>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</si>
  <si>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</si>
  <si>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</si>
  <si>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</si>
  <si>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</si>
  <si>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</si>
  <si>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</si>
  <si>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</si>
  <si>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</si>
  <si>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</si>
  <si>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</si>
  <si>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cicogne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</si>
  <si>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</si>
  <si>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</si>
  <si>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</si>
  <si>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</si>
  <si>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</si>
  <si>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</si>
  <si>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</si>
  <si>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</si>
  <si>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</si>
  <si>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</si>
  <si>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</si>
  <si>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</si>
  <si>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</si>
  <si>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cicogne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</si>
  <si>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</si>
  <si>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</si>
  <si>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</si>
  <si>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</si>
  <si>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</si>
  <si>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</si>
  <si>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</si>
  <si>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</si>
  <si>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</si>
  <si>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</si>
  <si>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</si>
  <si>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</si>
  <si>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</si>
  <si>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</si>
  <si>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</si>
  <si>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</si>
  <si>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</si>
  <si>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</si>
  <si>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</si>
  <si>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</si>
  <si>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</si>
  <si>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</si>
  <si>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</si>
  <si>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</si>
  <si>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</si>
  <si>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</si>
  <si>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</si>
  <si>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</si>
  <si>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</si>
  <si>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</si>
  <si>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</si>
  <si>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</si>
  <si>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</si>
  <si>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</si>
  <si>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</si>
  <si>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</si>
  <si>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</si>
  <si>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</si>
  <si>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</si>
  <si>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</si>
  <si>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</si>
  <si>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</si>
  <si>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</si>
  <si>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</si>
  <si>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</si>
  <si>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</si>
  <si>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</si>
  <si>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</si>
  <si>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</si>
  <si>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</si>
  <si>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</si>
  <si>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</si>
  <si>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</si>
  <si>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</si>
  <si>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</si>
  <si>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</si>
  <si>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</si>
  <si>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</si>
  <si>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</si>
  <si>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</si>
  <si>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</si>
  <si>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</si>
  <si>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</si>
  <si>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</si>
  <si>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</si>
  <si>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</si>
  <si>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</si>
  <si>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</si>
  <si>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</si>
  <si>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</si>
  <si>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</si>
  <si>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</si>
  <si>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</si>
  <si>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</si>
  <si>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</si>
  <si>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</si>
  <si>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</si>
  <si>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</si>
  <si>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</si>
  <si>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</si>
  <si>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</si>
  <si>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</si>
  <si>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</si>
  <si>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</si>
  <si>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</si>
  <si>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</si>
  <si>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</si>
  <si>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</si>
  <si>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</si>
  <si>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</si>
  <si>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</si>
  <si>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</si>
  <si>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</si>
  <si>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</si>
  <si>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</si>
  <si>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</si>
  <si>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</si>
  <si>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</si>
  <si>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</si>
  <si>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</si>
  <si>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</si>
  <si>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</si>
  <si>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</si>
  <si>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</si>
  <si>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</si>
  <si>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</si>
  <si>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</si>
  <si>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</si>
  <si>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</si>
  <si>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</si>
  <si>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</si>
  <si>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</si>
  <si>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</si>
  <si>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</si>
  <si>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</si>
  <si>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</si>
  <si>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</si>
  <si>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</si>
  <si>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</si>
  <si>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</si>
  <si>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</si>
  <si>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</si>
  <si>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</si>
  <si>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</si>
  <si>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</si>
  <si>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</si>
  <si>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</si>
  <si>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</si>
  <si>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</si>
  <si>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</si>
  <si>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</si>
  <si>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</si>
  <si>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</si>
  <si>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</si>
  <si>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</si>
  <si>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</si>
  <si>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</si>
  <si>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</si>
  <si>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</si>
  <si>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</si>
  <si>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</si>
  <si>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</si>
  <si>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</si>
  <si>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</si>
  <si>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</si>
  <si>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</si>
  <si>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</si>
  <si>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</si>
  <si>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</si>
  <si>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</si>
  <si>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</si>
  <si>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</si>
  <si>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</si>
  <si>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</si>
  <si>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</si>
  <si>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</si>
  <si>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</si>
  <si>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</si>
  <si>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</si>
  <si>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</si>
  <si>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</si>
  <si>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</si>
  <si>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</si>
  <si>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</si>
  <si>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vent pipe cover (two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</si>
  <si>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</si>
  <si>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</si>
  <si>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</si>
  <si>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</si>
  <si>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</si>
  <si>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</si>
  <si>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</si>
  <si>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</si>
  <si>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</si>
  <si>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</si>
  <si>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</si>
  <si>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</si>
  <si>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</si>
  <si>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</si>
  <si>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</si>
  <si>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</si>
  <si>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</si>
  <si>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</si>
  <si>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</si>
  <si>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</si>
  <si>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</si>
  <si>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</si>
  <si>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</si>
  <si>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</si>
  <si>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</si>
  <si>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</si>
  <si>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</si>
  <si>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</si>
  <si>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</si>
  <si>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</si>
  <si>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</si>
  <si>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</si>
  <si>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</si>
  <si>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</si>
  <si>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</si>
  <si>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</si>
  <si>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</si>
  <si>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</si>
  <si>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</si>
  <si>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</si>
  <si>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</si>
  <si>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</si>
  <si>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</si>
  <si>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</si>
  <si>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</si>
  <si>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</si>
  <si>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</si>
  <si>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</si>
  <si>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</si>
  <si>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</si>
  <si>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</si>
  <si>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</si>
  <si>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</si>
  <si>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</si>
  <si>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</si>
  <si>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</si>
  <si>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</si>
  <si>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</si>
  <si>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</si>
  <si>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</si>
  <si>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</si>
  <si>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</si>
  <si>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</si>
  <si>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</si>
  <si>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</si>
  <si>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</si>
  <si>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</si>
  <si>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</si>
  <si>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</si>
  <si>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</si>
  <si>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</si>
  <si>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</si>
  <si>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</si>
  <si>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</si>
  <si>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</si>
  <si>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</si>
  <si>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</si>
  <si>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</si>
  <si>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</si>
  <si>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</si>
  <si>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</si>
  <si>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</si>
  <si>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</si>
  <si>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</si>
  <si>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</si>
  <si>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</si>
  <si>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</si>
  <si>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</si>
  <si>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</si>
  <si>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</si>
  <si>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</si>
  <si>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</si>
  <si>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</si>
  <si>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</si>
  <si>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</si>
  <si>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</si>
  <si>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</si>
  <si>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</si>
  <si>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</si>
  <si>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</si>
  <si>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</si>
  <si>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</si>
  <si>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</si>
  <si>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</si>
  <si>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</si>
  <si>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</si>
  <si>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</si>
  <si>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</si>
  <si>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</si>
  <si>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</si>
  <si>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</si>
  <si>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</si>
  <si>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</si>
  <si>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</si>
  <si>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</si>
  <si>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</si>
  <si>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</si>
  <si>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</si>
  <si>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</si>
  <si>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</si>
  <si>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</si>
  <si>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</si>
  <si>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</si>
  <si>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</si>
  <si>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</si>
  <si>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</si>
  <si>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</si>
  <si>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</si>
  <si>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</si>
  <si>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</si>
  <si>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</si>
  <si>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</si>
  <si>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</si>
  <si>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</si>
  <si>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</si>
  <si>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</si>
  <si>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</si>
  <si>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</si>
  <si>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</si>
  <si>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</si>
  <si>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</si>
  <si>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</si>
  <si>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</si>
  <si>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</si>
  <si>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</si>
  <si>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</si>
  <si>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</si>
  <si>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</si>
  <si>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</si>
  <si>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</si>
  <si>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</si>
  <si>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</si>
  <si>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</si>
  <si>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</si>
  <si>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</si>
  <si>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</si>
  <si>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</si>
  <si>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</si>
  <si>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</si>
  <si>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</si>
  <si>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</si>
  <si>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</si>
  <si>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</si>
  <si>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</si>
  <si>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</si>
  <si>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</si>
  <si>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</si>
  <si>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</si>
  <si>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</si>
  <si>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</si>
  <si>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</si>
  <si>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</si>
  <si>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</si>
  <si>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</si>
  <si>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</si>
  <si>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</si>
  <si>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</si>
  <si>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</si>
  <si>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</si>
  <si>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</si>
  <si>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</si>
  <si>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</si>
  <si>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</si>
  <si>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</si>
  <si>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</si>
  <si>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</si>
  <si>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</si>
  <si>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</si>
  <si>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</si>
  <si>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</si>
  <si>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</si>
  <si>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</si>
  <si>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</si>
  <si>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</si>
  <si>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</si>
  <si>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</si>
  <si>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</si>
  <si>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</si>
  <si>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</si>
  <si>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</si>
  <si>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</si>
  <si>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</si>
  <si>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</si>
  <si>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</si>
  <si>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</si>
  <si>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</si>
  <si>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</si>
  <si>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</si>
  <si>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</si>
  <si>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</si>
  <si>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</si>
  <si>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</si>
  <si>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</si>
  <si>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</si>
  <si>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</si>
  <si>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</si>
  <si>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</si>
  <si>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</si>
  <si>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</si>
  <si>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</si>
  <si>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</si>
  <si>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</si>
  <si>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</si>
  <si>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</si>
  <si>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</si>
  <si>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</si>
  <si>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</si>
  <si>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</si>
  <si>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</si>
  <si>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</si>
  <si>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</si>
  <si>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</si>
  <si>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</si>
  <si>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</si>
  <si>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</si>
  <si>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</si>
  <si>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</si>
  <si>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</si>
  <si>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</si>
  <si>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</si>
  <si>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</si>
  <si>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</si>
  <si>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</si>
  <si>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</si>
  <si>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</si>
  <si>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</si>
  <si>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</si>
  <si>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</si>
  <si>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</si>
  <si>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</si>
  <si>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</si>
  <si>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</si>
  <si>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</si>
  <si>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</si>
  <si>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</si>
  <si>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</si>
  <si>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</si>
  <si>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</si>
  <si>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</si>
  <si>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</si>
  <si>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</si>
  <si>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</si>
  <si>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</si>
  <si>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</si>
  <si>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</si>
  <si>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</si>
  <si>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</si>
  <si>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</si>
  <si>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</si>
  <si>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</si>
  <si>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</si>
  <si>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</si>
  <si>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</si>
  <si>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</si>
  <si>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</si>
  <si>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</si>
  <si>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</si>
  <si>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</si>
  <si>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</si>
  <si>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</si>
  <si>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</si>
  <si>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</si>
  <si>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</si>
  <si>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</si>
  <si>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</si>
  <si>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</si>
  <si>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</si>
  <si>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</si>
  <si>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</si>
  <si>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</si>
  <si>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</si>
  <si>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</si>
  <si>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</si>
  <si>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</si>
  <si>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</si>
  <si>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</si>
  <si>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</si>
  <si>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</si>
  <si>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</si>
  <si>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</si>
  <si>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</si>
  <si>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</si>
  <si>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</si>
  <si>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</si>
  <si>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</si>
  <si>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</si>
  <si>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</si>
  <si>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</si>
  <si>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</si>
  <si>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</si>
  <si>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</si>
  <si>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</si>
  <si>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</si>
  <si>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</si>
  <si>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</si>
  <si>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</si>
  <si>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</si>
  <si>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</si>
  <si>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</si>
  <si>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</si>
  <si>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</si>
  <si>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</si>
  <si>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</si>
  <si>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</si>
  <si>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</si>
  <si>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</si>
  <si>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</si>
  <si>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</si>
  <si>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</si>
  <si>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</si>
  <si>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</si>
  <si>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</si>
  <si>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</si>
  <si>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</si>
  <si>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</si>
  <si>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</si>
  <si>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</si>
  <si>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</si>
  <si>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</si>
  <si>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</si>
  <si>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</si>
  <si>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</si>
  <si>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</si>
  <si>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</si>
  <si>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</si>
  <si>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</si>
  <si>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</si>
  <si>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</si>
  <si>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</si>
  <si>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</si>
  <si>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</si>
  <si>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</si>
  <si>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</si>
  <si>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</si>
  <si>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</si>
  <si>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</si>
  <si>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</si>
  <si>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</si>
  <si>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</si>
  <si>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</si>
  <si>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</si>
  <si>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</si>
  <si>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</si>
  <si>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</si>
  <si>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</si>
  <si>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</si>
  <si>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</si>
  <si>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</si>
  <si>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</si>
  <si>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</si>
  <si>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</si>
  <si>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</si>
  <si>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</si>
  <si>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</si>
  <si>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</si>
  <si>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</si>
  <si>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</si>
  <si>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</si>
  <si>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</si>
  <si>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</si>
  <si>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</si>
  <si>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</si>
  <si>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</si>
  <si>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</si>
  <si>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</si>
  <si>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</si>
  <si>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</si>
  <si>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</si>
  <si>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</si>
  <si>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</si>
  <si>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</si>
  <si>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</si>
  <si>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</si>
  <si>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</si>
  <si>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</si>
  <si>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</si>
  <si>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</si>
  <si>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</si>
  <si>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</si>
  <si>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</si>
  <si>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</si>
  <si>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</si>
  <si>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</si>
  <si>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</si>
  <si>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</si>
  <si>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</si>
  <si>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</si>
  <si>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</si>
  <si>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</si>
  <si>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</si>
  <si>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</si>
  <si>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</si>
  <si>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</si>
  <si>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</si>
  <si>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</si>
  <si>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</si>
  <si>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</si>
  <si>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</si>
  <si>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</si>
  <si>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</si>
  <si>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</si>
  <si>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</si>
  <si>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</si>
  <si>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</si>
  <si>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</si>
  <si>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</si>
  <si>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</si>
  <si>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</si>
  <si>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</si>
  <si>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</si>
  <si>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</si>
  <si>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</si>
  <si>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</si>
  <si>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</si>
  <si>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</si>
  <si>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</si>
  <si>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</si>
  <si>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</si>
  <si>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</si>
  <si>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</si>
  <si>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</si>
  <si>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</si>
  <si>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</si>
  <si>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</si>
  <si>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</si>
  <si>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</si>
  <si>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</si>
  <si>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</si>
  <si>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</si>
  <si>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</si>
  <si>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</si>
  <si>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</si>
  <si>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</si>
  <si>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</si>
  <si>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</si>
  <si>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</si>
  <si>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</si>
  <si>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</si>
  <si>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</si>
  <si>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</si>
  <si>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</si>
  <si>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</si>
  <si>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</si>
  <si>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</si>
  <si>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</si>
  <si>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</si>
  <si>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</si>
  <si>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</si>
  <si>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</si>
  <si>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</si>
  <si>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</si>
  <si>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</si>
  <si>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</si>
  <si>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</si>
  <si>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</si>
  <si>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</si>
  <si>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</si>
  <si>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</si>
  <si>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</si>
  <si>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</si>
  <si>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</si>
  <si>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</si>
  <si>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</si>
  <si>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</si>
  <si>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</si>
  <si>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</si>
  <si>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</si>
  <si>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</si>
  <si>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</si>
  <si>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</si>
  <si>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</si>
  <si>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</si>
  <si>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</si>
  <si>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</si>
  <si>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</si>
  <si>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</si>
  <si>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</si>
  <si>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</si>
  <si>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</si>
  <si>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</si>
  <si>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</si>
  <si>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</si>
  <si>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</si>
  <si>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</si>
  <si>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</si>
  <si>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</si>
  <si>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</si>
  <si>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</si>
  <si>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</si>
  <si>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</si>
  <si>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</si>
  <si>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</si>
  <si>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</si>
  <si>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</si>
  <si>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</si>
  <si>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</si>
  <si>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</si>
  <si>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</si>
  <si>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</si>
  <si>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</si>
  <si>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</si>
  <si>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</si>
  <si>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</si>
  <si>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</si>
  <si>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</si>
  <si>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</si>
  <si>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</si>
  <si>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</si>
  <si>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</si>
  <si>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</si>
  <si>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</si>
  <si>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</si>
  <si>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</si>
  <si>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</si>
  <si>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</si>
  <si>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</si>
  <si>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</si>
  <si>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</si>
  <si>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</si>
  <si>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</si>
  <si>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</si>
  <si>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</si>
  <si>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</si>
  <si>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</si>
  <si>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</si>
  <si>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</si>
  <si>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</si>
  <si>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</si>
  <si>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</si>
  <si>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</si>
  <si>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</si>
  <si>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</si>
  <si>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</si>
  <si>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</si>
  <si>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Sezione verticale - Muretto perimetrale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</si>
  <si>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</si>
  <si>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</si>
  <si>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</si>
  <si>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</si>
  <si>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</si>
  <si>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</si>
  <si>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</si>
  <si>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</si>
  <si>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</si>
  <si>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</si>
  <si>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</si>
  <si>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</si>
  <si>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</si>
  <si>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Sezione verticale - Dettaglio muretto perimetrale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</si>
  <si>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</si>
  <si>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</si>
  <si>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</si>
  <si>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</si>
  <si>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</si>
  <si>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</si>
  <si>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</si>
  <si>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</si>
  <si>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</si>
  <si>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</si>
  <si>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</si>
  <si>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</si>
  <si>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</si>
  <si>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</si>
  <si>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</si>
  <si>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</si>
  <si>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</si>
  <si>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</si>
  <si>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</si>
  <si>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</si>
  <si>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</si>
  <si>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</si>
  <si>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</si>
  <si>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</si>
  <si>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</si>
  <si>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</si>
  <si>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</si>
  <si>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</si>
  <si>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</si>
  <si>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</si>
  <si>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</si>
  <si>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</si>
  <si>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</si>
  <si>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</si>
  <si>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</si>
  <si>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</si>
  <si>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</si>
  <si>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</si>
  <si>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</si>
  <si>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</si>
  <si>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</si>
  <si>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</si>
  <si>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</si>
  <si>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</si>
  <si>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</si>
  <si>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</si>
  <si>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</si>
  <si>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</si>
  <si>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</si>
  <si>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</si>
  <si>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</si>
  <si>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</si>
  <si>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</si>
  <si>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</si>
  <si>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</si>
  <si>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</si>
  <si>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</si>
  <si>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</si>
  <si>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</si>
  <si>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</si>
  <si>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</si>
  <si>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</si>
  <si>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</si>
  <si>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</si>
  <si>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</si>
  <si>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</si>
  <si>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</si>
  <si>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</si>
  <si>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</si>
  <si>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</si>
  <si>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</si>
  <si>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</si>
  <si>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</si>
  <si>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</si>
  <si>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</si>
  <si>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</si>
  <si>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</si>
  <si>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</si>
  <si>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</si>
  <si>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</si>
  <si>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</si>
  <si>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</si>
  <si>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</si>
  <si>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</si>
  <si>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</si>
  <si>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</si>
  <si>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</si>
  <si>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</si>
  <si>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</si>
  <si>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</si>
  <si>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</si>
  <si>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</si>
  <si>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</si>
  <si>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</si>
  <si>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</si>
  <si>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</si>
  <si>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</si>
  <si>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</si>
  <si>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</si>
  <si>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</si>
  <si>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</si>
  <si>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</si>
  <si>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</si>
  <si>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</si>
  <si>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</si>
  <si>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</si>
  <si>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</si>
  <si>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</si>
  <si>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</si>
  <si>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</si>
  <si>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</si>
  <si>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</si>
  <si>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</si>
  <si>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</si>
  <si>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</si>
  <si>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</si>
  <si>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</si>
  <si>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</si>
  <si>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</si>
  <si>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</si>
  <si>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</si>
  <si>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</si>
  <si>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</si>
  <si>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</si>
  <si>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</si>
  <si>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</si>
  <si>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</si>
  <si>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</si>
  <si>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</si>
  <si>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</si>
  <si>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</si>
  <si>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</si>
  <si>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</si>
  <si>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</si>
  <si>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</si>
  <si>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</si>
  <si>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</si>
  <si>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</si>
  <si>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</si>
  <si>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Sostituzione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</si>
  <si>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</si>
  <si>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</si>
  <si>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</si>
  <si>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</si>
  <si>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</si>
  <si>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</si>
  <si>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</si>
  <si>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</si>
  <si>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</si>
  <si>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</si>
  <si>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</si>
  <si>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</si>
  <si>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</si>
  <si>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</si>
  <si>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</si>
  <si>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</si>
  <si>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</si>
  <si>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</si>
  <si>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</si>
  <si>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</si>
  <si>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</si>
  <si>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</si>
  <si>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</si>
  <si>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</si>
  <si>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</si>
  <si>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</si>
  <si>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</si>
  <si>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</si>
  <si>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</si>
  <si>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</si>
  <si>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</si>
  <si>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</si>
  <si>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</si>
  <si>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</si>
  <si>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</si>
  <si>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</si>
  <si>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</si>
  <si>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</si>
  <si>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</si>
  <si>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</si>
  <si>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</si>
  <si>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</si>
  <si>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</si>
  <si>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</si>
  <si>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</si>
  <si>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</si>
  <si>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</si>
  <si>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</si>
  <si>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</si>
  <si>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</si>
  <si>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</si>
  <si>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</si>
  <si>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</si>
  <si>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</si>
  <si>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</si>
  <si>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</si>
  <si>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</si>
  <si>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</si>
  <si>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</si>
  <si>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</si>
  <si>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</si>
  <si>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</si>
  <si>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</si>
  <si>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</si>
  <si>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</si>
  <si>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</si>
  <si>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</si>
  <si>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</si>
  <si>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</si>
  <si>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</si>
  <si>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</si>
  <si>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</si>
  <si>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</si>
  <si>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</si>
  <si>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</si>
  <si>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</si>
  <si>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</si>
  <si>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</si>
  <si>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</si>
  <si>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</si>
  <si>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</si>
  <si>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</si>
  <si>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</si>
  <si>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</si>
  <si>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</si>
  <si>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</si>
  <si>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</si>
  <si>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</si>
  <si>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</si>
  <si>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</si>
  <si>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</si>
  <si>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</si>
  <si>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</si>
  <si>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</si>
  <si>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</si>
  <si>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</si>
  <si>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</si>
  <si>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</si>
  <si>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</si>
  <si>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</si>
  <si>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</si>
  <si>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</si>
  <si>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</si>
  <si>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</si>
  <si>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</si>
  <si>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</si>
  <si>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</si>
  <si>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</si>
  <si>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</si>
  <si>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</si>
  <si>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</si>
  <si>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</si>
  <si>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</si>
  <si>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</si>
  <si>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</si>
  <si>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</si>
  <si>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</si>
  <si>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</si>
  <si>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</si>
  <si>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</si>
  <si>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</si>
  <si>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</si>
  <si>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</si>
  <si>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</si>
  <si>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</si>
  <si>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</si>
  <si>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</si>
  <si>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</si>
  <si>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</si>
  <si>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</si>
  <si>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</si>
  <si>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</si>
  <si>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</si>
  <si>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</si>
  <si>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</si>
  <si>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</si>
  <si>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</si>
  <si>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</si>
  <si>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</si>
  <si>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</si>
  <si>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</si>
  <si>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</si>
  <si>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</si>
  <si>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</si>
  <si>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</si>
  <si>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</si>
  <si>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</si>
  <si>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</si>
  <si>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</si>
  <si>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</si>
  <si>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</si>
  <si>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</si>
  <si>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</si>
  <si>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</si>
  <si>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</si>
  <si>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</si>
  <si>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</si>
  <si>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</si>
  <si>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</si>
  <si>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</si>
  <si>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</si>
  <si>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</si>
  <si>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</si>
  <si>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</si>
  <si>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</si>
  <si>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</si>
  <si>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</si>
  <si>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</si>
  <si>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</si>
  <si>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</si>
  <si>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</si>
  <si>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</si>
  <si>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</si>
  <si>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</si>
  <si>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</si>
  <si>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</si>
  <si>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</si>
  <si>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</si>
  <si>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</si>
  <si>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</si>
  <si>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</si>
  <si>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</si>
  <si>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</si>
  <si>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</si>
  <si>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</si>
  <si>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</si>
  <si>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</si>
  <si>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</si>
  <si>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</si>
  <si>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</si>
  <si>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</si>
  <si>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</si>
  <si>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</si>
  <si>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</si>
  <si>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</si>
  <si>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</si>
  <si>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</si>
  <si>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</si>
  <si>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</si>
  <si>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</si>
  <si>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</si>
  <si>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</si>
  <si>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</si>
  <si>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</si>
  <si>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</si>
  <si>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</si>
  <si>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</si>
  <si>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</si>
  <si>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</si>
  <si>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</si>
  <si>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</si>
  <si>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</si>
  <si>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</si>
  <si>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</si>
  <si>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</si>
  <si>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</si>
  <si>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</si>
  <si>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</si>
  <si>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</si>
  <si>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</si>
  <si>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</si>
  <si>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</si>
  <si>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</si>
  <si>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</si>
  <si>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</si>
  <si>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</si>
  <si>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</si>
  <si>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</si>
  <si>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</si>
  <si>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</si>
  <si>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</si>
  <si>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</si>
  <si>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</si>
  <si>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</si>
  <si>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</si>
  <si>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</si>
  <si>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</si>
  <si>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</si>
  <si>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</si>
  <si>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</si>
  <si>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</si>
  <si>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</si>
  <si>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</si>
  <si>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</si>
  <si>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</si>
  <si>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</si>
  <si>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</si>
  <si>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</si>
  <si>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</si>
  <si>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</si>
  <si>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</si>
  <si>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</si>
  <si>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</si>
  <si>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</si>
  <si>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</si>
  <si>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</si>
  <si>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</si>
  <si>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</si>
  <si>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</si>
  <si>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</si>
  <si>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</si>
  <si>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</si>
  <si>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</si>
  <si>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</si>
  <si>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</si>
  <si>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</si>
  <si>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</si>
  <si>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</si>
  <si>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</si>
  <si>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</si>
  <si>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</si>
  <si>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</si>
  <si>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</si>
  <si>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</si>
  <si>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</si>
  <si>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</si>
  <si>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</si>
  <si>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</si>
  <si>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</si>
  <si>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</si>
  <si>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</si>
  <si>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</si>
  <si>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</si>
  <si>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</si>
  <si>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</si>
  <si>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</si>
  <si>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</si>
  <si>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</si>
  <si>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</si>
  <si>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</si>
  <si>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</si>
  <si>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</si>
  <si>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</si>
  <si>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</si>
  <si>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</si>
  <si>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</si>
  <si>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</si>
  <si>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</si>
  <si>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</si>
  <si>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</si>
  <si>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</si>
  <si>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</si>
  <si>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</si>
  <si>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</si>
  <si>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</si>
  <si>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</si>
  <si>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</si>
  <si>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</si>
  <si>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</si>
  <si>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</si>
  <si>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</si>
  <si>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</si>
  <si>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</si>
  <si>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</si>
  <si>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</si>
  <si>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</si>
  <si>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</si>
  <si>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</si>
  <si>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</si>
  <si>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</si>
  <si>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</si>
  <si>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</si>
  <si>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</si>
  <si>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</si>
  <si>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</si>
  <si>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</si>
  <si>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</si>
  <si>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</si>
  <si>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</si>
  <si>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</si>
  <si>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</si>
  <si>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</si>
  <si>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</si>
  <si>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</si>
  <si>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</si>
  <si>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</si>
  <si>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</si>
  <si>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</si>
  <si>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</si>
  <si>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</si>
  <si>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</si>
  <si>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</si>
  <si>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</si>
  <si>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</si>
  <si>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</si>
  <si>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</si>
  <si>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</si>
  <si>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</si>
  <si>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</si>
  <si>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</si>
  <si>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</si>
  <si>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</si>
  <si>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</si>
  <si>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</si>
  <si>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</si>
  <si>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</si>
  <si>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</si>
  <si>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</si>
  <si>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</si>
  <si>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</si>
  <si>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</si>
  <si>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</si>
  <si>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</si>
  <si>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</si>
  <si>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</si>
  <si>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</si>
  <si>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</si>
  <si>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</si>
  <si>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</si>
  <si>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</si>
  <si>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</si>
  <si>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</si>
  <si>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</si>
  <si>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</si>
  <si>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</si>
  <si>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</si>
  <si>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</si>
  <si>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</si>
  <si>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</si>
  <si>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</si>
  <si>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</si>
  <si>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</si>
  <si>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</si>
  <si>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</si>
  <si>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</si>
  <si>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</si>
  <si>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</si>
  <si>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</si>
  <si>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</si>
  <si>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</si>
  <si>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</si>
  <si>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</si>
  <si>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</si>
  <si>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</si>
  <si>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</si>
  <si>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</si>
  <si>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</si>
  <si>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</si>
  <si>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</si>
  <si>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</si>
  <si>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</si>
  <si>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</si>
  <si>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</si>
  <si>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</si>
  <si>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</si>
  <si>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</si>
  <si>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</si>
  <si>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</si>
  <si>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</si>
  <si>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</si>
  <si>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</si>
  <si>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</si>
  <si>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</si>
  <si>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</si>
  <si>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</si>
  <si>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</si>
  <si>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</si>
  <si>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</si>
  <si>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</si>
  <si>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</si>
  <si>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</si>
  <si>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</si>
  <si>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</si>
  <si>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</si>
  <si>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</si>
  <si>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</si>
  <si>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</si>
  <si>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</si>
  <si>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</si>
  <si>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</si>
  <si>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</si>
  <si>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</si>
  <si>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</si>
  <si>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</si>
  <si>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</si>
  <si>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</si>
  <si>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</si>
  <si>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</si>
  <si>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</si>
  <si>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</si>
  <si>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</si>
  <si>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</si>
  <si>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</si>
  <si>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</si>
  <si>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</si>
  <si>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</si>
  <si>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</si>
  <si>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</si>
  <si>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</si>
  <si>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</si>
  <si>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</si>
  <si>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</si>
  <si>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</si>
  <si>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</si>
  <si>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</si>
  <si>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</si>
  <si>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</si>
  <si>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</si>
  <si>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</si>
  <si>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</si>
  <si>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</si>
  <si>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</si>
  <si>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</si>
  <si>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</si>
  <si>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</si>
  <si>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</si>
  <si>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</si>
  <si>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</si>
  <si>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</si>
  <si>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</si>
  <si>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</si>
  <si>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</si>
  <si>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</si>
  <si>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</si>
  <si>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</si>
  <si>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</si>
  <si>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</si>
  <si>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</si>
  <si>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</si>
  <si>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</si>
  <si>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</si>
  <si>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</si>
  <si>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</si>
  <si>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</si>
  <si>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</si>
  <si>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</si>
  <si>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</si>
  <si>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</si>
  <si>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</si>
  <si>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</si>
  <si>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</si>
  <si>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</si>
  <si>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</si>
  <si>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</si>
  <si>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</si>
  <si>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</si>
  <si>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</si>
  <si>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Infiltrazione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</si>
  <si>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</si>
  <si>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</si>
  <si>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</si>
  <si>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</si>
  <si>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</si>
  <si>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</si>
  <si>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</si>
  <si>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</si>
  <si>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</si>
  <si>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</si>
  <si>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</si>
  <si>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</si>
  <si>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</si>
  <si>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</si>
  <si>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</si>
  <si>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</si>
  <si>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</si>
  <si>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</si>
  <si>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</si>
  <si>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</si>
  <si>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</si>
  <si>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</si>
  <si>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</si>
  <si>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</si>
  <si>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</si>
  <si>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</si>
  <si>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</si>
  <si>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</si>
  <si>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</si>
  <si>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</si>
  <si>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</si>
  <si>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</si>
  <si>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</si>
  <si>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</si>
  <si>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</si>
  <si>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</si>
  <si>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</si>
  <si>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</si>
  <si>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</si>
  <si>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</si>
  <si>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</si>
  <si>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</si>
  <si>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</si>
  <si>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</si>
  <si>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</si>
  <si>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</si>
  <si>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</si>
  <si>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</si>
  <si>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</si>
  <si>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</si>
  <si>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</si>
  <si>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</si>
  <si>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</si>
  <si>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</si>
  <si>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</si>
  <si>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</si>
  <si>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</si>
  <si>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</si>
  <si>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</si>
  <si>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</si>
  <si>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</si>
  <si>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</si>
  <si>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</si>
  <si>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</si>
  <si>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</si>
  <si>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</si>
  <si>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</si>
  <si>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</si>
  <si>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</si>
  <si>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</si>
  <si>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</si>
  <si>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</si>
  <si>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</si>
  <si>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</si>
  <si>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</si>
  <si>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</si>
  <si>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</si>
  <si>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</si>
  <si>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</si>
  <si>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</si>
  <si>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</si>
  <si>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</si>
  <si>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</si>
  <si>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</si>
  <si>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</si>
  <si>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</si>
  <si>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</si>
  <si>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</si>
  <si>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</si>
  <si>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</si>
  <si>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</si>
  <si>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</si>
  <si>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</si>
  <si>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</si>
  <si>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</si>
  <si>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</si>
  <si>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</si>
  <si>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</si>
  <si>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</si>
  <si>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</si>
  <si>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</si>
  <si>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</si>
  <si>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</si>
  <si>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</si>
  <si>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</si>
  <si>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</si>
  <si>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</si>
  <si>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</si>
  <si>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</si>
  <si>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</si>
  <si>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</si>
  <si>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</si>
  <si>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</si>
  <si>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</si>
  <si>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</si>
  <si>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</si>
  <si>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</si>
  <si>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</si>
  <si>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</si>
  <si>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</si>
  <si>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</si>
  <si>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</si>
  <si>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</si>
  <si>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</si>
  <si>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</si>
  <si>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</si>
  <si>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</si>
  <si>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</si>
  <si>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</si>
  <si>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</si>
  <si>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</si>
  <si>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</si>
  <si>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</si>
  <si>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</si>
  <si>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</si>
  <si>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</si>
  <si>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</si>
  <si>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</si>
  <si>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</si>
  <si>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</si>
  <si>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</si>
  <si>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</si>
  <si>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</si>
  <si>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</si>
  <si>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</si>
  <si>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</si>
  <si>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</si>
  <si>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</si>
  <si>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</si>
  <si>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</si>
  <si>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</si>
  <si>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</si>
  <si>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</si>
  <si>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</si>
  <si>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</si>
  <si>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</si>
  <si>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</si>
  <si>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</si>
  <si>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</si>
  <si>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</si>
  <si>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</si>
  <si>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</si>
  <si>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</si>
  <si>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</si>
  <si>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</si>
  <si>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</si>
  <si>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</si>
  <si>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</si>
  <si>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</si>
  <si>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</si>
  <si>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</si>
  <si>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</si>
  <si>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</si>
  <si>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</si>
  <si>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</si>
  <si>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</si>
  <si>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</si>
  <si>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</si>
  <si>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</si>
  <si>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</si>
  <si>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</si>
  <si>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</si>
  <si>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</si>
  <si>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</si>
  <si>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</si>
  <si>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</si>
  <si>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</si>
  <si>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</si>
  <si>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</si>
  <si>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</si>
  <si>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</si>
  <si>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</si>
  <si>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</si>
  <si>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</si>
  <si>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</si>
  <si>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</si>
  <si>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</si>
  <si>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</si>
  <si>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</si>
  <si>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</si>
  <si>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</si>
  <si>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</si>
  <si>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</si>
  <si>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</si>
  <si>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</si>
  <si>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</si>
  <si>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</si>
  <si>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</si>
  <si>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</si>
  <si>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</si>
  <si>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</si>
  <si>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</si>
  <si>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</si>
  <si>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</si>
  <si>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</si>
  <si>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</si>
  <si>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</si>
  <si>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</si>
  <si>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</si>
  <si>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</si>
  <si>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</si>
  <si>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</si>
  <si>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</si>
  <si>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</si>
  <si>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</si>
  <si>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</si>
  <si>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</si>
  <si>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</si>
  <si>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</si>
  <si>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</si>
  <si>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</si>
  <si>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</si>
  <si>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</si>
  <si>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</si>
  <si>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</si>
  <si>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</si>
  <si>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doppio tavolato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</si>
  <si>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</si>
  <si>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</si>
  <si>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</si>
  <si>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</si>
  <si>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</si>
  <si>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</si>
  <si>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</si>
  <si>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</si>
  <si>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</si>
  <si>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</si>
  <si>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</si>
  <si>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</si>
  <si>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</si>
  <si>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doppio tavolato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</si>
  <si>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</si>
  <si>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</si>
  <si>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</si>
  <si>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</si>
  <si>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</si>
  <si>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</si>
  <si>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</si>
  <si>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</si>
  <si>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</si>
  <si>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</si>
  <si>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</si>
  <si>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</si>
  <si>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</si>
  <si>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doppio tavolato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</si>
  <si>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</si>
  <si>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</si>
  <si>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</si>
  <si>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</si>
  <si>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</si>
  <si>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</si>
  <si>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</si>
  <si>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</si>
  <si>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</si>
  <si>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</si>
  <si>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</si>
  <si>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</si>
  <si>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</si>
  <si>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</si>
  <si>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</si>
  <si>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</si>
  <si>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</si>
  <si>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</si>
  <si>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</si>
  <si>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</si>
  <si>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</si>
  <si>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</si>
  <si>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</si>
  <si>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</si>
  <si>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</si>
  <si>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</si>
  <si>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</si>
  <si>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</si>
  <si>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</si>
  <si>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</si>
  <si>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</si>
  <si>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</si>
  <si>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</si>
  <si>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</si>
  <si>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</si>
  <si>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</si>
  <si>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</si>
  <si>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</si>
  <si>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</si>
  <si>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</si>
  <si>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</si>
  <si>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</si>
  <si>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</si>
  <si>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</si>
  <si>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</si>
  <si>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</si>
  <si>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</si>
  <si>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</si>
  <si>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</si>
  <si>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</si>
  <si>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</si>
  <si>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</si>
  <si>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</si>
  <si>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</si>
  <si>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</si>
  <si>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</si>
  <si>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</si>
  <si>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</si>
  <si>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</si>
  <si>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</si>
  <si>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</si>
  <si>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</si>
  <si>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</si>
  <si>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</si>
  <si>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</si>
  <si>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</si>
  <si>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</si>
  <si>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</si>
  <si>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</si>
  <si>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</si>
  <si>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</si>
  <si>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</si>
  <si>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</si>
  <si>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</si>
  <si>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</si>
  <si>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</si>
  <si>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</si>
  <si>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</si>
  <si>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</si>
  <si>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</si>
  <si>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</si>
  <si>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</si>
  <si>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</si>
  <si>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</si>
  <si>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</si>
  <si>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</si>
  <si>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</si>
  <si>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</si>
  <si>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</si>
  <si>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</si>
  <si>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</si>
  <si>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</si>
  <si>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</si>
  <si>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</si>
  <si>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</si>
  <si>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</si>
  <si>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</si>
  <si>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</si>
  <si>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</si>
  <si>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</si>
  <si>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</si>
  <si>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</si>
  <si>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</si>
  <si>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</si>
  <si>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</si>
  <si>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</si>
  <si>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</si>
  <si>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</si>
  <si>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</si>
  <si>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</si>
  <si>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</si>
  <si>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</si>
  <si>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</si>
  <si>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</si>
  <si>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</si>
  <si>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</si>
  <si>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</si>
  <si>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</si>
  <si>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</si>
  <si>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</si>
  <si>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</si>
  <si>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</si>
  <si>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</si>
  <si>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</si>
  <si>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</si>
  <si>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</si>
  <si>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</si>
  <si>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</si>
  <si>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</si>
  <si>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</si>
  <si>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</si>
  <si>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</si>
  <si>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</si>
  <si>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</si>
  <si>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</si>
  <si>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</si>
  <si>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</si>
  <si>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</si>
  <si>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</si>
  <si>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</si>
  <si>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</si>
  <si>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</si>
  <si>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</si>
  <si>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</si>
  <si>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</si>
  <si>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</si>
  <si>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</si>
  <si>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</si>
  <si>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</si>
  <si>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</si>
  <si>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</si>
  <si>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</si>
  <si>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</si>
  <si>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</si>
  <si>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</si>
  <si>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</si>
  <si>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</si>
  <si>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</si>
  <si>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</si>
  <si>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</si>
  <si>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</si>
  <si>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</si>
  <si>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</si>
  <si>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</si>
  <si>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</si>
  <si>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</si>
  <si>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</si>
  <si>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</si>
  <si>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</si>
  <si>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</si>
  <si>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</si>
  <si>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</si>
  <si>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</si>
  <si>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</si>
  <si>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</si>
  <si>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</si>
  <si>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</si>
  <si>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</si>
  <si>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</si>
  <si>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</si>
  <si>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</si>
  <si>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</si>
  <si>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</si>
  <si>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</si>
  <si>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</si>
  <si>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</si>
  <si>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</si>
  <si>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</si>
  <si>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</si>
  <si>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</si>
  <si>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</si>
  <si>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</si>
  <si>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</si>
  <si>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</si>
  <si>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</si>
  <si>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</si>
  <si>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</si>
  <si>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</si>
  <si>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</si>
  <si>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</si>
  <si>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</si>
  <si>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</si>
  <si>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</si>
  <si>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</si>
  <si>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</si>
  <si>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</si>
  <si>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</si>
  <si>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</si>
  <si>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</si>
  <si>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</si>
  <si>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</si>
  <si>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</si>
  <si>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</si>
  <si>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</si>
  <si>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</si>
  <si>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</si>
  <si>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</si>
  <si>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</si>
  <si>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</si>
  <si>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</si>
  <si>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</si>
  <si>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</si>
  <si>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</si>
  <si>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</si>
  <si>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</si>
  <si>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</si>
  <si>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</si>
  <si>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</si>
  <si>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</si>
  <si>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</si>
  <si>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</si>
  <si>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</si>
  <si>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</si>
  <si>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</si>
  <si>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</si>
  <si>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</si>
  <si>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</si>
  <si>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</si>
  <si>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</si>
  <si>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</si>
  <si>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</si>
  <si>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</si>
  <si>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</si>
  <si>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</si>
  <si>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</si>
  <si>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</si>
  <si>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</si>
  <si>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</si>
  <si>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</si>
  <si>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</si>
  <si>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</si>
  <si>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</si>
  <si>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</si>
  <si>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</si>
  <si>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</si>
  <si>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</si>
  <si>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</si>
  <si>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</si>
  <si>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</si>
  <si>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</si>
  <si>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</si>
  <si>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</si>
  <si>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</si>
  <si>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</si>
  <si>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</si>
  <si>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</si>
  <si>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</si>
  <si>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</si>
  <si>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</si>
  <si>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</si>
  <si>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</si>
  <si>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</si>
  <si>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</si>
  <si>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</si>
  <si>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</si>
  <si>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</si>
  <si>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</si>
  <si>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</si>
  <si>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</si>
  <si>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</si>
  <si>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</si>
  <si>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</si>
  <si>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</si>
  <si>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</si>
  <si>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</si>
  <si>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</si>
  <si>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</si>
  <si>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</si>
  <si>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</si>
  <si>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</si>
  <si>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</si>
  <si>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</si>
  <si>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</si>
  <si>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</si>
  <si>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</si>
  <si>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</si>
  <si>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</si>
  <si>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</si>
  <si>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</si>
  <si>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</si>
  <si>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</si>
  <si>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</si>
  <si>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</si>
  <si>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</si>
  <si>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</si>
  <si>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</si>
  <si>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</si>
  <si>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</si>
  <si>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</si>
  <si>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</si>
  <si>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</si>
  <si>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</si>
  <si>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</si>
  <si>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</si>
  <si>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</si>
  <si>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</si>
  <si>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</si>
  <si>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</si>
  <si>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</si>
  <si>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</si>
  <si>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</si>
  <si>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</si>
  <si>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</si>
  <si>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</si>
  <si>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</si>
  <si>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</si>
  <si>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</si>
  <si>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</si>
  <si>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</si>
  <si>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</si>
  <si>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</si>
  <si>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</si>
  <si>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</si>
  <si>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</si>
  <si>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</si>
  <si>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</si>
  <si>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</si>
  <si>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</si>
  <si>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</si>
  <si>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</si>
  <si>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</si>
  <si>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</si>
  <si>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</si>
  <si>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</si>
  <si>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</si>
  <si>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</si>
  <si>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</si>
  <si>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</si>
  <si>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</si>
  <si>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</si>
  <si>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</si>
  <si>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</si>
  <si>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</si>
  <si>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</si>
  <si>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</si>
  <si>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</si>
  <si>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</si>
  <si>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</si>
  <si>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</si>
  <si>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</si>
  <si>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</si>
  <si>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</si>
  <si>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</si>
  <si>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</si>
  <si>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</si>
  <si>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</si>
  <si>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</si>
  <si>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</si>
  <si>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</si>
  <si>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</si>
  <si>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</si>
  <si>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</si>
  <si>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</si>
  <si>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</si>
  <si>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</si>
  <si>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</si>
  <si>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</si>
  <si>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</si>
  <si>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</si>
  <si>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</si>
  <si>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</si>
  <si>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</si>
  <si>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</si>
  <si>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</si>
  <si>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</si>
  <si>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</si>
  <si>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</si>
  <si>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</si>
  <si>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</si>
  <si>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</si>
  <si>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</si>
  <si>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</si>
  <si>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</si>
  <si>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</si>
  <si>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</si>
  <si>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</si>
  <si>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</si>
  <si>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</si>
  <si>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</si>
  <si>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</si>
  <si>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</si>
  <si>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</si>
  <si>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</si>
  <si>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</si>
  <si>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</si>
  <si>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</si>
  <si>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</si>
  <si>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separatore</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</si>
  <si>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</si>
  <si>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</si>
  <si>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</si>
  <si>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</si>
  <si>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</si>
  <si>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</si>
  <si>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</si>
  <si>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</si>
  <si>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</si>
  <si>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</si>
  <si>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</si>
  <si>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</si>
  <si>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</si>
  <si>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</si>
  <si>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</si>
  <si>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</si>
  <si>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</si>
  <si>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</si>
  <si>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</si>
  <si>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</si>
  <si>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</si>
  <si>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</si>
  <si>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</si>
  <si>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</si>
  <si>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</si>
  <si>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</si>
  <si>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</si>
  <si>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</si>
  <si>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</si>
  <si>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</si>
  <si>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</si>
  <si>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</si>
  <si>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</si>
  <si>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</si>
  <si>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</si>
  <si>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</si>
  <si>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</si>
  <si>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</si>
  <si>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</si>
  <si>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</si>
  <si>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</si>
  <si>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</si>
  <si>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</si>
  <si>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</si>
  <si>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</si>
  <si>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</si>
  <si>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</si>
  <si>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</si>
  <si>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</si>
  <si>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</si>
  <si>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</si>
  <si>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</si>
  <si>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</si>
  <si>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</si>
  <si>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</si>
  <si>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</si>
  <si>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</si>
  <si>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</si>
  <si>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</si>
  <si>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</si>
  <si>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</si>
  <si>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</si>
  <si>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</si>
  <si>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</si>
  <si>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</si>
  <si>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</si>
  <si>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</si>
  <si>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</si>
  <si>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</si>
  <si>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</si>
  <si>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</si>
  <si>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</si>
  <si>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</si>
  <si>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</si>
  <si>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</si>
  <si>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</si>
  <si>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</si>
  <si>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</si>
  <si>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</si>
  <si>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</si>
  <si>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</si>
  <si>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</si>
  <si>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</si>
  <si>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</si>
  <si>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</si>
  <si>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</si>
  <si>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</si>
  <si>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</si>
  <si>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</si>
  <si>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</si>
  <si>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</si>
  <si>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</si>
  <si>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</si>
  <si>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</si>
  <si>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</si>
  <si>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</si>
  <si>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TE2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</si>
  <si>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</si>
  <si>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</si>
  <si>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</si>
  <si>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</si>
  <si>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</si>
  <si>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</si>
  <si>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</si>
  <si>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</si>
  <si>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</si>
  <si>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</si>
  <si>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</si>
  <si>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</si>
  <si>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</si>
  <si>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TE3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</si>
  <si>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</si>
  <si>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</si>
  <si>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</si>
  <si>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</si>
  <si>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</si>
  <si>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</si>
  <si>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</si>
  <si>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</si>
  <si>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</si>
  <si>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</si>
  <si>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</si>
  <si>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</si>
  <si>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</si>
  <si>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</si>
  <si>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</si>
  <si>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</si>
  <si>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</si>
  <si>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</si>
  <si>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</si>
  <si>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</si>
  <si>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</si>
  <si>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</si>
  <si>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</si>
  <si>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</si>
  <si>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</si>
  <si>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</si>
  <si>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</si>
  <si>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</si>
  <si>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</si>
  <si>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</si>
  <si>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</si>
  <si>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</si>
  <si>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</si>
  <si>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</si>
  <si>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</si>
  <si>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</si>
  <si>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</si>
  <si>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</si>
  <si>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</si>
  <si>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</si>
  <si>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</si>
  <si>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</si>
  <si>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</si>
  <si>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</si>
  <si>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</si>
  <si>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</si>
  <si>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</si>
  <si>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</si>
  <si>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</si>
  <si>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</si>
  <si>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</si>
  <si>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</si>
  <si>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</si>
  <si>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</si>
  <si>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</si>
  <si>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</si>
  <si>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</si>
  <si>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</si>
  <si>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</si>
  <si>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</si>
  <si>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</si>
  <si>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</si>
  <si>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</si>
  <si>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</si>
  <si>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</si>
  <si>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TE1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</si>
  <si>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</si>
  <si>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</si>
  <si>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</si>
  <si>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</si>
  <si>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</si>
  <si>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</si>
  <si>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</si>
  <si>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</si>
  <si>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</si>
  <si>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</si>
  <si>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</si>
  <si>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</si>
  <si>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</si>
  <si>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TE2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</si>
  <si>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</si>
  <si>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</si>
  <si>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</si>
  <si>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</si>
  <si>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</si>
  <si>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</si>
  <si>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</si>
  <si>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</si>
  <si>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</si>
  <si>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</si>
  <si>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</si>
  <si>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</si>
  <si>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</si>
  <si>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TE3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</si>
  <si>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</si>
  <si>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</si>
  <si>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</si>
  <si>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</si>
  <si>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</si>
  <si>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</si>
  <si>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</si>
  <si>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</si>
  <si>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</si>
  <si>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</si>
  <si>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</si>
  <si>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</si>
  <si>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</si>
  <si>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</si>
  <si>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</si>
  <si>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</si>
  <si>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</si>
  <si>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</si>
  <si>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</si>
  <si>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</si>
  <si>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</si>
  <si>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</si>
  <si>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</si>
  <si>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</si>
  <si>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</si>
  <si>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</si>
  <si>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</si>
  <si>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</si>
  <si>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</si>
  <si>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</si>
  <si>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</si>
  <si>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</si>
  <si>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</si>
  <si>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</si>
  <si>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</si>
  <si>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</si>
  <si>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</si>
  <si>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</si>
  <si>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</si>
  <si>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</si>
  <si>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</si>
  <si>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</si>
  <si>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</si>
  <si>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</si>
  <si>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</si>
  <si>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</si>
  <si>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</si>
  <si>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</si>
  <si>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</si>
  <si>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</si>
  <si>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</si>
  <si>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</si>
  <si>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</si>
  <si>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</si>
  <si>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</si>
  <si>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</si>
  <si>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</si>
  <si>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</si>
  <si>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</si>
  <si>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</si>
  <si>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</si>
  <si>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</si>
  <si>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</si>
  <si>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</si>
  <si>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</si>
  <si>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</si>
  <si>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</si>
  <si>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</si>
  <si>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</si>
  <si>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</si>
  <si>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</si>
  <si>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</si>
  <si>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</si>
  <si>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</si>
  <si>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</si>
  <si>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</si>
  <si>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</si>
  <si>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</si>
  <si>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</si>
  <si>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</si>
  <si>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</si>
  <si>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</si>
  <si>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</si>
  <si>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</si>
  <si>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</si>
  <si>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</si>
  <si>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</si>
  <si>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</si>
  <si>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</si>
  <si>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</si>
  <si>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</si>
  <si>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</si>
  <si>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</si>
  <si>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</si>
  <si>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</si>
  <si>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</si>
  <si>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</si>
  <si>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</si>
  <si>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</si>
  <si>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</si>
  <si>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</si>
  <si>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</si>
  <si>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</si>
  <si>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</si>
  <si>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</si>
  <si>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</si>
  <si>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</si>
  <si>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</si>
  <si>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</si>
  <si>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</si>
  <si>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</si>
  <si>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</si>
  <si>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</si>
  <si>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</si>
  <si>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</si>
  <si>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</si>
  <si>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</si>
  <si>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</si>
  <si>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</si>
  <si>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</si>
  <si>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</si>
  <si>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</si>
  <si>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</si>
  <si>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</si>
  <si>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</si>
  <si>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</si>
  <si>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</si>
  <si>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</si>
  <si>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</si>
  <si>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</si>
  <si>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</si>
  <si>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</si>
  <si>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</si>
  <si>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</si>
  <si>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</si>
  <si>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</si>
  <si>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</si>
  <si>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</si>
  <si>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</si>
  <si>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</si>
  <si>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</si>
  <si>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</si>
  <si>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</si>
  <si>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</si>
  <si>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</si>
  <si>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</si>
  <si>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</si>
  <si>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</si>
  <si>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</si>
  <si>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</si>
  <si>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</si>
  <si>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</si>
  <si>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</si>
  <si>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</si>
  <si>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</si>
  <si>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</si>
  <si>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</si>
  <si>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</si>
  <si>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</si>
  <si>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</si>
  <si>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</si>
  <si>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</si>
  <si>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</si>
  <si>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</si>
  <si>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</si>
  <si>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</si>
  <si>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</si>
  <si>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</si>
  <si>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</si>
  <si>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</si>
  <si>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</si>
  <si>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</si>
  <si>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</si>
  <si>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</si>
  <si>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</si>
  <si>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</si>
  <si>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</si>
  <si>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</si>
  <si>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</si>
  <si>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</si>
  <si>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</si>
  <si>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</si>
  <si>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</si>
  <si>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</si>
  <si>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</si>
  <si>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</si>
  <si>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</si>
  <si>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</si>
  <si>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</si>
  <si>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</si>
  <si>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</si>
  <si>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</si>
  <si>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</si>
  <si>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</si>
  <si>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</si>
  <si>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</si>
  <si>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</si>
  <si>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</si>
  <si>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</si>
  <si>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</si>
  <si>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</si>
  <si>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</si>
  <si>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</si>
  <si>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</si>
  <si>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</si>
  <si>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</si>
  <si>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</si>
  <si>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</si>
  <si>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</si>
  <si>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</si>
  <si>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</si>
  <si>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</si>
  <si>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</si>
  <si>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</si>
  <si>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</si>
  <si>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</si>
  <si>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</si>
  <si>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</si>
  <si>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</si>
  <si>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</si>
  <si>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</si>
  <si>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</si>
  <si>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</si>
  <si>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</si>
  <si>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</si>
  <si>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</si>
  <si>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</si>
  <si>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</si>
  <si>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</si>
  <si>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</si>
  <si>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</si>
  <si>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</si>
  <si>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</si>
  <si>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</si>
  <si>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</si>
  <si>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</si>
  <si>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</si>
  <si>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</si>
  <si>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</si>
  <si>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</si>
  <si>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</si>
  <si>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</si>
  <si>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</si>
  <si>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</si>
  <si>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</si>
  <si>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</si>
  <si>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</si>
  <si>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</si>
  <si>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</si>
  <si>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</si>
  <si>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</si>
  <si>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</si>
  <si>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</si>
  <si>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</si>
  <si>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</si>
  <si>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</si>
  <si>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</si>
  <si>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</si>
  <si>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</si>
  <si>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</si>
  <si>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</si>
  <si>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</si>
  <si>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</si>
  <si>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</si>
  <si>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</si>
  <si>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</si>
  <si>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</si>
  <si>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</si>
  <si>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</si>
  <si>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</si>
  <si>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</si>
  <si>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</si>
  <si>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</si>
  <si>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</si>
  <si>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</si>
  <si>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</si>
  <si>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</si>
  <si>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</si>
  <si>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</si>
  <si>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</si>
  <si>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</si>
  <si>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</si>
  <si>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</si>
  <si>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</si>
  <si>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</si>
  <si>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</si>
  <si>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</si>
  <si>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</si>
  <si>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</si>
  <si>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</si>
  <si>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</si>
  <si>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</si>
  <si>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</si>
  <si>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</si>
  <si>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</si>
  <si>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</si>
  <si>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</si>
  <si>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</si>
  <si>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</si>
  <si>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</si>
  <si>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</si>
  <si>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</si>
  <si>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</si>
  <si>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</si>
  <si>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</si>
  <si>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</si>
  <si>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</si>
  <si>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</si>
  <si>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</si>
  <si>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</si>
  <si>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</si>
  <si>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</si>
  <si>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</si>
  <si>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</si>
  <si>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</si>
  <si>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</si>
  <si>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</si>
  <si>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</si>
  <si>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</si>
  <si>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</si>
  <si>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</si>
  <si>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</si>
  <si>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</si>
  <si>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</si>
  <si>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</si>
  <si>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</si>
  <si>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</si>
  <si>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</si>
  <si>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</si>
  <si>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</si>
  <si>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</si>
  <si>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</si>
  <si>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</si>
  <si>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</si>
  <si>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</si>
  <si>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</si>
  <si>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</si>
  <si>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</si>
  <si>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</si>
  <si>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</si>
  <si>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</si>
  <si>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</si>
  <si>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</si>
  <si>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</si>
  <si>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</si>
  <si>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</si>
  <si>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</si>
  <si>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</si>
  <si>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</si>
  <si>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</si>
  <si>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</si>
  <si>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</si>
  <si>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</si>
  <si>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</si>
  <si>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</si>
  <si>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</si>
  <si>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</si>
  <si>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</si>
  <si>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</si>
  <si>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</si>
  <si>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</si>
  <si>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</si>
  <si>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</si>
  <si>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</si>
  <si>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</si>
  <si>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</si>
  <si>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</si>
  <si>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</si>
  <si>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</si>
  <si>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</si>
  <si>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</si>
  <si>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</si>
  <si>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</si>
  <si>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</si>
  <si>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</si>
  <si>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</si>
  <si>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</si>
  <si>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</si>
  <si>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</si>
  <si>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</si>
  <si>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</si>
  <si>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</si>
  <si>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</si>
  <si>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</si>
  <si>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</si>
  <si>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</si>
  <si>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</si>
  <si>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</si>
  <si>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</si>
  <si>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</si>
  <si>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</si>
  <si>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</si>
  <si>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</si>
  <si>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</si>
  <si>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</si>
  <si>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</si>
  <si>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</si>
  <si>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</si>
  <si>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</si>
  <si>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</si>
  <si>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</si>
  <si>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</si>
  <si>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</si>
  <si>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</si>
  <si>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</si>
  <si>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</si>
  <si>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</si>
  <si>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</si>
  <si>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</si>
  <si>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</si>
  <si>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</si>
  <si>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</si>
  <si>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</si>
  <si>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</si>
  <si>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</si>
  <si>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</si>
  <si>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</si>
  <si>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</si>
  <si>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</si>
  <si>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</si>
  <si>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</si>
  <si>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</si>
  <si>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</si>
  <si>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</si>
  <si>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</si>
  <si>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</si>
  <si>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</si>
  <si>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</si>
  <si>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</si>
  <si>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</si>
  <si>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</si>
  <si>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</si>
  <si>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</si>
  <si>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</si>
  <si>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</si>
  <si>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</si>
  <si>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</si>
  <si>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</si>
  <si>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</si>
  <si>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</si>
  <si>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</si>
  <si>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</si>
  <si>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</si>
  <si>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</si>
  <si>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</si>
  <si>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</si>
  <si>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</si>
  <si>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</si>
  <si>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</si>
  <si>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</si>
  <si>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</si>
  <si>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</si>
  <si>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</si>
  <si>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</si>
  <si>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</si>
  <si>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</si>
  <si>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</si>
  <si>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</si>
  <si>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</si>
  <si>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</si>
  <si>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</si>
  <si>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</si>
  <si>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</si>
  <si>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</si>
  <si>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</si>
  <si>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</si>
  <si>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</si>
  <si>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</si>
  <si>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</si>
  <si>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</si>
  <si>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</si>
  <si>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</si>
  <si>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</si>
  <si>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</si>
  <si>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</si>
  <si>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</si>
  <si>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</si>
  <si>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</si>
  <si>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</si>
  <si>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</si>
  <si>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</si>
  <si>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</si>
  <si>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</si>
  <si>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</si>
  <si>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</si>
  <si>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</si>
  <si>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</si>
  <si>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</si>
  <si>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</si>
  <si>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</si>
  <si>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</si>
  <si>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</si>
  <si>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</si>
  <si>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</si>
  <si>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</si>
  <si>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</si>
  <si>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</si>
  <si>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</si>
  <si>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</si>
  <si>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</si>
  <si>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</si>
  <si>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</si>
  <si>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</si>
  <si>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</si>
  <si>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</si>
  <si>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</si>
  <si>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</si>
  <si>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</si>
  <si>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</si>
  <si>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</si>
  <si>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</si>
  <si>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</si>
  <si>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</si>
  <si>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</si>
  <si>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</si>
  <si>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</si>
  <si>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</si>
  <si>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</si>
  <si>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</si>
  <si>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</si>
  <si>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</si>
  <si>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</si>
  <si>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</si>
  <si>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</si>
  <si>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</si>
  <si>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</si>
  <si>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</si>
  <si>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</si>
  <si>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</si>
  <si>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</si>
  <si>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</si>
  <si>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</si>
  <si>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</si>
  <si>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</si>
  <si>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</si>
  <si>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</si>
  <si>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</si>
  <si>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</si>
  <si>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</si>
  <si>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</si>
  <si>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</si>
  <si>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</si>
  <si>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</si>
  <si>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</si>
  <si>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</si>
  <si>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</si>
  <si>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</si>
  <si>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</si>
  <si>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</si>
  <si>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</si>
  <si>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</si>
  <si>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</si>
  <si>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</si>
  <si>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</si>
  <si>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</si>
  <si>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</si>
  <si>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</si>
  <si>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</si>
  <si>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</si>
  <si>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</si>
  <si>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</si>
  <si>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</si>
  <si>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</si>
  <si>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</si>
  <si>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</si>
  <si>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</si>
  <si>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</si>
  <si>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</si>
  <si>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</si>
  <si>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</si>
  <si>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</si>
  <si>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</si>
  <si>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</si>
  <si>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</si>
  <si>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</si>
  <si>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</si>
  <si>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</si>
  <si>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</si>
  <si>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</si>
  <si>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</si>
  <si>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</si>
  <si>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</si>
  <si>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</si>
  <si>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</si>
  <si>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</si>
  <si>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</si>
  <si>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</si>
  <si>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</si>
  <si>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</si>
  <si>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</si>
  <si>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</si>
  <si>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</si>
  <si>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</si>
  <si>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</si>
  <si>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</si>
  <si>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</si>
  <si>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</si>
  <si>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</si>
  <si>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</si>
  <si>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</si>
  <si>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</si>
  <si>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</si>
  <si>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</si>
  <si>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</si>
  <si>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</si>
  <si>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</si>
  <si>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</si>
  <si>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</si>
  <si>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</si>
  <si>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</si>
  <si>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</si>
  <si>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</si>
  <si>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</si>
  <si>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</si>
  <si>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</si>
  <si>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</si>
  <si>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</si>
  <si>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</si>
  <si>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</si>
  <si>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</si>
  <si>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</si>
  <si>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</si>
  <si>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</si>
  <si>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</si>
  <si>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</si>
  <si>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</si>
  <si>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</si>
  <si>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</si>
  <si>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</si>
  <si>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</si>
  <si>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</si>
  <si>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</si>
  <si>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</si>
  <si>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</si>
  <si>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</si>
  <si>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</si>
  <si>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</si>
  <si>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</si>
  <si>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</si>
  <si>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</si>
  <si>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</si>
  <si>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</si>
  <si>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</si>
  <si>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</si>
  <si>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</si>
  <si>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</si>
  <si>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</si>
  <si>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</si>
  <si>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</si>
  <si>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</si>
  <si>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</si>
  <si>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</si>
  <si>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</si>
  <si>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</si>
  <si>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</si>
  <si>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</si>
  <si>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</si>
  <si>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</si>
  <si>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</si>
  <si>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</si>
  <si>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</si>
  <si>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</si>
  <si>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</si>
  <si>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</si>
  <si>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</si>
  <si>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</si>
  <si>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</si>
  <si>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</si>
  <si>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</si>
  <si>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</si>
  <si>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</si>
  <si>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</si>
  <si>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</si>
  <si>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</si>
  <si>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</si>
  <si>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</si>
  <si>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</si>
  <si>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</si>
  <si>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</si>
  <si>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</si>
  <si>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</si>
  <si>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</si>
  <si>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</si>
  <si>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</si>
  <si>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</si>
  <si>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</si>
  <si>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</si>
  <si>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</si>
  <si>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</si>
  <si>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</si>
  <si>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</si>
  <si>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</si>
  <si>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</si>
  <si>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</si>
  <si>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</si>
  <si>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</si>
  <si>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</si>
  <si>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</si>
  <si>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</si>
  <si>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</si>
  <si>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</si>
  <si>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</si>
  <si>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</si>
  <si>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</si>
  <si>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</si>
  <si>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</si>
  <si>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</si>
  <si>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</si>
  <si>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</si>
  <si>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</si>
  <si>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</si>
  <si>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</si>
  <si>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</si>
  <si>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</si>
  <si>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</si>
  <si>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</si>
  <si>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</si>
  <si>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</si>
  <si>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</si>
  <si>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</si>
  <si>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</si>
  <si>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</si>
  <si>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</si>
  <si>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</si>
  <si>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</si>
  <si>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</si>
  <si>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</si>
  <si>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</si>
  <si>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</si>
  <si>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</si>
  <si>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</si>
  <si>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</si>
  <si>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</si>
  <si>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</si>
  <si>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</si>
  <si>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</si>
  <si>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</si>
  <si>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</si>
  <si>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</si>
  <si>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</si>
  <si>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</si>
  <si>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</si>
  <si>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</si>
  <si>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</si>
  <si>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</si>
  <si>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</si>
  <si>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</si>
  <si>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</si>
  <si>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</si>
  <si>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</si>
  <si>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</si>
  <si>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</si>
  <si>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</si>
  <si>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</si>
  <si>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</si>
  <si>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</si>
  <si>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</si>
  <si>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</si>
  <si>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</si>
  <si>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</si>
  <si>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</si>
  <si>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</si>
  <si>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</si>
  <si>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</si>
  <si>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</si>
  <si>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</si>
  <si>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</si>
  <si>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</si>
  <si>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</si>
  <si>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</si>
  <si>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</si>
  <si>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</si>
  <si>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</si>
  <si>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</si>
  <si>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</si>
  <si>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</si>
  <si>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</si>
  <si>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</si>
  <si>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</si>
  <si>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</si>
  <si>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</si>
  <si>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</si>
  <si>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</si>
  <si>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</si>
  <si>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</si>
  <si>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</si>
  <si>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</si>
  <si>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</si>
  <si>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</si>
  <si>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</si>
  <si>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</si>
  <si>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</si>
  <si>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</si>
  <si>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</si>
  <si>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</si>
  <si>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</si>
  <si>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</si>
  <si>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</si>
  <si>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</si>
  <si>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</si>
  <si>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</si>
  <si>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</si>
  <si>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</si>
  <si>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</si>
  <si>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</si>
  <si>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</si>
  <si>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</si>
  <si>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</si>
  <si>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</si>
  <si>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</si>
  <si>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</si>
  <si>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</si>
  <si>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</si>
  <si>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</si>
  <si>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</si>
  <si>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</si>
  <si>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</si>
  <si>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</si>
  <si>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sigillachiodo</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</si>
  <si>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</si>
  <si>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</si>
  <si>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</si>
  <si>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</si>
  <si>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</si>
  <si>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</si>
  <si>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</si>
  <si>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</si>
  <si>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</si>
  <si>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</si>
  <si>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</si>
  <si>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</si>
  <si>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</si>
  <si>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</si>
  <si>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</si>
  <si>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</si>
  <si>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</si>
  <si>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</si>
  <si>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</si>
  <si>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</si>
  <si>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</si>
  <si>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</si>
  <si>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</si>
  <si>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</si>
  <si>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</si>
  <si>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</si>
  <si>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</si>
  <si>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</si>
  <si>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</si>
  <si>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</si>
  <si>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</si>
  <si>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</si>
  <si>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</si>
  <si>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</si>
  <si>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</si>
  <si>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</si>
  <si>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</si>
  <si>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</si>
  <si>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</si>
  <si>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</si>
  <si>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</si>
  <si>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</si>
  <si>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</si>
  <si>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</si>
  <si>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</si>
  <si>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</si>
  <si>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</si>
  <si>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</si>
  <si>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</si>
  <si>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</si>
  <si>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</si>
  <si>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</si>
  <si>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</si>
  <si>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</si>
  <si>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</si>
  <si>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</si>
  <si>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</si>
  <si>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</si>
  <si>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</si>
  <si>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</si>
  <si>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</si>
  <si>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</si>
  <si>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</si>
  <si>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</si>
  <si>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</si>
  <si>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</si>
  <si>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</si>
  <si>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</si>
  <si>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</si>
  <si>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</si>
  <si>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</si>
  <si>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</si>
  <si>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</si>
  <si>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</si>
  <si>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</si>
  <si>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</si>
  <si>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</si>
  <si>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</si>
  <si>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</si>
  <si>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</si>
  <si>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</si>
  <si>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</si>
  <si>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</si>
  <si>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</si>
  <si>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</si>
  <si>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</si>
  <si>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</si>
  <si>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</si>
  <si>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</si>
  <si>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</si>
  <si>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</si>
  <si>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r>
      <t xml:space="preserve">nel caso di un </t>
    </r>
    <r>
      <rPr>
        <sz val="11"/>
        <color theme="1"/>
        <rFont val="Calibri"/>
        <family val="2"/>
        <scheme val="minor"/>
      </rPr>
      <t>sottotetto reso abitabile, a meno che non si tratti di una costruzione non ventilata</t>
    </r>
  </si>
  <si>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</si>
  <si>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</si>
  <si>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</si>
  <si>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</si>
  <si>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</si>
  <si>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</si>
  <si>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</si>
  <si>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</si>
  <si>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</si>
  <si>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</si>
  <si>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</si>
  <si>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</si>
  <si>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</si>
  <si>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</si>
  <si>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</si>
  <si>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</si>
  <si>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</si>
  <si>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</si>
  <si>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</si>
  <si>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</si>
  <si>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</si>
  <si>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</si>
  <si>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</si>
  <si>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</si>
  <si>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</si>
  <si>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</si>
  <si>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</si>
  <si>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</si>
  <si>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</si>
  <si>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</si>
  <si>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</si>
  <si>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</si>
  <si>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</si>
  <si>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</si>
  <si>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</si>
  <si>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</si>
  <si>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</si>
  <si>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</si>
  <si>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</si>
  <si>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</si>
  <si>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</si>
  <si>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</si>
  <si>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</si>
  <si>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</si>
  <si>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</si>
  <si>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</si>
  <si>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</si>
  <si>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</si>
  <si>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</si>
  <si>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</si>
  <si>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</si>
  <si>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</si>
  <si>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</si>
  <si>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</si>
  <si>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</si>
  <si>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</si>
  <si>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</si>
  <si>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</si>
  <si>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</si>
  <si>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</si>
  <si>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</si>
  <si>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</si>
  <si>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</si>
  <si>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</si>
  <si>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</si>
  <si>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Struttura a due strati - Sottotetto non abitabile</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</si>
  <si>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</si>
  <si>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</si>
  <si>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</si>
  <si>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</si>
  <si>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</si>
  <si>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</si>
  <si>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</si>
  <si>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</si>
  <si>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</si>
  <si>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</si>
  <si>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</si>
  <si>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</si>
  <si>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</si>
  <si>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</si>
  <si>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</si>
  <si>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</si>
  <si>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</si>
  <si>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</si>
  <si>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</si>
  <si>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</si>
  <si>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</si>
  <si>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</si>
  <si>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</si>
  <si>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</si>
  <si>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</si>
  <si>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</si>
  <si>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</si>
  <si>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</si>
  <si>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</si>
  <si>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</si>
  <si>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</si>
  <si>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</si>
  <si>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</si>
  <si>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</si>
  <si>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</si>
  <si>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</si>
  <si>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</si>
  <si>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</si>
  <si>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</si>
  <si>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</si>
  <si>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</si>
  <si>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</si>
  <si>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</si>
  <si>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</si>
  <si>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</si>
  <si>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</si>
  <si>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</si>
  <si>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</si>
  <si>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</si>
  <si>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</si>
  <si>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</si>
  <si>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</si>
  <si>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</si>
  <si>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</si>
  <si>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</si>
  <si>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</si>
  <si>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</si>
  <si>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</si>
  <si>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</si>
  <si>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</si>
  <si>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</si>
  <si>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</si>
  <si>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</si>
  <si>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</si>
  <si>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</si>
  <si>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</si>
  <si>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</si>
  <si>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</si>
  <si>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</si>
  <si>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</si>
  <si>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</si>
  <si>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</si>
  <si>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</si>
  <si>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</si>
  <si>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</si>
  <si>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</si>
  <si>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</si>
  <si>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</si>
  <si>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</si>
  <si>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</si>
  <si>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</si>
  <si>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</si>
  <si>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</si>
  <si>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</si>
  <si>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</si>
  <si>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</si>
  <si>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</si>
  <si>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</si>
  <si>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</si>
  <si>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</si>
  <si>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</si>
  <si>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</si>
  <si>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</si>
  <si>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</si>
  <si>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</si>
  <si>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</si>
  <si>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</si>
  <si>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</si>
  <si>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</si>
  <si>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</si>
  <si>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</si>
  <si>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</si>
  <si>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</si>
  <si>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</si>
  <si>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</si>
  <si>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</si>
  <si>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</si>
  <si>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</si>
  <si>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</si>
  <si>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</si>
  <si>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</si>
  <si>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</si>
  <si>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</si>
  <si>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</si>
  <si>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</si>
  <si>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</si>
  <si>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</si>
  <si>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</si>
  <si>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</si>
  <si>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</si>
  <si>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</si>
  <si>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</si>
  <si>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</si>
  <si>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</si>
  <si>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</si>
  <si>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</si>
  <si>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</si>
  <si>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</si>
  <si>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</si>
  <si>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</si>
  <si>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</si>
  <si>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</si>
  <si>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</si>
  <si>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</si>
  <si>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</si>
  <si>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</si>
  <si>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</si>
  <si>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</si>
  <si>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</si>
  <si>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</si>
  <si>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</si>
  <si>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</si>
  <si>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</si>
  <si>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</si>
  <si>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</si>
  <si>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</si>
  <si>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</si>
  <si>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</si>
  <si>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</si>
  <si>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</si>
  <si>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</si>
  <si>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</si>
  <si>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</si>
  <si>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</si>
  <si>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</si>
  <si>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</si>
  <si>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</si>
  <si>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</si>
  <si>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</si>
  <si>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</si>
  <si>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</si>
  <si>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</si>
  <si>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</si>
  <si>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</si>
  <si>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</si>
  <si>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</si>
  <si>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</si>
  <si>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</si>
  <si>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</si>
  <si>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</si>
  <si>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</si>
  <si>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</si>
  <si>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</si>
  <si>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</si>
  <si>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</si>
  <si>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</si>
  <si>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</si>
  <si>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</si>
  <si>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</si>
  <si>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</si>
  <si>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</si>
  <si>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</si>
  <si>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</si>
  <si>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</si>
  <si>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</si>
  <si>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</si>
  <si>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</si>
  <si>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</si>
  <si>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</si>
  <si>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</si>
  <si>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</si>
  <si>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</si>
  <si>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</si>
  <si>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</si>
  <si>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</si>
  <si>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</si>
  <si>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</si>
  <si>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</si>
  <si>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</si>
  <si>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</si>
  <si>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</si>
  <si>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</si>
  <si>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</si>
  <si>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</si>
  <si>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</si>
  <si>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</si>
  <si>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</si>
  <si>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</si>
  <si>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</si>
  <si>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</si>
  <si>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</si>
  <si>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</si>
  <si>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</si>
  <si>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</si>
  <si>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</si>
  <si>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</si>
  <si>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</si>
  <si>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</si>
  <si>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</si>
  <si>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</si>
  <si>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</si>
  <si>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</si>
  <si>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</si>
  <si>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</si>
  <si>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</si>
  <si>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Membrana sottomanto </t>
    </r>
    <r>
      <rPr>
        <sz val="11"/>
        <color theme="1"/>
        <rFont val="Calibri"/>
        <family val="2"/>
        <scheme val="minor"/>
      </rPr>
      <t xml:space="preserve">(secondo la norma ÖNORM </t>
    </r>
    <r>
      <rPr>
        <sz val="11"/>
        <color rgb="FF000000"/>
        <rFont val="Calibri"/>
        <family val="2"/>
        <scheme val="minor"/>
      </rPr>
      <t>B 4119)</t>
    </r>
  </si>
  <si>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</si>
  <si>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</si>
  <si>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</si>
  <si>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</si>
  <si>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</si>
  <si>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</si>
  <si>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</si>
  <si>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</si>
  <si>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</si>
  <si>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</si>
  <si>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</si>
  <si>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</si>
  <si>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</si>
  <si>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</si>
  <si>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</si>
  <si>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</si>
  <si>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</si>
  <si>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</si>
  <si>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</si>
  <si>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</si>
  <si>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</si>
  <si>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</si>
  <si>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</si>
  <si>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</si>
  <si>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</si>
  <si>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</si>
  <si>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</si>
  <si>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</si>
  <si>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</si>
  <si>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</si>
  <si>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</si>
  <si>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</si>
  <si>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</si>
  <si>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</si>
  <si>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</si>
  <si>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</si>
  <si>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</si>
  <si>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</si>
  <si>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</si>
  <si>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</si>
  <si>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</si>
  <si>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</si>
  <si>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</si>
  <si>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</si>
  <si>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</si>
  <si>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</si>
  <si>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</si>
  <si>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</si>
  <si>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</si>
  <si>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</si>
  <si>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</si>
  <si>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</si>
  <si>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</si>
  <si>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</si>
  <si>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</si>
  <si>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</si>
  <si>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</si>
  <si>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</si>
  <si>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</si>
  <si>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</si>
  <si>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</si>
  <si>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</si>
  <si>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</si>
  <si>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</si>
  <si>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</si>
  <si>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</si>
  <si>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</si>
  <si>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</si>
  <si>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</si>
  <si>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</si>
  <si>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</si>
  <si>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</si>
  <si>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</si>
  <si>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</si>
  <si>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</si>
  <si>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</si>
  <si>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</si>
  <si>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</si>
  <si>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</si>
  <si>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</si>
  <si>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</si>
  <si>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</si>
  <si>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</si>
  <si>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</si>
  <si>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</si>
  <si>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</si>
  <si>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</si>
  <si>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</si>
  <si>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</si>
  <si>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</si>
  <si>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</si>
  <si>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</si>
  <si>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</si>
  <si>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</si>
  <si>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</si>
  <si>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</si>
  <si>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</si>
  <si>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</si>
  <si>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</si>
  <si>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</si>
  <si>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</si>
  <si>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</si>
  <si>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</si>
  <si>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</si>
  <si>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</si>
  <si>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</si>
  <si>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</si>
  <si>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</si>
  <si>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</si>
  <si>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</si>
  <si>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</si>
  <si>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</si>
  <si>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</si>
  <si>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</si>
  <si>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</si>
  <si>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</si>
  <si>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</si>
  <si>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</si>
  <si>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</si>
  <si>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</si>
  <si>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</si>
  <si>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</si>
  <si>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</si>
  <si>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</si>
  <si>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</si>
  <si>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</si>
  <si>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</si>
  <si>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</si>
  <si>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</si>
  <si>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</si>
  <si>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</si>
  <si>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</si>
  <si>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</si>
  <si>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</si>
  <si>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</si>
  <si>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</si>
  <si>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</si>
  <si>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</si>
  <si>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</si>
  <si>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</si>
  <si>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</si>
  <si>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</si>
  <si>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</si>
  <si>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</si>
  <si>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</si>
  <si>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</si>
  <si>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</si>
  <si>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</si>
  <si>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</si>
  <si>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</si>
  <si>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</si>
  <si>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</si>
  <si>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</si>
  <si>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</si>
  <si>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</si>
  <si>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</si>
  <si>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</si>
  <si>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</si>
  <si>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</si>
  <si>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</si>
  <si>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</si>
  <si>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</si>
  <si>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</si>
  <si>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</si>
  <si>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</si>
  <si>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</si>
  <si>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</si>
  <si>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</si>
  <si>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</si>
  <si>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</si>
  <si>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</si>
  <si>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</si>
  <si>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</si>
  <si>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</si>
  <si>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</si>
  <si>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</si>
  <si>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</si>
  <si>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</si>
  <si>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</si>
  <si>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</si>
  <si>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</si>
  <si>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</si>
  <si>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</si>
  <si>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</si>
  <si>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</si>
  <si>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</si>
  <si>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</si>
  <si>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</si>
  <si>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</si>
  <si>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</si>
  <si>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</si>
  <si>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</si>
  <si>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</si>
  <si>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</si>
  <si>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</si>
  <si>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</si>
  <si>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</si>
  <si>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</si>
  <si>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</si>
  <si>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</si>
  <si>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</si>
  <si>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</si>
  <si>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</si>
  <si>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</si>
  <si>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</si>
  <si>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</si>
  <si>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</si>
  <si>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</si>
  <si>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</si>
  <si>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</si>
  <si>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</si>
  <si>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</si>
  <si>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</si>
  <si>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</si>
  <si>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</si>
  <si>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</si>
  <si>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</si>
  <si>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</si>
  <si>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</si>
  <si>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</si>
  <si>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</si>
  <si>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</si>
  <si>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</si>
  <si>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</si>
  <si>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</si>
  <si>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</si>
  <si>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</si>
  <si>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</si>
  <si>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</si>
  <si>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</si>
  <si>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</si>
  <si>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</si>
  <si>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</si>
  <si>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</si>
  <si>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</si>
  <si>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</si>
  <si>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</si>
  <si>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</si>
  <si>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</si>
  <si>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</si>
  <si>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</si>
  <si>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</si>
  <si>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</si>
  <si>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</si>
  <si>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</si>
  <si>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</si>
  <si>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</si>
  <si>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</si>
  <si>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</si>
  <si>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</si>
  <si>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</si>
  <si>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</si>
  <si>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</si>
  <si>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</si>
  <si>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</si>
  <si>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</si>
  <si>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</si>
  <si>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</si>
  <si>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</si>
  <si>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</si>
  <si>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</si>
  <si>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</si>
  <si>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</si>
  <si>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</si>
  <si>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</si>
  <si>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</si>
  <si>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</si>
  <si>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</si>
  <si>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</si>
  <si>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</si>
  <si>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</si>
  <si>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</si>
  <si>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</si>
  <si>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</si>
  <si>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</si>
  <si>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</si>
  <si>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</si>
  <si>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</si>
  <si>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</si>
  <si>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</si>
  <si>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</si>
  <si>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</si>
  <si>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</si>
  <si>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</si>
  <si>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</si>
  <si>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</si>
  <si>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</si>
  <si>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</si>
  <si>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</si>
  <si>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</si>
  <si>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</si>
  <si>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</si>
  <si>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</si>
  <si>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</si>
  <si>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</si>
  <si>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</si>
  <si>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</si>
  <si>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</si>
  <si>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</si>
  <si>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</si>
  <si>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</si>
  <si>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</si>
  <si>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</si>
  <si>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</si>
  <si>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</si>
  <si>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</si>
  <si>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</si>
  <si>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</si>
  <si>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</si>
  <si>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</si>
  <si>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</si>
  <si>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</si>
  <si>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</si>
  <si>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</si>
  <si>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</si>
  <si>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</si>
  <si>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</si>
  <si>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</si>
  <si>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</si>
  <si>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</si>
  <si>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</si>
  <si>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</si>
  <si>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</si>
  <si>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</si>
  <si>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</si>
  <si>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</si>
  <si>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</si>
  <si>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</si>
  <si>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</si>
  <si>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</si>
  <si>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</si>
  <si>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</si>
  <si>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</si>
  <si>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</si>
  <si>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</si>
  <si>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</si>
  <si>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</si>
  <si>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</si>
  <si>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</si>
  <si>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</si>
  <si>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</si>
  <si>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</si>
  <si>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</si>
  <si>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</si>
  <si>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</si>
  <si>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</si>
  <si>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</si>
  <si>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</si>
  <si>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</si>
  <si>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</si>
  <si>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</si>
  <si>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</si>
  <si>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</si>
  <si>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</si>
  <si>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</si>
  <si>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</si>
  <si>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</si>
  <si>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</si>
  <si>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</si>
  <si>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</si>
  <si>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</si>
  <si>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</si>
  <si>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</si>
  <si>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</si>
  <si>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</si>
  <si>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</si>
  <si>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</si>
  <si>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</si>
  <si>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</si>
  <si>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</si>
  <si>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</si>
  <si>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</si>
  <si>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</si>
  <si>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</si>
  <si>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</si>
  <si>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</si>
  <si>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</si>
  <si>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</si>
  <si>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</si>
  <si>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</si>
  <si>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</si>
  <si>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</si>
  <si>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</si>
  <si>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</si>
  <si>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</si>
  <si>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</si>
  <si>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</si>
  <si>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</si>
  <si>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</si>
  <si>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</si>
  <si>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</si>
  <si>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</si>
  <si>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</si>
  <si>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</si>
  <si>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</si>
  <si>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</si>
  <si>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</si>
  <si>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</si>
  <si>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</si>
  <si>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</si>
  <si>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</si>
  <si>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</si>
  <si>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</si>
  <si>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</si>
  <si>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</si>
  <si>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</si>
  <si>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</si>
  <si>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</si>
  <si>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</si>
  <si>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</si>
  <si>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</si>
  <si>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</si>
  <si>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</si>
  <si>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</si>
  <si>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</si>
  <si>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</si>
  <si>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</si>
  <si>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</si>
  <si>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</si>
  <si>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</si>
  <si>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</si>
  <si>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</si>
  <si>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</si>
  <si>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</si>
  <si>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</si>
  <si>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</si>
  <si>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</si>
  <si>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</si>
  <si>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</si>
  <si>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</si>
  <si>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</si>
  <si>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</si>
  <si>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</si>
  <si>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</si>
  <si>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</si>
  <si>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</si>
  <si>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</si>
  <si>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</si>
  <si>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</si>
  <si>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</si>
  <si>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</si>
  <si>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</si>
  <si>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</si>
  <si>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</si>
  <si>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</si>
  <si>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</si>
  <si>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</si>
  <si>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</si>
  <si>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</si>
  <si>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</si>
  <si>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</si>
  <si>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</si>
  <si>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</si>
  <si>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</si>
  <si>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</si>
  <si>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</si>
  <si>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</si>
  <si>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</si>
  <si>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</si>
  <si>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</si>
  <si>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</si>
  <si>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</si>
  <si>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</si>
  <si>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</si>
  <si>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</si>
  <si>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</si>
  <si>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</si>
  <si>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</si>
  <si>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</si>
  <si>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</si>
  <si>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</si>
  <si>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</si>
  <si>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</si>
  <si>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</si>
  <si>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</si>
  <si>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</si>
  <si>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</si>
  <si>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</si>
  <si>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</si>
  <si>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</si>
  <si>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</si>
  <si>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</si>
  <si>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</si>
  <si>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</si>
  <si>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</si>
  <si>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</si>
  <si>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</si>
  <si>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</si>
  <si>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</si>
  <si>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</si>
  <si>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</si>
  <si>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</si>
  <si>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</si>
  <si>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</si>
  <si>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</si>
  <si>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</si>
  <si>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</si>
  <si>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</si>
  <si>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</si>
  <si>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</si>
  <si>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</si>
  <si>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</si>
  <si>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</si>
  <si>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</si>
  <si>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</si>
  <si>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</si>
  <si>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</si>
  <si>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</si>
  <si>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</si>
  <si>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</si>
  <si>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</si>
  <si>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</si>
  <si>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</si>
  <si>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</si>
  <si>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</si>
  <si>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</si>
  <si>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</si>
  <si>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</si>
  <si>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</si>
  <si>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</si>
  <si>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</si>
  <si>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</si>
  <si>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</si>
  <si>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</si>
  <si>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</si>
  <si>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</si>
  <si>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</si>
  <si>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</si>
  <si>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</si>
  <si>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</si>
  <si>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</si>
  <si>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</si>
  <si>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</si>
  <si>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</si>
  <si>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</si>
  <si>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</si>
  <si>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</si>
  <si>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</si>
  <si>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</si>
  <si>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</si>
  <si>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</si>
  <si>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</si>
  <si>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</si>
  <si>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</si>
  <si>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</si>
  <si>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</si>
  <si>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</si>
  <si>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</si>
  <si>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</si>
  <si>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</si>
  <si>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</si>
  <si>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</si>
  <si>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</si>
  <si>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</si>
  <si>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</si>
  <si>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</si>
  <si>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</si>
  <si>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</si>
  <si>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</si>
  <si>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</si>
  <si>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</si>
  <si>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</si>
  <si>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</si>
  <si>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</si>
  <si>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</si>
  <si>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</si>
  <si>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</si>
  <si>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</si>
  <si>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</si>
  <si>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</si>
  <si>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</si>
  <si>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</si>
  <si>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</si>
  <si>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</si>
  <si>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</si>
  <si>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</si>
  <si>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</si>
  <si>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</si>
  <si>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</si>
  <si>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</si>
  <si>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</si>
  <si>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</si>
  <si>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</si>
  <si>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</si>
  <si>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</si>
  <si>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</si>
  <si>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</si>
  <si>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</si>
  <si>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</si>
  <si>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</si>
  <si>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</si>
  <si>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</si>
  <si>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</si>
  <si>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</si>
  <si>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</si>
  <si>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</si>
  <si>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</si>
  <si>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</si>
  <si>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</si>
  <si>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</si>
  <si>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</si>
  <si>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</si>
  <si>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</si>
  <si>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</si>
  <si>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</si>
  <si>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</si>
  <si>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</si>
  <si>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</si>
  <si>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</si>
  <si>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</si>
  <si>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</si>
  <si>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</si>
  <si>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</si>
  <si>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</si>
  <si>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</si>
  <si>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</si>
  <si>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</si>
  <si>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</si>
  <si>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</si>
  <si>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</si>
  <si>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</si>
  <si>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</si>
  <si>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</si>
  <si>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</si>
  <si>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</si>
  <si>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</si>
  <si>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</si>
  <si>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</si>
  <si>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</si>
  <si>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</si>
  <si>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</si>
  <si>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</si>
  <si>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</si>
  <si>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</si>
  <si>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</si>
  <si>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</si>
  <si>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</si>
  <si>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</si>
  <si>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</si>
  <si>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</si>
  <si>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</si>
  <si>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</si>
  <si>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</si>
  <si>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</si>
  <si>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</si>
  <si>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</si>
  <si>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</si>
  <si>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</si>
  <si>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</si>
  <si>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</si>
  <si>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</si>
  <si>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</si>
  <si>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</si>
  <si>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</si>
  <si>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</si>
  <si>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</si>
  <si>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</si>
  <si>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</si>
  <si>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</si>
  <si>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</si>
  <si>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</si>
  <si>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</si>
  <si>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</si>
  <si>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</si>
  <si>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</si>
  <si>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</si>
  <si>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</si>
  <si>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</si>
  <si>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</si>
  <si>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</si>
  <si>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</si>
  <si>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</si>
  <si>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</si>
  <si>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</si>
  <si>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</si>
  <si>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</si>
  <si>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</si>
  <si>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</si>
  <si>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</si>
  <si>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</si>
  <si>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</si>
  <si>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</si>
  <si>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</si>
  <si>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</si>
  <si>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</si>
  <si>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</si>
  <si>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</si>
  <si>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</si>
  <si>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</si>
  <si>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</si>
  <si>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</si>
  <si>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</si>
  <si>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</si>
  <si>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</si>
  <si>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</si>
  <si>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</si>
  <si>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</si>
  <si>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</si>
  <si>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</si>
  <si>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</si>
  <si>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</si>
  <si>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</si>
  <si>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</si>
  <si>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</si>
  <si>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</si>
  <si>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</si>
  <si>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</si>
  <si>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</si>
  <si>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</si>
  <si>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</si>
  <si>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</si>
  <si>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</si>
  <si>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</si>
  <si>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</si>
  <si>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</si>
  <si>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</si>
  <si>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</si>
  <si>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</si>
  <si>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</si>
  <si>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</si>
  <si>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</si>
  <si>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</si>
  <si>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</si>
  <si>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</si>
  <si>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</si>
  <si>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</si>
  <si>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</si>
  <si>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</si>
  <si>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</si>
  <si>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</si>
  <si>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</si>
  <si>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</si>
  <si>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</si>
  <si>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</si>
  <si>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</si>
  <si>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</si>
  <si>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</si>
  <si>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</si>
  <si>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</si>
  <si>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</si>
  <si>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</si>
  <si>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</si>
  <si>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</si>
  <si>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</si>
  <si>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</si>
  <si>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</si>
  <si>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</si>
  <si>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</si>
  <si>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</si>
  <si>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</si>
  <si>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</si>
  <si>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</si>
  <si>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</si>
  <si>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</si>
  <si>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</si>
  <si>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</si>
  <si>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</si>
  <si>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</si>
  <si>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</si>
  <si>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</si>
  <si>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</si>
  <si>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</si>
  <si>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</si>
  <si>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</si>
  <si>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</si>
  <si>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</si>
  <si>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</si>
  <si>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</si>
  <si>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</si>
  <si>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</si>
  <si>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</si>
  <si>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</si>
  <si>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</si>
  <si>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</si>
  <si>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</si>
  <si>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</si>
  <si>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</si>
  <si>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</si>
  <si>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</si>
  <si>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</si>
  <si>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</si>
  <si>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</si>
  <si>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</si>
  <si>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</si>
  <si>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</si>
  <si>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</si>
  <si>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</si>
  <si>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</si>
  <si>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</si>
  <si>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</si>
  <si>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</si>
  <si>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</si>
  <si>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</si>
  <si>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</si>
  <si>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</si>
  <si>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</si>
  <si>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</si>
  <si>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</si>
  <si>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</si>
  <si>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</si>
  <si>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</si>
  <si>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</si>
  <si>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</si>
  <si>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</si>
  <si>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</si>
  <si>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</si>
  <si>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</si>
  <si>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</si>
  <si>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</si>
  <si>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</si>
  <si>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</si>
  <si>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</si>
  <si>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</si>
  <si>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</si>
  <si>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</si>
  <si>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</si>
  <si>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</si>
  <si>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</si>
  <si>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</si>
  <si>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</si>
  <si>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</si>
  <si>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</si>
  <si>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</si>
  <si>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</si>
  <si>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</si>
  <si>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</si>
  <si>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</si>
  <si>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</si>
  <si>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</si>
  <si>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</si>
  <si>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</si>
  <si>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</si>
  <si>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</si>
  <si>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</si>
  <si>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</si>
  <si>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</si>
  <si>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</si>
  <si>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</si>
  <si>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</si>
  <si>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</si>
  <si>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</si>
  <si>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</si>
  <si>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</si>
  <si>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</si>
  <si>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</si>
  <si>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</si>
  <si>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</si>
  <si>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</si>
  <si>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</si>
  <si>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</si>
  <si>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</si>
  <si>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</si>
  <si>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</si>
  <si>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</si>
  <si>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</si>
  <si>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</si>
  <si>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</si>
  <si>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</si>
  <si>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</si>
  <si>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</si>
  <si>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</si>
  <si>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</si>
  <si>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</si>
  <si>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</si>
  <si>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</si>
  <si>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</si>
  <si>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</si>
  <si>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</si>
  <si>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</si>
  <si>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</si>
  <si>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</si>
  <si>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</si>
  <si>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</si>
  <si>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</si>
  <si>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</si>
  <si>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</si>
  <si>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</si>
  <si>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</si>
  <si>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</si>
  <si>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</si>
  <si>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</si>
  <si>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</si>
  <si>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</si>
  <si>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</si>
  <si>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</si>
  <si>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</si>
  <si>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</si>
  <si>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</si>
  <si>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</si>
  <si>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</si>
  <si>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</si>
  <si>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</si>
  <si>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</si>
  <si>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</si>
  <si>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</si>
  <si>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</si>
  <si>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</si>
  <si>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</si>
  <si>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</si>
  <si>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</si>
  <si>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</si>
  <si>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</si>
  <si>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</si>
  <si>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</si>
  <si>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</si>
  <si>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</si>
  <si>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</si>
  <si>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</si>
  <si>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</si>
  <si>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</si>
  <si>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</si>
  <si>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</si>
  <si>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</si>
  <si>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</si>
  <si>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</si>
  <si>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</si>
  <si>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</si>
  <si>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</si>
  <si>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</si>
  <si>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</si>
  <si>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</si>
  <si>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</si>
  <si>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</si>
  <si>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</si>
  <si>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</si>
  <si>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</si>
  <si>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</si>
  <si>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</si>
  <si>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</si>
  <si>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</si>
  <si>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</si>
  <si>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</si>
  <si>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</si>
  <si>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</si>
  <si>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</si>
  <si>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</si>
  <si>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</si>
  <si>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</si>
  <si>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</si>
  <si>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</si>
  <si>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</si>
  <si>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</si>
  <si>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</si>
  <si>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</si>
  <si>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</si>
  <si>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</si>
  <si>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</si>
  <si>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</si>
  <si>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</si>
  <si>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</si>
  <si>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</si>
  <si>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</si>
  <si>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</si>
  <si>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</si>
  <si>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</si>
  <si>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</si>
  <si>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</si>
  <si>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</si>
  <si>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</si>
  <si>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</si>
  <si>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</si>
  <si>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</si>
  <si>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</si>
  <si>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</si>
  <si>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</si>
  <si>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</si>
  <si>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</si>
  <si>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</si>
  <si>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</si>
  <si>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</si>
  <si>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</si>
  <si>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</si>
  <si>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</si>
  <si>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</si>
  <si>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</si>
  <si>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</si>
  <si>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</si>
  <si>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</si>
  <si>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</si>
  <si>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</si>
  <si>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</si>
  <si>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</si>
  <si>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</si>
  <si>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</si>
  <si>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</si>
  <si>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</si>
  <si>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</si>
  <si>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</si>
  <si>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</si>
  <si>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</si>
  <si>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</si>
  <si>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</si>
  <si>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</si>
  <si>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</si>
  <si>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</si>
  <si>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</si>
  <si>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</si>
  <si>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</si>
  <si>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</si>
  <si>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</si>
  <si>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</si>
  <si>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</si>
  <si>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</si>
  <si>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</si>
  <si>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</si>
  <si>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</si>
  <si>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</si>
  <si>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</si>
  <si>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</si>
  <si>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</si>
  <si>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</si>
  <si>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</si>
  <si>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</si>
  <si>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</si>
  <si>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</si>
  <si>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</si>
  <si>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</si>
  <si>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</si>
  <si>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</si>
  <si>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</si>
  <si>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</si>
  <si>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</si>
  <si>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</si>
  <si>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</si>
  <si>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</si>
  <si>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</si>
  <si>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</si>
  <si>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</si>
  <si>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</si>
  <si>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</si>
  <si>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</si>
  <si>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</si>
  <si>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</si>
  <si>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</si>
  <si>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</si>
  <si>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</si>
  <si>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</si>
  <si>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</si>
  <si>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</si>
  <si>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</si>
  <si>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</si>
  <si>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</si>
  <si>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</si>
  <si>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</si>
  <si>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</si>
  <si>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</si>
  <si>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</si>
  <si>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</si>
  <si>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</si>
  <si>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</si>
  <si>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</si>
  <si>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</si>
  <si>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</si>
  <si>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</si>
  <si>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</si>
  <si>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</si>
  <si>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</si>
  <si>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</si>
  <si>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</si>
  <si>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</si>
  <si>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</si>
  <si>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</si>
  <si>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</si>
  <si>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</si>
  <si>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</si>
  <si>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</si>
  <si>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</si>
  <si>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</si>
  <si>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</si>
  <si>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</si>
  <si>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</si>
  <si>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</si>
  <si>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</si>
  <si>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</si>
  <si>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</si>
  <si>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</si>
  <si>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</si>
  <si>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</si>
  <si>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</si>
  <si>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</si>
  <si>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</si>
  <si>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</si>
  <si>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</si>
  <si>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</si>
  <si>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</si>
  <si>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</si>
  <si>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</si>
  <si>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</si>
  <si>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</si>
  <si>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</si>
  <si>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</si>
  <si>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</si>
  <si>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</si>
  <si>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</si>
  <si>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</si>
  <si>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</si>
  <si>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</si>
  <si>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</si>
  <si>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</si>
  <si>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</si>
  <si>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</si>
  <si>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</si>
  <si>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</si>
  <si>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</si>
  <si>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</si>
  <si>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</si>
  <si>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</si>
  <si>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</si>
  <si>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</si>
  <si>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</si>
  <si>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</si>
  <si>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</si>
  <si>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</si>
  <si>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</si>
  <si>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</si>
  <si>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</si>
  <si>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</si>
  <si>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</si>
  <si>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</si>
  <si>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</si>
  <si>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</si>
  <si>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</si>
  <si>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</si>
  <si>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</si>
  <si>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</si>
  <si>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</si>
  <si>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</si>
  <si>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</si>
  <si>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</si>
  <si>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</si>
  <si>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</si>
  <si>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</si>
  <si>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</si>
  <si>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</si>
  <si>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</si>
  <si>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</si>
  <si>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</si>
  <si>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</si>
  <si>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</si>
  <si>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</si>
  <si>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</si>
  <si>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</si>
  <si>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</si>
  <si>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</si>
  <si>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</si>
  <si>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</si>
  <si>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</si>
  <si>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</si>
  <si>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</si>
  <si>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</si>
  <si>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</si>
  <si>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</si>
  <si>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</si>
  <si>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</si>
  <si>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</si>
  <si>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</si>
  <si>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</si>
  <si>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</si>
  <si>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</si>
  <si>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</si>
  <si>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</si>
  <si>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</si>
  <si>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</si>
  <si>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</si>
  <si>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</si>
  <si>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</si>
  <si>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</si>
  <si>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</si>
  <si>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</si>
  <si>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</si>
  <si>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</si>
  <si>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</si>
  <si>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</si>
  <si>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</si>
  <si>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</si>
  <si>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</si>
  <si>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</si>
  <si>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</si>
  <si>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</si>
  <si>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</si>
  <si>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</si>
  <si>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</si>
  <si>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</si>
  <si>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</si>
  <si>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</si>
  <si>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</si>
  <si>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</si>
  <si>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</si>
  <si>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</si>
  <si>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</si>
  <si>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</si>
  <si>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</si>
  <si>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</si>
  <si>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</si>
  <si>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</si>
  <si>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</si>
  <si>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</si>
  <si>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</si>
  <si>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</si>
  <si>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</si>
  <si>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</si>
  <si>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</si>
  <si>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</si>
  <si>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</si>
  <si>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</si>
  <si>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</si>
  <si>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</si>
  <si>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</si>
  <si>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</si>
  <si>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</si>
  <si>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</si>
  <si>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</si>
  <si>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</si>
  <si>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</si>
  <si>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</si>
  <si>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</si>
  <si>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</si>
  <si>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</si>
  <si>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</si>
  <si>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</si>
  <si>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</si>
  <si>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</si>
  <si>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</si>
  <si>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</si>
  <si>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</si>
  <si>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</si>
  <si>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</si>
  <si>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</si>
  <si>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</si>
  <si>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</si>
  <si>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</si>
  <si>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</si>
  <si>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</si>
  <si>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</si>
  <si>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</si>
  <si>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</si>
  <si>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</si>
  <si>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</si>
  <si>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</si>
  <si>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</si>
  <si>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</si>
  <si>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</si>
  <si>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</si>
  <si>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</si>
  <si>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</si>
  <si>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</si>
  <si>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</si>
  <si>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</si>
  <si>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</si>
  <si>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</si>
  <si>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</si>
  <si>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</si>
  <si>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</si>
  <si>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</si>
  <si>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</si>
  <si>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</si>
  <si>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</si>
  <si>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</si>
  <si>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</si>
  <si>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</si>
  <si>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</si>
  <si>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</si>
  <si>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</si>
  <si>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</si>
  <si>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</si>
  <si>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</si>
  <si>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</si>
  <si>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</si>
  <si>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</si>
  <si>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</si>
  <si>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</si>
  <si>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</si>
  <si>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</si>
  <si>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</si>
  <si>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</si>
  <si>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</si>
  <si>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</si>
  <si>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</si>
  <si>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</si>
  <si>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</si>
  <si>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</si>
  <si>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</si>
  <si>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</si>
  <si>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</si>
  <si>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</si>
  <si>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</si>
  <si>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</si>
  <si>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</si>
  <si>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</si>
  <si>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</si>
  <si>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</si>
  <si>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</si>
  <si>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</si>
  <si>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</si>
  <si>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</si>
  <si>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</si>
  <si>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</si>
  <si>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</si>
  <si>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</si>
  <si>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</si>
  <si>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</si>
  <si>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</si>
  <si>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</si>
  <si>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</si>
  <si>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</si>
  <si>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</si>
  <si>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</si>
  <si>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</si>
  <si>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</si>
  <si>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</si>
  <si>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</si>
  <si>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</si>
  <si>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</si>
  <si>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</si>
  <si>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</si>
  <si>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</si>
  <si>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</si>
  <si>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</si>
  <si>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</si>
  <si>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</si>
  <si>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</si>
  <si>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</si>
  <si>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</si>
  <si>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</si>
  <si>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</si>
  <si>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</si>
  <si>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</si>
  <si>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</si>
  <si>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</si>
  <si>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</si>
  <si>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</si>
  <si>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</si>
  <si>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</si>
  <si>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</si>
  <si>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</si>
  <si>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</si>
  <si>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</si>
  <si>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</si>
  <si>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</si>
  <si>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</si>
  <si>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</si>
  <si>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</si>
  <si>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</si>
  <si>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</si>
  <si>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</si>
  <si>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</si>
  <si>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</si>
  <si>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</si>
  <si>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</si>
  <si>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</si>
  <si>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</si>
  <si>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</si>
  <si>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</si>
  <si>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</si>
  <si>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</si>
  <si>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</si>
  <si>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</si>
  <si>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</si>
  <si>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</si>
  <si>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</si>
  <si>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</si>
  <si>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</si>
  <si>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</si>
  <si>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</si>
  <si>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</si>
  <si>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</si>
  <si>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</si>
  <si>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</si>
  <si>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</si>
  <si>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</si>
  <si>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</si>
  <si>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</si>
  <si>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</si>
  <si>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</si>
  <si>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</si>
  <si>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</si>
  <si>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</si>
  <si>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</si>
  <si>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</si>
  <si>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</si>
  <si>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</si>
  <si>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</si>
  <si>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</si>
  <si>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</si>
  <si>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</si>
  <si>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</si>
  <si>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</si>
  <si>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</si>
  <si>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</si>
  <si>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</si>
  <si>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</si>
  <si>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</si>
  <si>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</si>
  <si>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</si>
  <si>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</si>
  <si>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</si>
  <si>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</si>
  <si>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</si>
  <si>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</si>
  <si>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</si>
  <si>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</si>
  <si>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</si>
  <si>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</si>
  <si>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</si>
  <si>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</si>
  <si>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</si>
  <si>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</si>
  <si>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</si>
  <si>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</si>
  <si>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</si>
  <si>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</si>
  <si>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</si>
  <si>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</si>
  <si>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</si>
  <si>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</si>
  <si>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</si>
  <si>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</si>
  <si>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</si>
  <si>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</si>
  <si>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</si>
  <si>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</si>
  <si>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</si>
  <si>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</si>
  <si>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</si>
  <si>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</si>
  <si>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</si>
  <si>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</si>
  <si>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</si>
  <si>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</si>
  <si>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</si>
  <si>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</si>
  <si>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</si>
  <si>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</si>
  <si>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</si>
  <si>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</si>
  <si>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</si>
  <si>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</si>
  <si>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</si>
  <si>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</si>
  <si>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</si>
  <si>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</si>
  <si>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</si>
  <si>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</si>
  <si>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</si>
  <si>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</si>
  <si>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</si>
  <si>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</si>
  <si>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</si>
  <si>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</si>
  <si>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</si>
  <si>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</si>
  <si>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</si>
  <si>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</si>
  <si>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</si>
  <si>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</si>
  <si>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</si>
  <si>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</si>
  <si>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</si>
  <si>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</si>
  <si>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</si>
  <si>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</si>
  <si>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</si>
  <si>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</si>
  <si>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</si>
  <si>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</si>
  <si>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</si>
  <si>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</si>
  <si>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</si>
  <si>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</si>
  <si>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</si>
  <si>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</si>
  <si>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</si>
  <si>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</si>
  <si>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</si>
  <si>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</si>
  <si>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</si>
  <si>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</si>
  <si>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</si>
  <si>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</si>
  <si>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</si>
  <si>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</si>
  <si>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</si>
  <si>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</si>
  <si>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</si>
  <si>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</si>
  <si>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</si>
  <si>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</si>
  <si>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</si>
  <si>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</si>
  <si>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</si>
  <si>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</si>
  <si>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</si>
  <si>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</si>
  <si>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</si>
  <si>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</si>
  <si>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</si>
  <si>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</si>
  <si>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</si>
  <si>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</si>
  <si>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</si>
  <si>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</si>
  <si>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</si>
  <si>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</si>
  <si>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</si>
  <si>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</si>
  <si>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</si>
  <si>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</si>
  <si>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</si>
  <si>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</si>
  <si>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</si>
  <si>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</si>
  <si>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</si>
  <si>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</si>
  <si>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</si>
  <si>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</si>
  <si>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</si>
  <si>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</si>
  <si>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</si>
  <si>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</si>
  <si>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</si>
  <si>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</si>
  <si>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</si>
  <si>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</si>
  <si>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</si>
  <si>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</si>
  <si>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</si>
  <si>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</si>
  <si>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</si>
  <si>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</si>
  <si>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</si>
  <si>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</si>
  <si>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</si>
  <si>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</si>
  <si>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</si>
  <si>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</si>
  <si>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</si>
  <si>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</si>
  <si>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</si>
  <si>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</si>
  <si>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</si>
  <si>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</si>
  <si>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</si>
  <si>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</si>
  <si>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</si>
  <si>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</si>
  <si>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</si>
  <si>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</si>
  <si>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</si>
  <si>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</si>
  <si>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</si>
  <si>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</si>
  <si>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</si>
  <si>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</si>
  <si>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</si>
  <si>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</si>
  <si>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</si>
  <si>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</si>
  <si>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</si>
  <si>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</si>
  <si>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</si>
  <si>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</si>
  <si>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</si>
  <si>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</si>
  <si>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</si>
  <si>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</si>
  <si>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</si>
  <si>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</si>
  <si>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</si>
  <si>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</si>
  <si>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</si>
  <si>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</si>
  <si>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</si>
  <si>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</si>
  <si>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</si>
  <si>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</si>
  <si>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</si>
  <si>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</si>
  <si>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</si>
  <si>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</si>
  <si>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</si>
  <si>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</si>
  <si>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</si>
  <si>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</si>
  <si>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</si>
  <si>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</si>
  <si>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</si>
  <si>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</si>
  <si>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</si>
  <si>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</si>
  <si>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</si>
  <si>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</si>
  <si>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</si>
  <si>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</si>
  <si>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</si>
  <si>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</si>
  <si>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</si>
  <si>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</si>
  <si>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</si>
  <si>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</si>
  <si>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</si>
  <si>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</si>
  <si>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</si>
  <si>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</si>
  <si>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</si>
  <si>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</si>
  <si>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</si>
  <si>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DS.19</t>
  </si>
  <si>
    <t>vent pipe cover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</si>
  <si>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</si>
  <si>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</si>
  <si>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</si>
  <si>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</si>
  <si>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</si>
  <si>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</si>
  <si>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</si>
  <si>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</si>
  <si>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</si>
  <si>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</si>
  <si>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</si>
  <si>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</si>
  <si>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Einfassungsplatte für Dachschindel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</si>
  <si>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</si>
  <si>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</si>
  <si>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</si>
  <si>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</si>
  <si>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</si>
  <si>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</si>
  <si>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</si>
  <si>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</si>
  <si>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</si>
  <si>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</si>
  <si>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</si>
  <si>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</si>
  <si>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</si>
  <si>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</si>
  <si>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</si>
  <si>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</si>
  <si>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</si>
  <si>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</si>
  <si>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</si>
  <si>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</si>
  <si>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</si>
  <si>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</si>
  <si>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</si>
  <si>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</si>
  <si>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</si>
  <si>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</si>
  <si>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</si>
  <si>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</si>
  <si>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</si>
  <si>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</si>
  <si>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</si>
  <si>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</si>
  <si>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</si>
  <si>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</si>
  <si>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</si>
  <si>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</si>
  <si>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</si>
  <si>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</si>
  <si>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</si>
  <si>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</si>
  <si>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</si>
  <si>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</si>
  <si>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</si>
  <si>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</si>
  <si>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</si>
  <si>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</si>
  <si>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</si>
  <si>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</si>
  <si>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</si>
  <si>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</si>
  <si>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</si>
  <si>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</si>
  <si>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</si>
  <si>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</si>
  <si>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</si>
  <si>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</si>
  <si>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</si>
  <si>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</si>
  <si>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</si>
  <si>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</si>
  <si>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</si>
  <si>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</si>
  <si>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</si>
  <si>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</si>
  <si>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</si>
  <si>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</si>
  <si>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</si>
  <si>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</si>
  <si>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</si>
  <si>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</si>
  <si>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</si>
  <si>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</si>
  <si>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</si>
  <si>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</si>
  <si>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</si>
  <si>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</si>
  <si>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</si>
  <si>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</si>
  <si>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</si>
  <si>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</si>
  <si>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</si>
  <si>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</si>
  <si>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</si>
  <si>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</si>
  <si>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</si>
  <si>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</si>
  <si>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</si>
  <si>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</si>
  <si>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</si>
  <si>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</si>
  <si>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</si>
  <si>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</si>
  <si>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</si>
  <si>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</si>
  <si>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</si>
  <si>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</si>
  <si>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</si>
  <si>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</si>
  <si>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</si>
  <si>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</si>
  <si>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</si>
  <si>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</si>
  <si>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</si>
  <si>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</si>
  <si>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</si>
  <si>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</si>
  <si>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</si>
  <si>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</si>
  <si>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</si>
  <si>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</si>
  <si>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</si>
  <si>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</si>
  <si>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</si>
  <si>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</si>
  <si>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</si>
  <si>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</si>
  <si>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</si>
  <si>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</si>
  <si>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</si>
  <si>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</si>
  <si>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</si>
  <si>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</si>
  <si>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</si>
  <si>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</si>
  <si>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</si>
  <si>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</si>
  <si>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</si>
  <si>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</si>
  <si>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</si>
  <si>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</si>
  <si>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</si>
  <si>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</si>
  <si>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</si>
  <si>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</si>
  <si>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</si>
  <si>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</si>
  <si>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</si>
  <si>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</si>
  <si>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</si>
  <si>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</si>
  <si>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</si>
  <si>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</si>
  <si>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</si>
  <si>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</si>
  <si>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</si>
  <si>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</si>
  <si>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</si>
  <si>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</si>
  <si>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</si>
  <si>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</si>
  <si>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</si>
  <si>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</si>
  <si>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</si>
  <si>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</si>
  <si>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</si>
  <si>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</si>
  <si>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</si>
  <si>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</si>
  <si>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</si>
  <si>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</si>
  <si>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</si>
  <si>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</si>
  <si>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</si>
  <si>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</si>
  <si>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</si>
  <si>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</si>
  <si>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</si>
  <si>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</si>
  <si>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</si>
  <si>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</si>
  <si>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</si>
  <si>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</si>
  <si>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</si>
  <si>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</si>
  <si>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</si>
  <si>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</si>
  <si>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</si>
  <si>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</si>
  <si>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</si>
  <si>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</si>
  <si>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</si>
  <si>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</si>
  <si>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</si>
  <si>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</si>
  <si>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</si>
  <si>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</si>
  <si>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</si>
  <si>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</si>
  <si>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</si>
  <si>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</si>
  <si>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</si>
  <si>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</si>
  <si>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</si>
  <si>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</si>
  <si>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</si>
  <si>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gekantet (L1 + L2) = 1.400 mm</t>
  </si>
  <si>
    <t>total maximum inside length canted (L1 + L2) = 1,400 mm</t>
  </si>
  <si>
    <t>total de la longueur intérieure maximum replié (L1 + L2) = 1 400 mm</t>
  </si>
  <si>
    <t>Lunghezza interna totale massima squadrato (L1 + L2) = 1.400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</si>
  <si>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</si>
  <si>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</si>
  <si>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</si>
  <si>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</si>
  <si>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</si>
  <si>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</si>
  <si>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</si>
  <si>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</si>
  <si>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</si>
  <si>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</si>
  <si>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</si>
  <si>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</si>
  <si>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</si>
  <si>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</si>
  <si>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</si>
  <si>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</si>
  <si>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</si>
  <si>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</si>
  <si>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</si>
  <si>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</si>
  <si>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</si>
  <si>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</si>
  <si>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</si>
  <si>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</si>
  <si>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</si>
  <si>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</si>
  <si>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</si>
  <si>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</si>
  <si>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</si>
  <si>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</si>
  <si>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</si>
  <si>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</si>
  <si>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</si>
  <si>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</si>
  <si>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</si>
  <si>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</si>
  <si>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</si>
  <si>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</si>
  <si>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</si>
  <si>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</si>
  <si>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</si>
  <si>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</si>
  <si>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</si>
  <si>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</si>
  <si>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</si>
  <si>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</si>
  <si>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</si>
  <si>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</si>
  <si>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</si>
  <si>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</si>
  <si>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</si>
  <si>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</si>
  <si>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</si>
  <si>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</si>
  <si>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</si>
  <si>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</si>
  <si>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</si>
  <si>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</si>
  <si>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</si>
  <si>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</si>
  <si>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</si>
  <si>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</si>
  <si>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</si>
  <si>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</si>
  <si>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</si>
  <si>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</si>
  <si>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</si>
  <si>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</si>
  <si>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</si>
  <si>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</si>
  <si>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</si>
  <si>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</si>
  <si>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</si>
  <si>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</si>
  <si>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</si>
  <si>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</si>
  <si>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</si>
  <si>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</si>
  <si>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</si>
  <si>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</si>
  <si>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</si>
  <si>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</si>
  <si>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</si>
  <si>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</si>
  <si>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</si>
  <si>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</si>
  <si>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</si>
  <si>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</si>
  <si>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</si>
  <si>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</si>
  <si>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</si>
  <si>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</si>
  <si>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</si>
  <si>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</si>
  <si>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</si>
  <si>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</si>
  <si>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</si>
  <si>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</si>
  <si>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</si>
  <si>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</si>
  <si>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</si>
  <si>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</si>
  <si>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</si>
  <si>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</si>
  <si>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</si>
  <si>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</si>
  <si>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</si>
  <si>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</si>
  <si>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</si>
  <si>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</si>
  <si>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</si>
  <si>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</si>
  <si>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</si>
  <si>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</si>
  <si>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</si>
  <si>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</si>
  <si>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</si>
  <si>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</si>
  <si>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</si>
  <si>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</si>
  <si>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</si>
  <si>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</si>
  <si>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</si>
  <si>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</si>
  <si>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</si>
  <si>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</si>
  <si>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</si>
  <si>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</si>
  <si>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</si>
  <si>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</si>
  <si>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</si>
  <si>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</si>
  <si>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</si>
  <si>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</si>
  <si>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</si>
  <si>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</si>
  <si>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</si>
  <si>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</si>
  <si>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</si>
  <si>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</si>
  <si>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</si>
  <si>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</si>
  <si>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</si>
  <si>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</si>
  <si>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</si>
  <si>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</si>
  <si>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</si>
  <si>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</si>
  <si>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</si>
  <si>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</si>
  <si>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</si>
  <si>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</si>
  <si>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</si>
  <si>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</si>
  <si>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</si>
  <si>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</si>
  <si>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</si>
  <si>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</si>
  <si>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</si>
  <si>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</si>
  <si>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</si>
  <si>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</si>
  <si>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</si>
  <si>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</si>
  <si>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</si>
  <si>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</si>
  <si>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</si>
  <si>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</si>
  <si>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</si>
  <si>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</si>
  <si>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</si>
  <si>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</si>
  <si>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</si>
  <si>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Einhand-Federbohrvorrichtung</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</si>
  <si>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</si>
  <si>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</si>
  <si>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</si>
  <si>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</si>
  <si>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</si>
  <si>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</si>
  <si>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</si>
  <si>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</si>
  <si>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</si>
  <si>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</si>
  <si>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</si>
  <si>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</si>
  <si>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</si>
  <si>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</si>
  <si>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</si>
  <si>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</si>
  <si>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</si>
  <si>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</si>
  <si>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</si>
  <si>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</si>
  <si>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</si>
  <si>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</si>
  <si>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</si>
  <si>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</si>
  <si>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</si>
  <si>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</si>
  <si>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</si>
  <si>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</si>
  <si>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</si>
  <si>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</si>
  <si>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</si>
  <si>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</si>
  <si>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</si>
  <si>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</si>
  <si>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</si>
  <si>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</si>
  <si>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</si>
  <si>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</si>
  <si>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</si>
  <si>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</si>
  <si>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</si>
  <si>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</si>
  <si>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</si>
  <si>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</si>
  <si>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</si>
  <si>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</si>
  <si>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</si>
  <si>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</si>
  <si>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</si>
  <si>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</si>
  <si>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</si>
  <si>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</si>
  <si>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</si>
  <si>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</si>
  <si>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</si>
  <si>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</si>
  <si>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</si>
  <si>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</si>
  <si>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</si>
  <si>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</si>
  <si>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</si>
  <si>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</si>
  <si>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</si>
  <si>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</si>
  <si>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</si>
  <si>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</si>
  <si>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</si>
  <si>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</si>
  <si>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</si>
  <si>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</si>
  <si>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</si>
  <si>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</si>
  <si>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</si>
  <si>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</si>
  <si>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</si>
  <si>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</si>
  <si>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</si>
  <si>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</si>
  <si>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</si>
  <si>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</si>
  <si>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</si>
  <si>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</si>
  <si>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</si>
  <si>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</si>
  <si>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</si>
  <si>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</si>
  <si>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</si>
  <si>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</si>
  <si>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</si>
  <si>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</si>
  <si>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</si>
  <si>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</si>
  <si>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</si>
  <si>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</si>
  <si>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</si>
  <si>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</si>
  <si>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</si>
  <si>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</si>
  <si>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</si>
  <si>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</si>
  <si>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</si>
  <si>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</si>
  <si>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</si>
  <si>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</si>
  <si>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</si>
  <si>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</si>
  <si>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</si>
  <si>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</si>
  <si>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</si>
  <si>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</si>
  <si>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</si>
  <si>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</si>
  <si>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</si>
  <si>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</si>
  <si>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</si>
  <si>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</si>
  <si>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</si>
  <si>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</si>
  <si>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</si>
  <si>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</si>
  <si>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</si>
  <si>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</si>
  <si>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</si>
  <si>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</si>
  <si>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</si>
  <si>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</si>
  <si>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</si>
  <si>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</si>
  <si>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</si>
  <si>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</si>
  <si>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</si>
  <si>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</si>
  <si>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</si>
  <si>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</si>
  <si>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</si>
  <si>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</si>
  <si>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</si>
  <si>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</si>
  <si>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</si>
  <si>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</si>
  <si>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</si>
  <si>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</si>
  <si>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</si>
  <si>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</si>
  <si>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</si>
  <si>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</si>
  <si>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</si>
  <si>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</si>
  <si>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</si>
  <si>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</si>
  <si>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</si>
  <si>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</si>
  <si>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</si>
  <si>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</si>
  <si>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</si>
  <si>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</si>
  <si>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</si>
  <si>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</si>
  <si>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</si>
  <si>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</si>
  <si>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</si>
  <si>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</si>
  <si>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</si>
  <si>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</si>
  <si>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</si>
  <si>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</si>
  <si>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</si>
  <si>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</si>
  <si>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</si>
  <si>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</si>
  <si>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</si>
  <si>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</si>
  <si>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</si>
  <si>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</si>
  <si>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</si>
  <si>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</si>
  <si>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</si>
  <si>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</si>
  <si>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</si>
  <si>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</si>
  <si>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</si>
  <si>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</si>
  <si>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</si>
  <si>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</si>
  <si>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</si>
  <si>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</si>
  <si>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</si>
  <si>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</si>
  <si>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</si>
  <si>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</si>
  <si>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</si>
  <si>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</si>
  <si>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</si>
  <si>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</si>
  <si>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</si>
  <si>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</si>
  <si>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</si>
  <si>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</si>
  <si>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</si>
  <si>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</si>
  <si>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</si>
  <si>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</si>
  <si>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</si>
  <si>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</si>
  <si>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</si>
  <si>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</si>
  <si>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</si>
  <si>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</si>
  <si>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</si>
  <si>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</si>
  <si>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</si>
  <si>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</si>
  <si>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</si>
  <si>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</si>
  <si>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</si>
  <si>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</si>
  <si>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</si>
  <si>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</si>
  <si>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</si>
  <si>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</si>
  <si>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</si>
  <si>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</si>
  <si>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</si>
  <si>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</si>
  <si>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</si>
  <si>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</si>
  <si>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</si>
  <si>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</si>
  <si>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</si>
  <si>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</si>
  <si>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</si>
  <si>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</si>
  <si>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</si>
  <si>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</si>
  <si>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</si>
  <si>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</si>
  <si>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</si>
  <si>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</si>
  <si>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</si>
  <si>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</si>
  <si>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</si>
  <si>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</si>
  <si>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</si>
  <si>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</si>
  <si>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</si>
  <si>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</si>
  <si>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</si>
  <si>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</si>
  <si>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</si>
  <si>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</si>
  <si>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</si>
  <si>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</si>
  <si>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</si>
  <si>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</si>
  <si>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</si>
  <si>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</si>
  <si>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</si>
  <si>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</si>
  <si>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</si>
  <si>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</si>
  <si>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</si>
  <si>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</si>
  <si>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</si>
  <si>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</si>
  <si>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</si>
  <si>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</si>
  <si>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</si>
  <si>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</si>
  <si>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</si>
  <si>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</si>
  <si>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</si>
  <si>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</si>
  <si>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</si>
  <si>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</si>
  <si>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</si>
  <si>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</si>
  <si>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</si>
  <si>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</si>
  <si>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</si>
  <si>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</si>
  <si>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</si>
  <si>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</si>
  <si>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</si>
  <si>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</si>
  <si>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</si>
  <si>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</si>
  <si>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</si>
  <si>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</si>
  <si>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</si>
  <si>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</si>
  <si>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</si>
  <si>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</si>
  <si>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</si>
  <si>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</si>
  <si>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</si>
  <si>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</si>
  <si>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</si>
  <si>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</si>
  <si>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</si>
  <si>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</si>
  <si>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</si>
  <si>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</si>
  <si>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</si>
  <si>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</si>
  <si>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</si>
  <si>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</si>
  <si>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</si>
  <si>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</si>
  <si>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</si>
  <si>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</si>
  <si>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</si>
  <si>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</si>
  <si>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</si>
  <si>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</si>
  <si>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</si>
  <si>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</si>
  <si>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</si>
  <si>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</si>
  <si>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</si>
  <si>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</si>
  <si>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</si>
  <si>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</si>
  <si>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</si>
  <si>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</si>
  <si>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</si>
  <si>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</si>
  <si>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</si>
  <si>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</si>
  <si>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</si>
  <si>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</si>
  <si>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</si>
  <si>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</si>
  <si>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</si>
  <si>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</si>
  <si>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</si>
  <si>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</si>
  <si>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</si>
  <si>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</si>
  <si>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</si>
  <si>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</si>
  <si>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</si>
  <si>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</si>
  <si>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</si>
  <si>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</si>
  <si>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</si>
  <si>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</si>
  <si>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</si>
  <si>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</si>
  <si>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</si>
  <si>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</si>
  <si>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</si>
  <si>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</si>
  <si>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</si>
  <si>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</si>
  <si>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</si>
  <si>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</si>
  <si>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</si>
  <si>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</si>
  <si>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</si>
  <si>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</si>
  <si>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</si>
  <si>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</si>
  <si>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</si>
  <si>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</si>
  <si>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</si>
  <si>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</si>
  <si>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</si>
  <si>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</si>
  <si>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</si>
  <si>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</si>
  <si>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</si>
  <si>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</si>
  <si>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</si>
  <si>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</si>
  <si>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</si>
  <si>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</si>
  <si>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</si>
  <si>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</si>
  <si>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</si>
  <si>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</si>
  <si>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</si>
  <si>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</si>
  <si>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</si>
  <si>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</si>
  <si>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</si>
  <si>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</si>
  <si>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</si>
  <si>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</si>
  <si>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</si>
  <si>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</si>
  <si>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</si>
  <si>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</si>
  <si>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</si>
  <si>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</si>
  <si>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</si>
  <si>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</si>
  <si>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</si>
  <si>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</si>
  <si>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</si>
  <si>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</si>
  <si>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</si>
  <si>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</si>
  <si>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</si>
  <si>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</si>
  <si>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</si>
  <si>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</si>
  <si>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</si>
  <si>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</si>
  <si>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</si>
  <si>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</si>
  <si>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</si>
  <si>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</si>
  <si>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</si>
  <si>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</si>
  <si>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</si>
  <si>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</si>
  <si>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</si>
  <si>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</si>
  <si>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</si>
  <si>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</si>
  <si>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</si>
  <si>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</si>
  <si>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</si>
  <si>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</si>
  <si>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</si>
  <si>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</si>
  <si>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</si>
  <si>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</si>
  <si>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</si>
  <si>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</si>
  <si>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</si>
  <si>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</si>
  <si>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</si>
  <si>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</si>
  <si>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</si>
  <si>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</si>
  <si>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</si>
  <si>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</si>
  <si>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</si>
  <si>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</si>
  <si>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</si>
  <si>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</si>
  <si>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</si>
  <si>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</si>
  <si>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</si>
  <si>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</si>
  <si>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</si>
  <si>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</si>
  <si>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</si>
  <si>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</si>
  <si>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</si>
  <si>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</si>
  <si>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</si>
  <si>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</si>
  <si>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</si>
  <si>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</si>
  <si>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</si>
  <si>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</si>
  <si>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</si>
  <si>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</si>
  <si>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</si>
  <si>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</si>
  <si>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</si>
  <si>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</si>
  <si>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</si>
  <si>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</si>
  <si>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</si>
  <si>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</si>
  <si>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</si>
  <si>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</si>
  <si>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</si>
  <si>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</si>
  <si>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</si>
  <si>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</si>
  <si>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</si>
  <si>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</si>
  <si>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</si>
  <si>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</si>
  <si>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</si>
  <si>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</si>
  <si>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</si>
  <si>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</si>
  <si>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</si>
  <si>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</si>
  <si>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</si>
  <si>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</si>
  <si>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</si>
  <si>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</si>
  <si>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</si>
  <si>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</si>
  <si>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</si>
  <si>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</si>
  <si>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</si>
  <si>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</si>
  <si>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</si>
  <si>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</si>
  <si>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</si>
  <si>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</si>
  <si>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</si>
  <si>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</si>
  <si>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</si>
  <si>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</si>
  <si>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</si>
  <si>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</si>
  <si>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</si>
  <si>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</si>
  <si>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</si>
  <si>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</si>
  <si>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</si>
  <si>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</si>
  <si>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</si>
  <si>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</si>
  <si>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</si>
  <si>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</si>
  <si>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</si>
  <si>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</si>
  <si>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</si>
  <si>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</si>
  <si>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</si>
  <si>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</si>
  <si>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</si>
  <si>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</si>
  <si>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</si>
  <si>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</si>
  <si>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</si>
  <si>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</si>
  <si>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</si>
  <si>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</si>
  <si>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</si>
  <si>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</si>
  <si>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</si>
  <si>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</si>
  <si>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</si>
  <si>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</si>
  <si>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</si>
  <si>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</si>
  <si>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</si>
  <si>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</si>
  <si>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</si>
  <si>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</si>
  <si>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</si>
  <si>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</si>
  <si>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</si>
  <si>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</si>
  <si>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</si>
  <si>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</si>
  <si>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</si>
  <si>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</si>
  <si>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</si>
  <si>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Taglierina per lamiera per punto fisso (</t>
    </r>
    <r>
      <rPr>
        <sz val="10"/>
        <color rgb="FF000000"/>
        <rFont val="Menlo"/>
        <family val="2"/>
      </rPr>
      <t>⌀</t>
    </r>
    <r>
      <rPr>
        <sz val="10"/>
        <color rgb="FF000000"/>
        <rFont val="Calibri"/>
        <family val="2"/>
        <scheme val="minor"/>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</si>
  <si>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</si>
  <si>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</si>
  <si>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</si>
  <si>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</si>
  <si>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</si>
  <si>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</si>
  <si>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</si>
  <si>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</si>
  <si>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</si>
  <si>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</si>
  <si>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</si>
  <si>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</si>
  <si>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</si>
  <si>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Taglierina per lamiera per punto scorrevole (</t>
    </r>
    <r>
      <rPr>
        <sz val="10"/>
        <color rgb="FF000000"/>
        <rFont val="Menlo"/>
        <family val="2"/>
      </rPr>
      <t>⌀</t>
    </r>
    <r>
      <rPr>
        <sz val="10"/>
        <color rgb="FF000000"/>
        <rFont val="Calibri"/>
        <family val="2"/>
        <scheme val="minor"/>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</si>
  <si>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</si>
  <si>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</si>
  <si>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</si>
  <si>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</si>
  <si>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</si>
  <si>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</si>
  <si>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</si>
  <si>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</si>
  <si>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</si>
  <si>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</si>
  <si>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</si>
  <si>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</si>
  <si>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</si>
  <si>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</si>
  <si>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</si>
  <si>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</si>
  <si>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</si>
  <si>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</si>
  <si>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</si>
  <si>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</si>
  <si>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</si>
  <si>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</si>
  <si>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</si>
  <si>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</si>
  <si>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</si>
  <si>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</si>
  <si>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</si>
  <si>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</si>
  <si>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</si>
  <si>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</si>
  <si>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</si>
  <si>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</si>
  <si>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</si>
  <si>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</si>
  <si>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</si>
  <si>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</si>
  <si>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</si>
  <si>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</si>
  <si>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</si>
  <si>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</si>
  <si>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</si>
  <si>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</si>
  <si>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</si>
  <si>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</si>
  <si>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</si>
  <si>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</si>
  <si>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</si>
  <si>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</si>
  <si>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</si>
  <si>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</si>
  <si>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</si>
  <si>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</si>
  <si>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</si>
  <si>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</si>
  <si>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</si>
  <si>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</si>
  <si>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</si>
  <si>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</si>
  <si>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</si>
  <si>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</si>
  <si>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</si>
  <si>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</si>
  <si>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</si>
  <si>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</si>
  <si>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</si>
  <si>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</si>
  <si>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</si>
  <si>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</si>
  <si>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</si>
  <si>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</si>
  <si>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</si>
  <si>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</si>
  <si>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</si>
  <si>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</si>
  <si>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</si>
  <si>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</si>
  <si>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</si>
  <si>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</si>
  <si>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</si>
  <si>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</si>
  <si>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</si>
  <si>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</si>
  <si>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</si>
  <si>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</si>
  <si>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</si>
  <si>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</si>
  <si>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</si>
  <si>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</si>
  <si>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</si>
  <si>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</si>
  <si>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</si>
  <si>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</si>
  <si>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</si>
  <si>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</si>
  <si>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</si>
  <si>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</si>
  <si>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</si>
  <si>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</si>
  <si>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</si>
  <si>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</si>
  <si>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</si>
  <si>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</si>
  <si>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</si>
  <si>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</si>
  <si>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</si>
  <si>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</si>
  <si>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</si>
  <si>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</si>
  <si>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</si>
  <si>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</si>
  <si>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</si>
  <si>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</si>
  <si>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</si>
  <si>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</si>
  <si>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</si>
  <si>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</si>
  <si>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</si>
  <si>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</si>
  <si>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</si>
  <si>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</si>
  <si>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</si>
  <si>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</si>
  <si>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</si>
  <si>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</si>
  <si>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</si>
  <si>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</si>
  <si>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</si>
  <si>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</si>
  <si>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</si>
  <si>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</si>
  <si>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</si>
  <si>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</si>
  <si>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</si>
  <si>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</si>
  <si>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</si>
  <si>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</si>
  <si>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</si>
  <si>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</si>
  <si>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</si>
  <si>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</si>
  <si>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</si>
  <si>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</si>
  <si>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</si>
  <si>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</si>
  <si>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</si>
  <si>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</si>
  <si>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</si>
  <si>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</si>
  <si>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</si>
  <si>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</si>
  <si>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</si>
  <si>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</si>
  <si>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</si>
  <si>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</si>
  <si>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</si>
  <si>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</si>
  <si>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</si>
  <si>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</si>
  <si>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</si>
  <si>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</si>
  <si>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</si>
  <si>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</si>
  <si>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</si>
  <si>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</si>
  <si>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</si>
  <si>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</si>
  <si>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</si>
  <si>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</si>
  <si>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</si>
  <si>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</si>
  <si>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</si>
  <si>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</si>
  <si>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</si>
  <si>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</si>
  <si>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</si>
  <si>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</si>
  <si>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</si>
  <si>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</si>
  <si>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</si>
  <si>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</si>
  <si>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</si>
  <si>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</si>
  <si>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</si>
  <si>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</si>
  <si>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</si>
  <si>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</si>
  <si>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</si>
  <si>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</si>
  <si>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</si>
  <si>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</si>
  <si>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</si>
  <si>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</si>
  <si>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</si>
  <si>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</si>
  <si>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</si>
  <si>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</si>
  <si>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</si>
  <si>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</si>
  <si>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</si>
  <si>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</si>
  <si>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</si>
  <si>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</si>
  <si>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</si>
  <si>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</si>
  <si>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</si>
  <si>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</si>
  <si>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</si>
  <si>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</si>
  <si>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</si>
  <si>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</si>
  <si>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</si>
  <si>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</si>
  <si>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</si>
  <si>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</si>
  <si>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</si>
  <si>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</si>
  <si>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</si>
  <si>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</si>
  <si>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</si>
  <si>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</si>
  <si>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</si>
  <si>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</si>
  <si>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</si>
  <si>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</si>
  <si>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</si>
  <si>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</si>
  <si>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</si>
  <si>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</si>
  <si>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</si>
  <si>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</si>
  <si>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</si>
  <si>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</si>
  <si>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</si>
  <si>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</si>
  <si>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</si>
  <si>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</si>
  <si>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</si>
  <si>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</si>
  <si>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</si>
  <si>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</si>
  <si>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</si>
  <si>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</si>
  <si>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</si>
  <si>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</si>
  <si>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</si>
  <si>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</si>
  <si>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</si>
  <si>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</si>
  <si>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</si>
  <si>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</si>
  <si>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</si>
  <si>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</si>
  <si>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</si>
  <si>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</si>
  <si>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</si>
  <si>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</si>
  <si>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</si>
  <si>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</si>
  <si>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</si>
  <si>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</si>
  <si>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</si>
  <si>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</si>
  <si>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</si>
  <si>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</si>
  <si>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</si>
  <si>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</si>
  <si>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</si>
  <si>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</si>
  <si>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</si>
  <si>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</si>
  <si>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</si>
  <si>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</si>
  <si>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</si>
  <si>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</si>
  <si>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</si>
  <si>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</si>
  <si>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</si>
  <si>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</si>
  <si>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</si>
  <si>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</si>
  <si>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</si>
  <si>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</si>
  <si>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</si>
  <si>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</si>
  <si>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</si>
  <si>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</si>
  <si>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</si>
  <si>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</si>
  <si>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</si>
  <si>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</si>
  <si>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</si>
  <si>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</si>
  <si>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</si>
  <si>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</si>
  <si>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</si>
  <si>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</si>
  <si>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</si>
  <si>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</si>
  <si>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</si>
  <si>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</si>
  <si>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</si>
  <si>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</si>
  <si>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</si>
  <si>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</si>
  <si>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</si>
  <si>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</si>
  <si>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</si>
  <si>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</si>
  <si>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</si>
  <si>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</si>
  <si>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</si>
  <si>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</si>
  <si>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</si>
  <si>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</si>
  <si>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</si>
  <si>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</si>
  <si>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</si>
  <si>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</si>
  <si>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</si>
  <si>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</si>
  <si>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</si>
  <si>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</si>
  <si>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</si>
  <si>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</si>
  <si>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</si>
  <si>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</si>
  <si>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</si>
  <si>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</si>
  <si>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</si>
  <si>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</si>
  <si>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</si>
  <si>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</si>
  <si>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</si>
  <si>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</si>
  <si>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</si>
  <si>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</si>
  <si>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</si>
  <si>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</si>
  <si>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</si>
  <si>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</si>
  <si>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</si>
  <si>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</si>
  <si>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</si>
  <si>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</si>
  <si>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</si>
  <si>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</si>
  <si>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</si>
  <si>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</si>
  <si>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</si>
  <si>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</si>
  <si>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</si>
  <si>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</si>
  <si>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</si>
  <si>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</si>
  <si>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</si>
  <si>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</si>
  <si>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</si>
  <si>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</si>
  <si>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</si>
  <si>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</si>
  <si>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</si>
  <si>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</si>
  <si>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</si>
  <si>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</si>
  <si>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</si>
  <si>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</si>
  <si>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</si>
  <si>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</si>
  <si>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</si>
  <si>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</si>
  <si>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</si>
  <si>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</si>
  <si>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</si>
  <si>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</si>
  <si>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</si>
  <si>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</si>
  <si>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</si>
  <si>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</si>
  <si>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</si>
  <si>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</si>
  <si>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</si>
  <si>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</si>
  <si>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</si>
  <si>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</si>
  <si>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</si>
  <si>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</si>
  <si>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</si>
  <si>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</si>
  <si>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</si>
  <si>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</si>
  <si>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</si>
  <si>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</si>
  <si>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</si>
  <si>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</si>
  <si>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</si>
  <si>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</si>
  <si>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</si>
  <si>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</si>
  <si>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</si>
  <si>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</si>
  <si>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</si>
  <si>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</si>
  <si>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</si>
  <si>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</si>
  <si>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</si>
  <si>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Susottostruttura in alluminio</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</si>
  <si>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</si>
  <si>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</si>
  <si>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</si>
  <si>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</si>
  <si>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</si>
  <si>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</si>
  <si>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</si>
  <si>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</si>
  <si>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</si>
  <si>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</si>
  <si>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</si>
  <si>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</si>
  <si>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</si>
  <si>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</si>
  <si>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</si>
  <si>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</si>
  <si>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</si>
  <si>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</si>
  <si>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</si>
  <si>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</si>
  <si>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</si>
  <si>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</si>
  <si>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</si>
  <si>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</si>
  <si>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</si>
  <si>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</si>
  <si>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</si>
  <si>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</si>
  <si>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</si>
  <si>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</si>
  <si>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</si>
  <si>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</si>
  <si>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</si>
  <si>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</si>
  <si>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</si>
  <si>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</si>
  <si>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</si>
  <si>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</si>
  <si>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</si>
  <si>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</si>
  <si>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</si>
  <si>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</si>
  <si>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</si>
  <si>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</si>
  <si>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</si>
  <si>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</si>
  <si>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</si>
  <si>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</si>
  <si>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</si>
  <si>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</si>
  <si>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</si>
  <si>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</si>
  <si>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</si>
  <si>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</si>
  <si>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</si>
  <si>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</si>
  <si>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</si>
  <si>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</si>
  <si>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</si>
  <si>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</si>
  <si>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</si>
  <si>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</si>
  <si>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</si>
  <si>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</si>
  <si>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</si>
  <si>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</si>
  <si>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</si>
  <si>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</si>
  <si>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</si>
  <si>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</si>
  <si>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</si>
  <si>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</si>
  <si>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</si>
  <si>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</si>
  <si>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</si>
  <si>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</si>
  <si>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</si>
  <si>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</si>
  <si>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</si>
  <si>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</si>
  <si>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</si>
  <si>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</si>
  <si>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</si>
  <si>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</si>
  <si>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</si>
  <si>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</si>
  <si>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</si>
  <si>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</si>
  <si>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</si>
  <si>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</si>
  <si>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</si>
  <si>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</si>
  <si>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</si>
  <si>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</si>
  <si>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</si>
  <si>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</si>
  <si>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</si>
  <si>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</si>
  <si>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</si>
  <si>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</si>
  <si>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</si>
  <si>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</si>
  <si>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</si>
  <si>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</si>
  <si>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</si>
  <si>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</si>
  <si>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</si>
  <si>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</si>
  <si>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</si>
  <si>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</si>
  <si>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</si>
  <si>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</si>
  <si>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</si>
  <si>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</si>
  <si>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</si>
  <si>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</si>
  <si>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</si>
  <si>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</si>
  <si>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</si>
  <si>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</si>
  <si>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</si>
  <si>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</si>
  <si>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</si>
  <si>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</si>
  <si>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</si>
  <si>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</si>
  <si>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</si>
  <si>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</si>
  <si>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</si>
  <si>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</si>
  <si>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</si>
  <si>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</si>
  <si>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</si>
  <si>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</si>
  <si>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</si>
  <si>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</si>
  <si>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</si>
  <si>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</si>
  <si>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</si>
  <si>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</si>
  <si>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</si>
  <si>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</si>
  <si>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</si>
  <si>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</si>
  <si>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</si>
  <si>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</si>
  <si>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</si>
  <si>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</si>
  <si>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</si>
  <si>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</si>
  <si>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</si>
  <si>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</si>
  <si>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</si>
  <si>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</si>
  <si>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</si>
  <si>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</si>
  <si>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</si>
  <si>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</si>
  <si>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</si>
  <si>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</si>
  <si>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</si>
  <si>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</si>
  <si>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</si>
  <si>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</si>
  <si>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</si>
  <si>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</si>
  <si>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</si>
  <si>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</si>
  <si>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</si>
  <si>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</si>
  <si>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</si>
  <si>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</si>
  <si>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</si>
  <si>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</si>
  <si>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</si>
  <si>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</si>
  <si>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</si>
  <si>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</si>
  <si>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</si>
  <si>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</si>
  <si>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</si>
  <si>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</si>
  <si>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</si>
  <si>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</si>
  <si>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</si>
  <si>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</si>
  <si>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</si>
  <si>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</si>
  <si>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</si>
  <si>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</si>
  <si>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</si>
  <si>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</si>
  <si>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</si>
  <si>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</si>
  <si>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</si>
  <si>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</si>
  <si>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</si>
  <si>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</si>
  <si>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</si>
  <si>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</si>
  <si>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</si>
  <si>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</si>
  <si>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</si>
  <si>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</si>
  <si>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</si>
  <si>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</si>
  <si>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</si>
  <si>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</si>
  <si>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</si>
  <si>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</si>
  <si>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</si>
  <si>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</si>
  <si>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</si>
  <si>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</si>
  <si>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</si>
  <si>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</si>
  <si>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</si>
  <si>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</si>
  <si>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</si>
  <si>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</si>
  <si>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</si>
  <si>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</si>
  <si>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</si>
  <si>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</si>
  <si>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</si>
  <si>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</si>
  <si>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</si>
  <si>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</si>
  <si>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</si>
  <si>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</si>
  <si>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</si>
  <si>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</si>
  <si>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</si>
  <si>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</si>
  <si>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</si>
  <si>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</si>
  <si>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</si>
  <si>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</si>
  <si>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</si>
  <si>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</si>
  <si>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</si>
  <si>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</si>
  <si>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</si>
  <si>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</si>
  <si>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</si>
  <si>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</si>
  <si>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</si>
  <si>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</si>
  <si>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</si>
  <si>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</si>
  <si>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</si>
  <si>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</si>
  <si>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</si>
  <si>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Architrave della finestra con frangisole</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</si>
  <si>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</si>
  <si>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</si>
  <si>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</si>
  <si>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</si>
  <si>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</si>
  <si>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</si>
  <si>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</si>
  <si>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</si>
  <si>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</si>
  <si>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</si>
  <si>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</si>
  <si>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</si>
  <si>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</si>
  <si>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</si>
  <si>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</si>
  <si>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</si>
  <si>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</si>
  <si>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</si>
  <si>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</si>
  <si>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</si>
  <si>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</si>
  <si>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</si>
  <si>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</si>
  <si>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</si>
  <si>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</si>
  <si>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</si>
  <si>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</si>
  <si>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</si>
  <si>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</si>
  <si>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</si>
  <si>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</si>
  <si>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</si>
  <si>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</si>
  <si>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</si>
  <si>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</si>
  <si>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</si>
  <si>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</si>
  <si>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</si>
  <si>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</si>
  <si>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</si>
  <si>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</si>
  <si>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</si>
  <si>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</si>
  <si>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</si>
  <si>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</si>
  <si>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</si>
  <si>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</si>
  <si>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</si>
  <si>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</si>
  <si>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</si>
  <si>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</si>
  <si>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</si>
  <si>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</si>
  <si>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</si>
  <si>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</si>
  <si>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</si>
  <si>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</si>
  <si>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</si>
  <si>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</si>
  <si>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</si>
  <si>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</si>
  <si>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</si>
  <si>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</si>
  <si>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</si>
  <si>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</si>
  <si>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</si>
  <si>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</si>
  <si>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</si>
  <si>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</si>
  <si>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</si>
  <si>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</si>
  <si>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</si>
  <si>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</si>
  <si>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</si>
  <si>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</si>
  <si>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</si>
  <si>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</si>
  <si>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</si>
  <si>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</si>
  <si>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</si>
  <si>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</si>
  <si>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</si>
  <si>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</si>
  <si>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</si>
  <si>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</si>
  <si>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Rivestimento spalletta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</si>
  <si>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</si>
  <si>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</si>
  <si>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</si>
  <si>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</si>
  <si>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</si>
  <si>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</si>
  <si>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</si>
  <si>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</si>
  <si>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</si>
  <si>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</si>
  <si>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</si>
  <si>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</si>
  <si>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</si>
  <si>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Rivestimento spalletta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</si>
  <si>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</si>
  <si>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</si>
  <si>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</si>
  <si>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</si>
  <si>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</si>
  <si>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</si>
  <si>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</si>
  <si>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</si>
  <si>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</si>
  <si>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</si>
  <si>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</si>
  <si>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</si>
  <si>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</si>
  <si>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Sezione orizzontale - Rivestimento spalletta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</si>
  <si>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</si>
  <si>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</si>
  <si>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</si>
  <si>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</si>
  <si>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</si>
  <si>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</si>
  <si>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</si>
  <si>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</si>
  <si>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</si>
  <si>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</si>
  <si>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</si>
  <si>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</si>
  <si>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</si>
  <si>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Rivestimento spalletta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</si>
  <si>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</si>
  <si>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</si>
  <si>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</si>
  <si>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</si>
  <si>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</si>
  <si>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</si>
  <si>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</si>
  <si>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</si>
  <si>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</si>
  <si>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</si>
  <si>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</si>
  <si>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</si>
  <si>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</si>
  <si>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</si>
  <si>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</si>
  <si>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</si>
  <si>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</si>
  <si>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</si>
  <si>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</si>
  <si>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</si>
  <si>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</si>
  <si>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</si>
  <si>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</si>
  <si>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</si>
  <si>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</si>
  <si>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</si>
  <si>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</si>
  <si>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</si>
  <si>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</si>
  <si>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</si>
  <si>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</si>
  <si>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</si>
  <si>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</si>
  <si>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</si>
  <si>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</si>
  <si>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</si>
  <si>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</si>
  <si>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</si>
  <si>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</si>
  <si>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</si>
  <si>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</si>
  <si>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</si>
  <si>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</si>
  <si>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</si>
  <si>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</si>
  <si>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</si>
  <si>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</si>
  <si>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</si>
  <si>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</si>
  <si>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</si>
  <si>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</si>
  <si>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</si>
  <si>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</si>
  <si>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</si>
  <si>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</si>
  <si>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</si>
  <si>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</si>
  <si>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</si>
  <si>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</si>
  <si>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</si>
  <si>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</si>
  <si>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</si>
  <si>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</si>
  <si>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</si>
  <si>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</si>
  <si>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</si>
  <si>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</si>
  <si>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</si>
  <si>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</si>
  <si>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</si>
  <si>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</si>
  <si>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</si>
  <si>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</si>
  <si>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</si>
  <si>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</si>
  <si>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</si>
  <si>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</si>
  <si>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</si>
  <si>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</si>
  <si>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</si>
  <si>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</si>
  <si>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</si>
  <si>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</si>
  <si>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battitraccia</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</si>
  <si>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</si>
  <si>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</si>
  <si>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</si>
  <si>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</si>
  <si>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</si>
  <si>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</si>
  <si>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</si>
  <si>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</si>
  <si>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</si>
  <si>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</si>
  <si>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</si>
  <si>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</si>
  <si>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</si>
  <si>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</si>
  <si>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</si>
  <si>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</si>
  <si>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</si>
  <si>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</si>
  <si>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</si>
  <si>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</si>
  <si>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</si>
  <si>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</si>
  <si>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</si>
  <si>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</si>
  <si>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</si>
  <si>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</si>
  <si>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</si>
  <si>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</si>
  <si>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</si>
  <si>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</si>
  <si>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</si>
  <si>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</si>
  <si>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</si>
  <si>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</si>
  <si>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</si>
  <si>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</si>
  <si>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</si>
  <si>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</si>
  <si>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</si>
  <si>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</si>
  <si>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</si>
  <si>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</si>
  <si>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</si>
  <si>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</si>
  <si>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</si>
  <si>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</si>
  <si>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</si>
  <si>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</si>
  <si>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</si>
  <si>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</si>
  <si>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</si>
  <si>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</si>
  <si>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</si>
  <si>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</si>
  <si>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</si>
  <si>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</si>
  <si>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</si>
  <si>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</si>
  <si>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</si>
  <si>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</si>
  <si>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</si>
  <si>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</si>
  <si>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</si>
  <si>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</si>
  <si>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</si>
  <si>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</si>
  <si>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</si>
  <si>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</si>
  <si>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</si>
  <si>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</si>
  <si>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</si>
  <si>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</si>
  <si>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</si>
  <si>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</si>
  <si>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</si>
  <si>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</si>
  <si>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</si>
  <si>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</si>
  <si>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</si>
  <si>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</si>
  <si>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</si>
  <si>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</si>
  <si>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</si>
  <si>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</si>
  <si>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</si>
  <si>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</si>
  <si>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Marcapiano</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</si>
  <si>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</si>
  <si>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</si>
  <si>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</si>
  <si>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</si>
  <si>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</si>
  <si>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</si>
  <si>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</si>
  <si>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</si>
  <si>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</si>
  <si>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</si>
  <si>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</si>
  <si>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</si>
  <si>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</si>
  <si>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</si>
  <si>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</si>
  <si>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</si>
  <si>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</si>
  <si>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</si>
  <si>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</si>
  <si>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</si>
  <si>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</si>
  <si>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</si>
  <si>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</si>
  <si>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</si>
  <si>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</si>
  <si>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</si>
  <si>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</si>
  <si>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</si>
  <si>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</si>
  <si>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</si>
  <si>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</si>
  <si>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</si>
  <si>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</si>
  <si>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</si>
  <si>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</si>
  <si>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</si>
  <si>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</si>
  <si>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</si>
  <si>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</si>
  <si>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</si>
  <si>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</si>
  <si>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</si>
  <si>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</si>
  <si>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</si>
  <si>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</si>
  <si>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</si>
  <si>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</si>
  <si>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</si>
  <si>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</si>
  <si>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</si>
  <si>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</si>
  <si>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</si>
  <si>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</si>
  <si>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</si>
  <si>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</si>
  <si>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</si>
  <si>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</si>
  <si>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</si>
  <si>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</si>
  <si>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</si>
  <si>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</si>
  <si>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</si>
  <si>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</si>
  <si>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</si>
  <si>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</si>
  <si>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</si>
  <si>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</si>
  <si>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</si>
  <si>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</si>
  <si>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</si>
  <si>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</si>
  <si>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</si>
  <si>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</si>
  <si>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</si>
  <si>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</si>
  <si>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</si>
  <si>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</si>
  <si>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</si>
  <si>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</si>
  <si>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</si>
  <si>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</si>
  <si>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</si>
  <si>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</si>
  <si>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</si>
  <si>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</si>
  <si>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</si>
  <si>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</si>
  <si>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</si>
  <si>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</si>
  <si>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</si>
  <si>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</si>
  <si>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</si>
  <si>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</si>
  <si>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</si>
  <si>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</si>
  <si>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</si>
  <si>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</si>
  <si>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</si>
  <si>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</si>
  <si>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</si>
  <si>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</si>
  <si>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</si>
  <si>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</si>
  <si>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</si>
  <si>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</si>
  <si>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</si>
  <si>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</si>
  <si>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</si>
  <si>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</si>
  <si>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</si>
  <si>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</si>
  <si>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</si>
  <si>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</si>
  <si>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</si>
  <si>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</si>
  <si>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</si>
  <si>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</si>
  <si>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</si>
  <si>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</si>
  <si>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</si>
  <si>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</si>
  <si>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</si>
  <si>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</si>
  <si>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</si>
  <si>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</si>
  <si>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</si>
  <si>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</si>
  <si>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</si>
  <si>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</si>
  <si>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</si>
  <si>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</si>
  <si>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</si>
  <si>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</si>
  <si>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</si>
  <si>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</si>
  <si>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</si>
  <si>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</si>
  <si>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</si>
  <si>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</si>
  <si>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</si>
  <si>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</si>
  <si>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</si>
  <si>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</si>
  <si>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</si>
  <si>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</si>
  <si>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</si>
  <si>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</si>
  <si>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</si>
  <si>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</si>
  <si>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</si>
  <si>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</si>
  <si>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</si>
  <si>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</si>
  <si>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</si>
  <si>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</si>
  <si>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</si>
  <si>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</si>
  <si>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</si>
  <si>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</si>
  <si>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</si>
  <si>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</si>
  <si>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</si>
  <si>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</si>
  <si>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</si>
  <si>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</si>
  <si>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</si>
  <si>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</si>
  <si>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</si>
  <si>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</si>
  <si>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</si>
  <si>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</si>
  <si>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</si>
  <si>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</si>
  <si>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</si>
  <si>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</si>
  <si>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</si>
  <si>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</si>
  <si>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</si>
  <si>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</si>
  <si>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</si>
  <si>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</si>
  <si>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</si>
  <si>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</si>
  <si>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</si>
  <si>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</si>
  <si>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</si>
  <si>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</si>
  <si>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</si>
  <si>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</si>
  <si>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</si>
  <si>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</si>
  <si>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</si>
  <si>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</si>
  <si>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</si>
  <si>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</si>
  <si>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</si>
  <si>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</si>
  <si>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</si>
  <si>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</si>
  <si>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</si>
  <si>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</si>
  <si>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</si>
  <si>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</si>
  <si>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</si>
  <si>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</si>
  <si>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</si>
  <si>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</si>
  <si>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</si>
  <si>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</si>
  <si>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</si>
  <si>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</si>
  <si>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</si>
  <si>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</si>
  <si>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</si>
  <si>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</si>
  <si>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</si>
  <si>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</si>
  <si>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</si>
  <si>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</si>
  <si>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</si>
  <si>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</si>
  <si>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</si>
  <si>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</si>
  <si>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</si>
  <si>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</si>
  <si>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</si>
  <si>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</si>
  <si>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</si>
  <si>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</si>
  <si>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</si>
  <si>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</si>
  <si>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</si>
  <si>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</si>
  <si>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</si>
  <si>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</si>
  <si>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</si>
  <si>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</si>
  <si>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</si>
  <si>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</si>
  <si>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</si>
  <si>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</si>
  <si>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</si>
  <si>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</si>
  <si>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</si>
  <si>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</si>
  <si>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</si>
  <si>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</si>
  <si>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</si>
  <si>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</si>
  <si>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</si>
  <si>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</si>
  <si>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</si>
  <si>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</si>
  <si>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</si>
  <si>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</si>
  <si>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</si>
  <si>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</si>
  <si>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</si>
  <si>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</si>
  <si>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</si>
  <si>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</si>
  <si>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</si>
  <si>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</si>
  <si>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</si>
  <si>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</si>
  <si>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</si>
  <si>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</si>
  <si>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</si>
  <si>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</si>
  <si>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</si>
  <si>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</si>
  <si>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</si>
  <si>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</si>
  <si>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</si>
  <si>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</si>
  <si>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</si>
  <si>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</si>
  <si>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</si>
  <si>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</si>
  <si>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</si>
  <si>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</si>
  <si>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</si>
  <si>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</si>
  <si>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</si>
  <si>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</si>
  <si>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</si>
  <si>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</si>
  <si>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</si>
  <si>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</si>
  <si>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</si>
  <si>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</si>
  <si>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</si>
  <si>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</si>
  <si>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</si>
  <si>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</si>
  <si>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</si>
  <si>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</si>
  <si>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</si>
  <si>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</si>
  <si>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</si>
  <si>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</si>
  <si>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</si>
  <si>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</si>
  <si>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</si>
  <si>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</si>
  <si>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</si>
  <si>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</si>
  <si>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</si>
  <si>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</si>
  <si>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</si>
  <si>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</si>
  <si>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</si>
  <si>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</si>
  <si>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</si>
  <si>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</si>
  <si>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</si>
  <si>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</si>
  <si>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</si>
  <si>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</si>
  <si>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</si>
  <si>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</si>
  <si>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</si>
  <si>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</si>
  <si>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</si>
  <si>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</si>
  <si>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</si>
  <si>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</si>
  <si>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</si>
  <si>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</si>
  <si>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</si>
  <si>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</si>
  <si>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</si>
  <si>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</si>
  <si>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</si>
  <si>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</si>
  <si>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</si>
  <si>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</si>
  <si>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</si>
  <si>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</si>
  <si>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</si>
  <si>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</si>
  <si>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</si>
  <si>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</si>
  <si>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</si>
  <si>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</si>
  <si>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</si>
  <si>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</si>
  <si>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</si>
  <si>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</si>
  <si>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</si>
  <si>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</si>
  <si>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</si>
  <si>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</si>
  <si>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</si>
  <si>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</si>
  <si>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</si>
  <si>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</si>
  <si>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</si>
  <si>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</si>
  <si>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</si>
  <si>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</si>
  <si>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</si>
  <si>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</si>
  <si>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</si>
  <si>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</si>
  <si>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</si>
  <si>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</si>
  <si>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</si>
  <si>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</si>
  <si>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</si>
  <si>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</si>
  <si>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</si>
  <si>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</si>
  <si>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</si>
  <si>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</si>
  <si>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</si>
  <si>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</si>
  <si>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</si>
  <si>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</si>
  <si>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</si>
  <si>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</si>
  <si>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</si>
  <si>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</si>
  <si>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</si>
  <si>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</si>
  <si>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</si>
  <si>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</si>
  <si>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</si>
  <si>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</si>
  <si>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</si>
  <si>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</si>
  <si>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</si>
  <si>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</si>
  <si>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</si>
  <si>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</si>
  <si>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</si>
  <si>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</si>
  <si>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</si>
  <si>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</si>
  <si>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</si>
  <si>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</si>
  <si>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</si>
  <si>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</si>
  <si>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</si>
  <si>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</si>
  <si>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</si>
  <si>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</si>
  <si>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</si>
  <si>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</si>
  <si>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</si>
  <si>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</si>
  <si>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</si>
  <si>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</si>
  <si>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</si>
  <si>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</si>
  <si>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</si>
  <si>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</si>
  <si>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</si>
  <si>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</si>
  <si>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</si>
  <si>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</si>
  <si>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</si>
  <si>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</si>
  <si>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</si>
  <si>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</si>
  <si>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</si>
  <si>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</si>
  <si>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</si>
  <si>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</si>
  <si>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</si>
  <si>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</si>
  <si>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</si>
  <si>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</si>
  <si>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</si>
  <si>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</si>
  <si>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Aufpreis Ausfräsung Seitenteile für Dammbalken</t>
  </si>
  <si>
    <t>Surcharge for groove milling of side sections for barrier panel</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</si>
  <si>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</si>
  <si>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</si>
  <si>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</si>
  <si>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</si>
  <si>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</si>
  <si>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</si>
  <si>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</si>
  <si>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</si>
  <si>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</si>
  <si>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</si>
  <si>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</si>
  <si>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</si>
  <si>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Aufpreis Längenänderung Seitenteile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</si>
  <si>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</si>
  <si>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</si>
  <si>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</si>
  <si>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</si>
  <si>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</si>
  <si>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</si>
  <si>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</si>
  <si>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</si>
  <si>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</si>
  <si>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</si>
  <si>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</si>
  <si>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</si>
  <si>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</si>
  <si>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</si>
  <si>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</si>
  <si>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</si>
  <si>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</si>
  <si>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</si>
  <si>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</si>
  <si>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</si>
  <si>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</si>
  <si>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</si>
  <si>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</si>
  <si>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</si>
  <si>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</si>
  <si>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</si>
  <si>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</si>
  <si>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</si>
  <si>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</si>
  <si>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</si>
  <si>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</si>
  <si>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</si>
  <si>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</si>
  <si>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</si>
  <si>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</si>
  <si>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</si>
  <si>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</si>
  <si>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</si>
  <si>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</si>
  <si>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</si>
  <si>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</si>
  <si>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Ausfräsung Seitenteile für DB</t>
  </si>
  <si>
    <t>Surcharge for side sections for barrier panel</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</si>
  <si>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</si>
  <si>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</si>
  <si>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</si>
  <si>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</si>
  <si>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</si>
  <si>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</si>
  <si>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</si>
  <si>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</si>
  <si>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</si>
  <si>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</si>
  <si>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</si>
  <si>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</si>
  <si>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</si>
  <si>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</si>
  <si>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</si>
  <si>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</si>
  <si>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</si>
  <si>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</si>
  <si>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</si>
  <si>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</si>
  <si>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</si>
  <si>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</si>
  <si>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</si>
  <si>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</si>
  <si>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</si>
  <si>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</si>
  <si>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</si>
  <si>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</si>
  <si>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</si>
  <si>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</si>
  <si>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</si>
  <si>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</si>
  <si>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</si>
  <si>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</si>
  <si>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</si>
  <si>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</si>
  <si>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</si>
  <si>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</si>
  <si>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</si>
  <si>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</si>
  <si>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</si>
  <si>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</si>
  <si>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</si>
  <si>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</si>
  <si>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</si>
  <si>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</si>
  <si>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</si>
  <si>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</si>
  <si>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</si>
  <si>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</si>
  <si>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</si>
  <si>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</si>
  <si>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</si>
  <si>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</si>
  <si>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</si>
  <si>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</si>
  <si>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</si>
  <si>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</si>
  <si>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</si>
  <si>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</si>
  <si>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</si>
  <si>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</si>
  <si>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</si>
  <si>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</si>
  <si>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</si>
  <si>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</si>
  <si>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</si>
  <si>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</si>
  <si>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</si>
  <si>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</si>
  <si>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</si>
  <si>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</si>
  <si>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</si>
  <si>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</si>
  <si>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</si>
  <si>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</si>
  <si>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</si>
  <si>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</si>
  <si>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</si>
  <si>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</si>
  <si>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</si>
  <si>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</si>
  <si>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</si>
  <si>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</si>
  <si>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</si>
  <si>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</si>
  <si>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</si>
  <si>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</si>
  <si>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</si>
  <si>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</si>
  <si>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</si>
  <si>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</si>
  <si>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</si>
  <si>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</si>
  <si>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</si>
  <si>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</si>
  <si>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</si>
  <si>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</si>
  <si>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</si>
  <si>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</si>
  <si>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</si>
  <si>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</si>
  <si>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</si>
  <si>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</si>
  <si>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</si>
  <si>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</si>
  <si>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</si>
  <si>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</si>
  <si>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</si>
  <si>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</si>
  <si>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</si>
  <si>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</si>
  <si>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</si>
  <si>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</si>
  <si>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</si>
  <si>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</si>
  <si>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</si>
  <si>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</si>
  <si>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</si>
  <si>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</si>
  <si>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</si>
  <si>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</si>
  <si>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</si>
  <si>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</si>
  <si>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</si>
  <si>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</si>
  <si>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</si>
  <si>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</si>
  <si>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</si>
  <si>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</si>
  <si>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</si>
  <si>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</si>
  <si>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</si>
  <si>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</si>
  <si>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</si>
  <si>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</si>
  <si>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</si>
  <si>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</si>
  <si>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</si>
  <si>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</si>
  <si>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</si>
  <si>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</si>
  <si>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</si>
  <si>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</si>
  <si>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</si>
  <si>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</si>
  <si>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</si>
  <si>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</si>
  <si>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</si>
  <si>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</si>
  <si>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</si>
  <si>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</si>
  <si>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</si>
  <si>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</si>
  <si>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</si>
  <si>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</si>
  <si>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</si>
  <si>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</si>
  <si>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</si>
  <si>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</si>
  <si>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</si>
  <si>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</si>
  <si>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</si>
  <si>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</si>
  <si>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</si>
  <si>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</si>
  <si>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</si>
  <si>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</si>
  <si>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</si>
  <si>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</si>
  <si>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</si>
  <si>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</si>
  <si>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</si>
  <si>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</si>
  <si>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</si>
  <si>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</si>
  <si>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</si>
  <si>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</si>
  <si>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</si>
  <si>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</si>
  <si>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</si>
  <si>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</si>
  <si>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</si>
  <si>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</si>
  <si>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</si>
  <si>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</si>
  <si>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</si>
  <si>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</si>
  <si>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</si>
  <si>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</si>
  <si>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</si>
  <si>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</si>
  <si>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</si>
  <si>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</si>
  <si>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</si>
  <si>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</si>
  <si>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</si>
  <si>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</si>
  <si>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</si>
  <si>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</si>
  <si>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</si>
  <si>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</si>
  <si>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</si>
  <si>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</si>
  <si>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</si>
  <si>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</si>
  <si>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</si>
  <si>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</si>
  <si>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</si>
  <si>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</si>
  <si>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</si>
  <si>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</si>
  <si>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</si>
  <si>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</si>
  <si>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</si>
  <si>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</si>
  <si>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</si>
  <si>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</si>
  <si>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</si>
  <si>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</si>
  <si>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</si>
  <si>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</si>
  <si>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</si>
  <si>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</si>
  <si>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</si>
  <si>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</si>
  <si>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</si>
  <si>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</si>
  <si>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</si>
  <si>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</si>
  <si>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</si>
  <si>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</si>
  <si>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</si>
  <si>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</si>
  <si>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</si>
  <si>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</si>
  <si>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</si>
  <si>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</si>
  <si>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</si>
  <si>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</si>
  <si>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</si>
  <si>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</si>
  <si>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</si>
  <si>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</si>
  <si>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</si>
  <si>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</si>
  <si>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</si>
  <si>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</si>
  <si>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</si>
  <si>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</si>
  <si>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</si>
  <si>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</si>
  <si>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</si>
  <si>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</si>
  <si>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</si>
  <si>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</si>
  <si>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</si>
  <si>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</si>
  <si>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</si>
  <si>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</si>
  <si>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</si>
  <si>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</si>
  <si>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</si>
  <si>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</si>
  <si>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</si>
  <si>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</si>
  <si>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</si>
  <si>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</si>
  <si>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</si>
  <si>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</si>
  <si>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</si>
  <si>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</si>
  <si>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</si>
  <si>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</si>
  <si>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</si>
  <si>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</si>
  <si>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</si>
  <si>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</si>
  <si>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</si>
  <si>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</si>
  <si>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</si>
  <si>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</si>
  <si>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</si>
  <si>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</si>
  <si>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</si>
  <si>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</si>
  <si>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</si>
  <si>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</si>
  <si>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</si>
  <si>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</si>
  <si>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</si>
  <si>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</si>
  <si>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</si>
  <si>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</si>
  <si>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</si>
  <si>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</si>
  <si>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</si>
  <si>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</si>
  <si>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</si>
  <si>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</si>
  <si>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</si>
  <si>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</si>
  <si>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</si>
  <si>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</si>
  <si>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</si>
  <si>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</si>
  <si>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</si>
  <si>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</si>
  <si>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</si>
  <si>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</si>
  <si>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</si>
  <si>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</si>
  <si>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</si>
  <si>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</si>
  <si>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</si>
  <si>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</si>
  <si>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</si>
  <si>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</si>
  <si>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</si>
  <si>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</si>
  <si>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</si>
  <si>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</si>
  <si>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</si>
  <si>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</si>
  <si>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</si>
  <si>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</si>
  <si>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</si>
  <si>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</si>
  <si>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</si>
  <si>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</si>
  <si>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</si>
  <si>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</si>
  <si>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</si>
  <si>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</si>
  <si>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</si>
  <si>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</si>
  <si>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</si>
  <si>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</si>
  <si>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</si>
  <si>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</si>
  <si>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</si>
  <si>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</si>
  <si>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</si>
  <si>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</si>
  <si>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</si>
  <si>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</si>
  <si>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</si>
  <si>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</si>
  <si>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</si>
  <si>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</si>
  <si>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</si>
  <si>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</si>
  <si>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</si>
  <si>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</si>
  <si>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</si>
  <si>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</si>
  <si>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</si>
  <si>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</si>
  <si>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</si>
  <si>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</si>
  <si>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</si>
  <si>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</si>
  <si>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</si>
  <si>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</si>
  <si>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</si>
  <si>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</si>
  <si>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</si>
  <si>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</si>
  <si>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</si>
  <si>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</si>
  <si>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</si>
  <si>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</si>
  <si>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</si>
  <si>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</si>
  <si>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</si>
  <si>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</si>
  <si>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</si>
  <si>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</si>
  <si>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</si>
  <si>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</si>
  <si>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</si>
  <si>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</si>
  <si>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</si>
  <si>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</si>
  <si>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</si>
  <si>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</si>
  <si>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</si>
  <si>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</si>
  <si>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</si>
  <si>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</si>
  <si>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</si>
  <si>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</si>
  <si>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</si>
  <si>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</si>
  <si>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</si>
  <si>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</si>
  <si>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</si>
  <si>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</si>
  <si>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</si>
  <si>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</si>
  <si>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</si>
  <si>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</si>
  <si>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</si>
  <si>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</si>
  <si>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</si>
  <si>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barrier panel</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</si>
  <si>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</si>
  <si>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</si>
  <si>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</si>
  <si>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</si>
  <si>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</si>
  <si>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</si>
  <si>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</si>
  <si>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</si>
  <si>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</si>
  <si>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</si>
  <si>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</si>
  <si>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</si>
  <si>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</si>
  <si>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barrier panel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</si>
  <si>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</si>
  <si>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</si>
  <si>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</si>
  <si>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</si>
  <si>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</si>
  <si>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</si>
  <si>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</si>
  <si>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</si>
  <si>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</si>
  <si>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</si>
  <si>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</si>
  <si>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</si>
  <si>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</si>
  <si>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barrier panel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</si>
  <si>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</si>
  <si>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</si>
  <si>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</si>
  <si>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</si>
  <si>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</si>
  <si>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</si>
  <si>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</si>
  <si>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</si>
  <si>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</si>
  <si>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</si>
  <si>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</si>
  <si>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</si>
  <si>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</si>
  <si>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barrier panel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</si>
  <si>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</si>
  <si>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</si>
  <si>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</si>
  <si>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</si>
  <si>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</si>
  <si>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</si>
  <si>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</si>
  <si>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</si>
  <si>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</si>
  <si>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</si>
  <si>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</si>
  <si>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</si>
  <si>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</si>
  <si>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barrier panel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</si>
  <si>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</si>
  <si>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</si>
  <si>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</si>
  <si>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</si>
  <si>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</si>
  <si>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</si>
  <si>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</si>
  <si>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</si>
  <si>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</si>
  <si>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</si>
  <si>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</si>
  <si>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</si>
  <si>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</si>
  <si>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</si>
  <si>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</si>
  <si>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</si>
  <si>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</si>
  <si>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</si>
  <si>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</si>
  <si>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</si>
  <si>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</si>
  <si>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</si>
  <si>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</si>
  <si>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</si>
  <si>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</si>
  <si>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</si>
  <si>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</si>
  <si>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</si>
  <si>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</si>
  <si>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</si>
  <si>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</si>
  <si>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</si>
  <si>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</si>
  <si>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</si>
  <si>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</si>
  <si>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</si>
  <si>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</si>
  <si>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</si>
  <si>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</si>
  <si>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</si>
  <si>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</si>
  <si>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</si>
  <si>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</si>
  <si>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</si>
  <si>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</si>
  <si>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</si>
  <si>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</si>
  <si>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</si>
  <si>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</si>
  <si>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</si>
  <si>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</si>
  <si>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</si>
  <si>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</si>
  <si>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</si>
  <si>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</si>
  <si>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</si>
  <si>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</si>
  <si>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</si>
  <si>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</si>
  <si>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</si>
  <si>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</si>
  <si>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</si>
  <si>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</si>
  <si>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</si>
  <si>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</si>
  <si>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</si>
  <si>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</si>
  <si>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</si>
  <si>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</si>
  <si>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</si>
  <si>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</si>
  <si>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</si>
  <si>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</si>
  <si>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</si>
  <si>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</si>
  <si>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</si>
  <si>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</si>
  <si>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</si>
  <si>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</si>
  <si>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</si>
  <si>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</si>
  <si>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</si>
  <si>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</si>
  <si>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</si>
  <si>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</si>
  <si>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</si>
  <si>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</si>
  <si>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</si>
  <si>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</si>
  <si>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</si>
  <si>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</si>
  <si>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</si>
  <si>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</si>
  <si>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</si>
  <si>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</si>
  <si>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</si>
  <si>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</si>
  <si>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</si>
  <si>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</si>
  <si>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</si>
  <si>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</si>
  <si>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</si>
  <si>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</si>
  <si>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</si>
  <si>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</si>
  <si>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</si>
  <si>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</si>
  <si>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</si>
  <si>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</si>
  <si>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</si>
  <si>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</si>
  <si>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</si>
  <si>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</si>
  <si>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</si>
  <si>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</si>
  <si>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</si>
  <si>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</si>
  <si>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</si>
  <si>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</si>
  <si>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</si>
  <si>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</si>
  <si>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</si>
  <si>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</si>
  <si>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</si>
  <si>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</si>
  <si>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</si>
  <si>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</si>
  <si>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25</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</si>
  <si>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</si>
  <si>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</si>
  <si>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</si>
  <si>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</si>
  <si>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</si>
  <si>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</si>
  <si>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</si>
  <si>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</si>
  <si>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</si>
  <si>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</si>
  <si>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</si>
  <si>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</si>
  <si>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guarnizione a pavimento a lunga durata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</si>
  <si>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</si>
  <si>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</si>
  <si>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</si>
  <si>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</si>
  <si>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</si>
  <si>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</si>
  <si>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</si>
  <si>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</si>
  <si>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</si>
  <si>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</si>
  <si>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</si>
  <si>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</si>
  <si>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</si>
  <si>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</si>
  <si>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</si>
  <si>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</si>
  <si>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</si>
  <si>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</si>
  <si>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</si>
  <si>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</si>
  <si>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</si>
  <si>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</si>
  <si>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</si>
  <si>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</si>
  <si>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</si>
  <si>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</si>
  <si>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</si>
  <si>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</si>
  <si>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</si>
  <si>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</si>
  <si>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</si>
  <si>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</si>
  <si>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</si>
  <si>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</si>
  <si>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</si>
  <si>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</si>
  <si>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</si>
  <si>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</si>
  <si>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</si>
  <si>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</si>
  <si>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</si>
  <si>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</si>
  <si>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</si>
  <si>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</si>
  <si>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</si>
  <si>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</si>
  <si>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</si>
  <si>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</si>
  <si>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</si>
  <si>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</si>
  <si>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</si>
  <si>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</si>
  <si>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</si>
  <si>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</si>
  <si>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</si>
  <si>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</si>
  <si>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</si>
  <si>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</si>
  <si>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</si>
  <si>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</si>
  <si>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</si>
  <si>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</si>
  <si>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</si>
  <si>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</si>
  <si>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</si>
  <si>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</si>
  <si>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</si>
  <si>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</si>
  <si>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</si>
  <si>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</si>
  <si>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</si>
  <si>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</si>
  <si>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</si>
  <si>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</si>
  <si>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</si>
  <si>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</si>
  <si>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</si>
  <si>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</si>
  <si>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</si>
  <si>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</si>
  <si>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</si>
  <si>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</si>
  <si>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</si>
  <si>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</si>
  <si>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</si>
  <si>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</si>
  <si>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</si>
  <si>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</si>
  <si>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</si>
  <si>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</si>
  <si>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</si>
  <si>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</si>
  <si>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</si>
  <si>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</si>
  <si>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</si>
  <si>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</si>
  <si>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</si>
  <si>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</si>
  <si>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</si>
  <si>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</si>
  <si>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</si>
  <si>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</si>
  <si>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</si>
  <si>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</si>
  <si>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</si>
  <si>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</si>
  <si>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</si>
  <si>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</si>
  <si>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</si>
  <si>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</si>
  <si>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</si>
  <si>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</si>
  <si>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</si>
  <si>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</si>
  <si>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</si>
  <si>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</si>
  <si>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</si>
  <si>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</si>
  <si>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</si>
  <si>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</si>
  <si>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</si>
  <si>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</si>
  <si>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</si>
  <si>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</si>
  <si>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</si>
  <si>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</si>
  <si>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</si>
  <si>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</si>
  <si>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</si>
  <si>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</si>
  <si>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</si>
  <si>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</si>
  <si>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</si>
  <si>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</si>
  <si>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</si>
  <si>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</si>
  <si>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</si>
  <si>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</si>
  <si>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</si>
  <si>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</si>
  <si>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</si>
  <si>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</si>
  <si>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</si>
  <si>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</si>
  <si>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</si>
  <si>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</si>
  <si>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</si>
  <si>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</si>
  <si>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</si>
  <si>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</si>
  <si>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</si>
  <si>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</si>
  <si>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</si>
  <si>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</si>
  <si>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</si>
  <si>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</si>
  <si>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</si>
  <si>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</si>
  <si>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</si>
  <si>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</si>
  <si>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</si>
  <si>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</si>
  <si>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</si>
  <si>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</si>
  <si>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</si>
  <si>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</si>
  <si>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</si>
  <si>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</si>
  <si>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</si>
  <si>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</si>
  <si>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</si>
  <si>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</si>
  <si>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</si>
  <si>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</si>
  <si>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</si>
  <si>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</si>
  <si>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</si>
  <si>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</si>
  <si>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</si>
  <si>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</si>
  <si>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</si>
  <si>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</si>
  <si>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</si>
  <si>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</si>
  <si>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</si>
  <si>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</si>
  <si>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</si>
  <si>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</si>
  <si>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</si>
  <si>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</si>
  <si>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</si>
  <si>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</si>
  <si>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</si>
  <si>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</si>
  <si>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</si>
  <si>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</si>
  <si>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</si>
  <si>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</si>
  <si>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</si>
  <si>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</si>
  <si>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</si>
  <si>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</si>
  <si>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</si>
  <si>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</si>
  <si>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</si>
  <si>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</si>
  <si>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</si>
  <si>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</si>
  <si>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</si>
  <si>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</si>
  <si>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</si>
  <si>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</si>
  <si>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</si>
  <si>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</si>
  <si>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</si>
  <si>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Upogibanje</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</si>
  <si>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</si>
  <si>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</si>
  <si>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</si>
  <si>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</si>
  <si>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</si>
  <si>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</si>
  <si>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</si>
  <si>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</si>
  <si>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</si>
  <si>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</si>
  <si>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</si>
  <si>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</si>
  <si>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</si>
  <si>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</si>
  <si>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</si>
  <si>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</si>
  <si>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</si>
  <si>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</si>
  <si>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</si>
  <si>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</si>
  <si>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</si>
  <si>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</si>
  <si>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</si>
  <si>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</si>
  <si>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</si>
  <si>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</si>
  <si>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</si>
  <si>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</si>
  <si>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</si>
  <si>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</si>
  <si>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</si>
  <si>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</si>
  <si>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</si>
  <si>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</si>
  <si>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</si>
  <si>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</si>
  <si>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</si>
  <si>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</si>
  <si>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</si>
  <si>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</si>
  <si>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</si>
  <si>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</si>
  <si>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</si>
  <si>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</si>
  <si>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</si>
  <si>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</si>
  <si>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</si>
  <si>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</si>
  <si>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</si>
  <si>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</si>
  <si>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</si>
  <si>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</si>
  <si>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</si>
  <si>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</si>
  <si>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</si>
  <si>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</si>
  <si>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</si>
  <si>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</si>
  <si>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</si>
  <si>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</si>
  <si>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</si>
  <si>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</si>
  <si>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</si>
  <si>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</si>
  <si>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</si>
  <si>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</si>
  <si>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</si>
  <si>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</si>
  <si>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</si>
  <si>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</si>
  <si>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</si>
  <si>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</si>
  <si>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</si>
  <si>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</si>
  <si>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</si>
  <si>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</si>
  <si>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</si>
  <si>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</si>
  <si>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</si>
  <si>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</si>
  <si>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</si>
  <si>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</si>
  <si>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</si>
  <si>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</si>
  <si>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</si>
  <si>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</si>
  <si>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</si>
  <si>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</si>
  <si>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</si>
  <si>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</si>
  <si>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</si>
  <si>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</si>
  <si>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</si>
  <si>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</si>
  <si>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</si>
  <si>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</si>
  <si>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</si>
  <si>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</si>
  <si>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</si>
  <si>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</si>
  <si>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</si>
  <si>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</si>
  <si>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</si>
  <si>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</si>
  <si>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</si>
  <si>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</si>
  <si>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</si>
  <si>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</si>
  <si>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</si>
  <si>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</si>
  <si>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</si>
  <si>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</si>
  <si>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</si>
  <si>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</si>
  <si>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</si>
  <si>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</si>
  <si>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</si>
  <si>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</si>
  <si>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</si>
  <si>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</si>
  <si>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</si>
  <si>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</si>
  <si>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</si>
  <si>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</si>
  <si>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</si>
  <si>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</si>
  <si>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</si>
  <si>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</si>
  <si>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</si>
  <si>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</si>
  <si>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</si>
  <si>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</si>
  <si>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</si>
  <si>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</si>
  <si>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</si>
  <si>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</si>
  <si>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</si>
  <si>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</si>
  <si>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</si>
  <si>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</si>
  <si>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</si>
  <si>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</si>
  <si>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</si>
  <si>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</si>
  <si>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</si>
  <si>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</si>
  <si>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</si>
  <si>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</si>
  <si>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</si>
  <si>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</si>
  <si>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</si>
  <si>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</si>
  <si>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</si>
  <si>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</si>
  <si>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</si>
  <si>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</si>
  <si>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</si>
  <si>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</si>
  <si>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</si>
  <si>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</si>
  <si>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</si>
  <si>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</si>
  <si>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</si>
  <si>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</si>
  <si>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</si>
  <si>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</si>
  <si>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</si>
  <si>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</si>
  <si>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</si>
  <si>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</si>
  <si>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</si>
  <si>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</si>
  <si>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</si>
  <si>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</si>
  <si>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</si>
  <si>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</si>
  <si>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</si>
  <si>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</si>
  <si>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</si>
  <si>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</si>
  <si>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</si>
  <si>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</si>
  <si>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</si>
  <si>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</si>
  <si>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</si>
  <si>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</si>
  <si>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</si>
  <si>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</si>
  <si>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</si>
  <si>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</si>
  <si>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</si>
  <si>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</si>
  <si>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</si>
  <si>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</si>
  <si>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</si>
  <si>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</si>
  <si>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</si>
  <si>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</si>
  <si>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</si>
  <si>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</si>
  <si>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</si>
  <si>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</si>
  <si>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</si>
  <si>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</si>
  <si>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</si>
  <si>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</si>
  <si>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</si>
  <si>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</si>
  <si>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</si>
  <si>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</si>
  <si>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</si>
  <si>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</si>
  <si>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</si>
  <si>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</si>
  <si>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</si>
  <si>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</si>
  <si>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</si>
  <si>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</si>
  <si>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</si>
  <si>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</si>
  <si>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</si>
  <si>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</si>
  <si>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</si>
  <si>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</si>
  <si>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</si>
  <si>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</si>
  <si>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</si>
  <si>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</si>
  <si>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</si>
  <si>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</si>
  <si>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</si>
  <si>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</si>
  <si>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</si>
  <si>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</si>
  <si>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</si>
  <si>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</si>
  <si>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</si>
  <si>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</si>
  <si>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</si>
  <si>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</si>
  <si>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</si>
  <si>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</si>
  <si>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</si>
  <si>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</si>
  <si>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</si>
  <si>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</si>
  <si>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</si>
  <si>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</si>
  <si>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</si>
  <si>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</si>
  <si>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</si>
  <si>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</si>
  <si>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</si>
  <si>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</si>
  <si>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</si>
  <si>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</si>
  <si>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</si>
  <si>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</si>
  <si>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</si>
  <si>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</si>
  <si>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</si>
  <si>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</si>
  <si>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</si>
  <si>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</si>
  <si>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</si>
  <si>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</si>
  <si>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</si>
  <si>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</si>
  <si>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</si>
  <si>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</si>
  <si>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</si>
  <si>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</si>
  <si>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</si>
  <si>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</si>
  <si>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</si>
  <si>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</si>
  <si>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</si>
  <si>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</si>
  <si>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</si>
  <si>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</si>
  <si>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</si>
  <si>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</si>
  <si>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</si>
  <si>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</si>
  <si>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</si>
  <si>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</si>
  <si>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</si>
  <si>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</si>
  <si>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</si>
  <si>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</si>
  <si>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</si>
  <si>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</si>
  <si>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</si>
  <si>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</si>
  <si>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</si>
  <si>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</si>
  <si>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</si>
  <si>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</si>
  <si>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</si>
  <si>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</si>
  <si>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</si>
  <si>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</si>
  <si>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</si>
  <si>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</si>
  <si>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</si>
  <si>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</si>
  <si>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</si>
  <si>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</si>
  <si>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</si>
  <si>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</si>
  <si>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</si>
  <si>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</si>
  <si>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</si>
  <si>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</si>
  <si>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</si>
  <si>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</si>
  <si>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</si>
  <si>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</si>
  <si>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</si>
  <si>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</si>
  <si>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</si>
  <si>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</si>
  <si>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</si>
  <si>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</si>
  <si>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</si>
  <si>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</si>
  <si>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</si>
  <si>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</si>
  <si>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</si>
  <si>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</si>
  <si>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</si>
  <si>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</si>
  <si>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</si>
  <si>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</si>
  <si>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</si>
  <si>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</si>
  <si>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</si>
  <si>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</si>
  <si>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</si>
  <si>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</si>
  <si>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</si>
  <si>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</si>
  <si>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</si>
  <si>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</si>
  <si>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</si>
  <si>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</si>
  <si>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</si>
  <si>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</si>
  <si>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</si>
  <si>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</si>
  <si>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</si>
  <si>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</si>
  <si>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</si>
  <si>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</si>
  <si>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</si>
  <si>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</si>
  <si>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</si>
  <si>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</si>
  <si>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</si>
  <si>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</si>
  <si>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</si>
  <si>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</si>
  <si>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</si>
  <si>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</si>
  <si>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</si>
  <si>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</si>
  <si>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</si>
  <si>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</si>
  <si>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</si>
  <si>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</si>
  <si>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</si>
  <si>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</si>
  <si>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</si>
  <si>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</si>
  <si>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</si>
  <si>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</si>
  <si>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</si>
  <si>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</si>
  <si>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</si>
  <si>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</si>
  <si>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</si>
  <si>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</si>
  <si>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</si>
  <si>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</si>
  <si>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</si>
  <si>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</si>
  <si>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</si>
  <si>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</si>
  <si>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</si>
  <si>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</si>
  <si>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</si>
  <si>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</si>
  <si>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</si>
  <si>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</si>
  <si>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</si>
  <si>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</si>
  <si>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</si>
  <si>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</si>
  <si>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</si>
  <si>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</si>
  <si>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</si>
  <si>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</si>
  <si>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</si>
  <si>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</si>
  <si>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</si>
  <si>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</si>
  <si>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</si>
  <si>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</si>
  <si>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</si>
  <si>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</si>
  <si>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</si>
  <si>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</si>
  <si>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</si>
  <si>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</si>
  <si>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</si>
  <si>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</si>
  <si>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</si>
  <si>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</si>
  <si>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</si>
  <si>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</si>
  <si>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</si>
  <si>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</si>
  <si>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</si>
  <si>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</si>
  <si>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</si>
  <si>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</si>
  <si>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</si>
  <si>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</si>
  <si>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</si>
  <si>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</si>
  <si>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</si>
  <si>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</si>
  <si>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</si>
  <si>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</si>
  <si>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</si>
  <si>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</si>
  <si>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</si>
  <si>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</si>
  <si>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</si>
  <si>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</si>
  <si>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</si>
  <si>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</si>
  <si>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</si>
  <si>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</si>
  <si>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</si>
  <si>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</si>
  <si>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</si>
  <si>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</si>
  <si>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</si>
  <si>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</si>
  <si>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</si>
  <si>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</si>
  <si>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</si>
  <si>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</si>
  <si>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</si>
  <si>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barrier panels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</si>
  <si>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</si>
  <si>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</si>
  <si>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</si>
  <si>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</si>
  <si>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</si>
  <si>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</si>
  <si>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</si>
  <si>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</si>
  <si>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</si>
  <si>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</si>
  <si>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</si>
  <si>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</si>
  <si>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Halterung für Dammbalken Seitenteil</t>
  </si>
  <si>
    <t>Brackets for barrier panels side part</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</si>
  <si>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</si>
  <si>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</si>
  <si>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</si>
  <si>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</si>
  <si>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</si>
  <si>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</si>
  <si>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</si>
  <si>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</si>
  <si>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</si>
  <si>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</si>
  <si>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</si>
  <si>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</si>
  <si>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</si>
  <si>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barrier panels: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</si>
  <si>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</si>
  <si>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</si>
  <si>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</si>
  <si>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</si>
  <si>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</si>
  <si>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</si>
  <si>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</si>
  <si>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</si>
  <si>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</si>
  <si>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</si>
  <si>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</si>
  <si>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</si>
  <si>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</si>
  <si>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</si>
  <si>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</si>
  <si>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</si>
  <si>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</si>
  <si>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</si>
  <si>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</si>
  <si>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</si>
  <si>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</si>
  <si>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</si>
  <si>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</si>
  <si>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</si>
  <si>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</si>
  <si>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</si>
  <si>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</si>
  <si>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</si>
  <si>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</si>
  <si>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</si>
  <si>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</si>
  <si>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</si>
  <si>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</si>
  <si>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</si>
  <si>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</si>
  <si>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</si>
  <si>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</si>
  <si>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</si>
  <si>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</si>
  <si>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</si>
  <si>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</si>
  <si>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</si>
  <si>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</si>
  <si>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</si>
  <si>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</si>
  <si>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</si>
  <si>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</si>
  <si>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</si>
  <si>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</si>
  <si>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</si>
  <si>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</si>
  <si>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</si>
  <si>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</si>
  <si>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</si>
  <si>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</si>
  <si>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</si>
  <si>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</si>
  <si>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</si>
  <si>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</si>
  <si>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</si>
  <si>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</si>
  <si>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</si>
  <si>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</si>
  <si>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</si>
  <si>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</si>
  <si>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</si>
  <si>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</si>
  <si>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</si>
  <si>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</si>
  <si>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</si>
  <si>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</si>
  <si>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</si>
  <si>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</si>
  <si>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</si>
  <si>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</si>
  <si>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</si>
  <si>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</si>
  <si>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</si>
  <si>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</si>
  <si>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</si>
  <si>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</si>
  <si>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</si>
  <si>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</si>
  <si>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</si>
  <si>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</si>
  <si>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</si>
  <si>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</si>
  <si>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</si>
  <si>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</si>
  <si>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</si>
  <si>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</si>
  <si>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</si>
  <si>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</si>
  <si>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</si>
  <si>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</si>
  <si>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</si>
  <si>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</si>
  <si>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</si>
  <si>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</si>
  <si>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</si>
  <si>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</si>
  <si>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</si>
  <si>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</si>
  <si>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</si>
  <si>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</si>
  <si>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</si>
  <si>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</si>
  <si>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</si>
  <si>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</si>
  <si>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</si>
  <si>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</si>
  <si>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</si>
  <si>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</si>
  <si>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</si>
  <si>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</si>
  <si>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</si>
  <si>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</si>
  <si>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</si>
  <si>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</si>
  <si>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</si>
  <si>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</si>
  <si>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</si>
  <si>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</si>
  <si>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</si>
  <si>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</si>
  <si>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</si>
  <si>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</si>
  <si>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</si>
  <si>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</si>
  <si>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</si>
  <si>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</si>
  <si>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</si>
  <si>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</si>
  <si>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</si>
  <si>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</si>
  <si>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</si>
  <si>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</si>
  <si>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</si>
  <si>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</si>
  <si>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</si>
  <si>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</si>
  <si>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</si>
  <si>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</si>
  <si>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</si>
  <si>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</si>
  <si>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</si>
  <si>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</si>
  <si>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</si>
  <si>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</si>
  <si>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</si>
  <si>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</si>
  <si>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</si>
  <si>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</si>
  <si>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</si>
  <si>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</si>
  <si>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</si>
  <si>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</si>
  <si>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</si>
  <si>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</si>
  <si>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</si>
  <si>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</si>
  <si>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</si>
  <si>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</si>
  <si>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</si>
  <si>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</si>
  <si>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</si>
  <si>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</si>
  <si>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</si>
  <si>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</si>
  <si>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</si>
  <si>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</si>
  <si>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</si>
  <si>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</si>
  <si>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</si>
  <si>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</si>
  <si>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</si>
  <si>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</si>
  <si>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</si>
  <si>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</si>
  <si>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</si>
  <si>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</si>
  <si>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</si>
  <si>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</si>
  <si>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</si>
  <si>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</si>
  <si>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</si>
  <si>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</si>
  <si>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</si>
  <si>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</si>
  <si>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</si>
  <si>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</si>
  <si>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</si>
  <si>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</si>
  <si>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</si>
  <si>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</si>
  <si>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</si>
  <si>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</si>
  <si>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</si>
  <si>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</si>
  <si>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</si>
  <si>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</si>
  <si>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</si>
  <si>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</si>
  <si>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</si>
  <si>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</si>
  <si>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</si>
  <si>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</si>
  <si>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</si>
  <si>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</si>
  <si>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</si>
  <si>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</si>
  <si>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</si>
  <si>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</si>
  <si>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</si>
  <si>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</si>
  <si>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</si>
  <si>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</si>
  <si>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</si>
  <si>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</si>
  <si>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</si>
  <si>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</si>
  <si>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</si>
  <si>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</si>
  <si>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</si>
  <si>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</si>
  <si>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</si>
  <si>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</si>
  <si>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</si>
  <si>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</si>
  <si>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</si>
  <si>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</si>
  <si>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</si>
  <si>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</si>
  <si>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</si>
  <si>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</si>
  <si>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</si>
  <si>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</si>
  <si>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</si>
  <si>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</si>
  <si>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</si>
  <si>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</si>
  <si>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</si>
  <si>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</si>
  <si>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</si>
  <si>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</si>
  <si>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</si>
  <si>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</si>
  <si>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</si>
  <si>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</si>
  <si>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</si>
  <si>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</si>
  <si>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Coefficiente di combinazione</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</si>
  <si>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</si>
  <si>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</si>
  <si>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</si>
  <si>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</si>
  <si>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</si>
  <si>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</si>
  <si>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</si>
  <si>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</si>
  <si>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</si>
  <si>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</si>
  <si>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</si>
  <si>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</si>
  <si>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</si>
  <si>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</si>
  <si>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</si>
  <si>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</si>
  <si>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</si>
  <si>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</si>
  <si>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</si>
  <si>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</si>
  <si>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</si>
  <si>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</si>
  <si>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</si>
  <si>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</si>
  <si>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</si>
  <si>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</si>
  <si>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</si>
  <si>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</si>
  <si>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</si>
  <si>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</si>
  <si>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</si>
  <si>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</si>
  <si>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</si>
  <si>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</si>
  <si>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</si>
  <si>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</si>
  <si>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</si>
  <si>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</si>
  <si>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</si>
  <si>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</si>
  <si>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</si>
  <si>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</si>
  <si>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</si>
  <si>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</si>
  <si>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</si>
  <si>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</si>
  <si>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</si>
  <si>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</si>
  <si>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</si>
  <si>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</si>
  <si>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</si>
  <si>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</si>
  <si>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</si>
  <si>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</si>
  <si>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</si>
  <si>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</si>
  <si>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</si>
  <si>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</si>
  <si>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</si>
  <si>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</si>
  <si>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</si>
  <si>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</si>
  <si>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</si>
  <si>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</si>
  <si>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</si>
  <si>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</si>
  <si>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</si>
  <si>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Längenänderung Seitenteile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</si>
  <si>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</si>
  <si>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</si>
  <si>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</si>
  <si>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</si>
  <si>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</si>
  <si>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</si>
  <si>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</si>
  <si>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</si>
  <si>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</si>
  <si>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</si>
  <si>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</si>
  <si>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</si>
  <si>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</si>
  <si>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</si>
  <si>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</si>
  <si>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</si>
  <si>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</si>
  <si>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</si>
  <si>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</si>
  <si>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</si>
  <si>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</si>
  <si>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</si>
  <si>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</si>
  <si>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</si>
  <si>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</si>
  <si>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</si>
  <si>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</si>
  <si>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</si>
  <si>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</si>
  <si>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</si>
  <si>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</si>
  <si>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</si>
  <si>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</si>
  <si>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</si>
  <si>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</si>
  <si>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</si>
  <si>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</si>
  <si>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</si>
  <si>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</si>
  <si>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</si>
  <si>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</si>
  <si>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</si>
  <si>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</si>
  <si>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</si>
  <si>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</si>
  <si>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</si>
  <si>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</si>
  <si>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</si>
  <si>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</si>
  <si>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</si>
  <si>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</si>
  <si>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</si>
  <si>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</si>
  <si>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</si>
  <si>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</si>
  <si>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barrier panel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</si>
  <si>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</si>
  <si>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</si>
  <si>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</si>
  <si>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</si>
  <si>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</si>
  <si>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</si>
  <si>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</si>
  <si>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</si>
  <si>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</si>
  <si>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</si>
  <si>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</si>
  <si>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</si>
  <si>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</si>
  <si>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</si>
  <si>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</si>
  <si>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</si>
  <si>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</si>
  <si>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</si>
  <si>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</si>
  <si>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</si>
  <si>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</si>
  <si>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</si>
  <si>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</si>
  <si>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</si>
  <si>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</si>
  <si>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</si>
  <si>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</si>
  <si>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</si>
  <si>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</si>
  <si>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</si>
  <si>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</si>
  <si>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</si>
  <si>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</si>
  <si>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</si>
  <si>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</si>
  <si>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</si>
  <si>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</si>
  <si>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</si>
  <si>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</si>
  <si>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</si>
  <si>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</si>
  <si>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</si>
  <si>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</si>
  <si>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</si>
  <si>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</si>
  <si>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</si>
  <si>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</si>
  <si>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</si>
  <si>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</si>
  <si>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</si>
  <si>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</si>
  <si>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</si>
  <si>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</si>
  <si>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</si>
  <si>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</si>
  <si>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</si>
  <si>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</si>
  <si>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</si>
  <si>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</si>
  <si>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</si>
  <si>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</si>
  <si>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</si>
  <si>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</si>
  <si>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</si>
  <si>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</si>
  <si>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</si>
  <si>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</si>
  <si>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</si>
  <si>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</si>
  <si>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</si>
  <si>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</si>
  <si>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</si>
  <si>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</si>
  <si>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</si>
  <si>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</si>
  <si>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</si>
  <si>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</si>
  <si>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</si>
  <si>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</si>
  <si>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</si>
  <si>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</si>
  <si>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</si>
  <si>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</si>
  <si>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</si>
  <si>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</si>
  <si>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</si>
  <si>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</si>
  <si>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</si>
  <si>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</si>
  <si>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</si>
  <si>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</si>
  <si>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</si>
  <si>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</si>
  <si>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</si>
  <si>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</si>
  <si>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</si>
  <si>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</si>
  <si>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</si>
  <si>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</si>
  <si>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</si>
  <si>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</si>
  <si>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</si>
  <si>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</si>
  <si>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</si>
  <si>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</si>
  <si>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</si>
  <si>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</si>
  <si>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</si>
  <si>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</si>
  <si>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</si>
  <si>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</si>
  <si>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</si>
  <si>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</si>
  <si>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</si>
  <si>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</si>
  <si>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</si>
  <si>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</si>
  <si>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</si>
  <si>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</si>
  <si>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</si>
  <si>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</si>
  <si>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</si>
  <si>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</si>
  <si>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</si>
  <si>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</si>
  <si>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installation</t>
  </si>
  <si>
    <t>Montaggio</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</si>
  <si>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</si>
  <si>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</si>
  <si>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</si>
  <si>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</si>
  <si>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</si>
  <si>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</si>
  <si>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</si>
  <si>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</si>
  <si>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</si>
  <si>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</si>
  <si>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</si>
  <si>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</si>
  <si>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</si>
  <si>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</si>
  <si>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</si>
  <si>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</si>
  <si>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</si>
  <si>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</si>
  <si>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</si>
  <si>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</si>
  <si>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</si>
  <si>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</si>
  <si>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</si>
  <si>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</si>
  <si>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</si>
  <si>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</si>
  <si>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</si>
  <si>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</si>
  <si>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</si>
  <si>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</si>
  <si>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</si>
  <si>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</si>
  <si>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</si>
  <si>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</si>
  <si>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</si>
  <si>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</si>
  <si>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</si>
  <si>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</si>
  <si>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</si>
  <si>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</si>
  <si>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</si>
  <si>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</si>
  <si>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</si>
  <si>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</si>
  <si>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</si>
  <si>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</si>
  <si>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</si>
  <si>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</si>
  <si>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</si>
  <si>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</si>
  <si>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</si>
  <si>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</si>
  <si>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</si>
  <si>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</si>
  <si>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</si>
  <si>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</si>
  <si>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</si>
  <si>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</si>
  <si>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</si>
  <si>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</si>
  <si>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</si>
  <si>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</si>
  <si>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</si>
  <si>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</si>
  <si>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</si>
  <si>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</si>
  <si>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</si>
  <si>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retainer for barrier panel: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</si>
  <si>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</si>
  <si>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</si>
  <si>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</si>
  <si>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</si>
  <si>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</si>
  <si>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</si>
  <si>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</si>
  <si>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</si>
  <si>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</si>
  <si>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</si>
  <si>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</si>
  <si>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</si>
  <si>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</si>
  <si>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retainer incl. clamping element, embedded anchor and threaded rod</t>
  </si>
  <si>
    <t>Poteau intermédiaire de renfort ; pièce de serrage, dispositif d’ancrage et tige filetée compris</t>
  </si>
  <si>
    <t>paletto di rinforzo incl. elemento di bloccaggio,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</si>
  <si>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</si>
  <si>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</si>
  <si>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</si>
  <si>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</si>
  <si>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</si>
  <si>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</si>
  <si>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</si>
  <si>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</si>
  <si>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</si>
  <si>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</si>
  <si>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</si>
  <si>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</si>
  <si>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</si>
  <si>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</si>
  <si>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</si>
  <si>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</si>
  <si>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</si>
  <si>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</si>
  <si>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</si>
  <si>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</si>
  <si>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</si>
  <si>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</si>
  <si>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</si>
  <si>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</si>
  <si>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</si>
  <si>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</si>
  <si>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</si>
  <si>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</si>
  <si>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</si>
  <si>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</si>
  <si>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</si>
  <si>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</si>
  <si>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</si>
  <si>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</si>
  <si>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</si>
  <si>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</si>
  <si>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</si>
  <si>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</si>
  <si>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</si>
  <si>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</si>
  <si>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barrier panel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</si>
  <si>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</si>
  <si>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</si>
  <si>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</si>
  <si>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</si>
  <si>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</si>
  <si>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</si>
  <si>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</si>
  <si>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</si>
  <si>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</si>
  <si>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</si>
  <si>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</si>
  <si>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</si>
  <si>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</si>
  <si>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</si>
  <si>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</si>
  <si>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</si>
  <si>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</si>
  <si>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</si>
  <si>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</si>
  <si>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</si>
  <si>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</si>
  <si>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</si>
  <si>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</si>
  <si>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</si>
  <si>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</si>
  <si>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</si>
  <si>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</si>
  <si>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</si>
  <si>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</si>
  <si>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</si>
  <si>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 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</si>
  <si>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</si>
  <si>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</si>
  <si>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</si>
  <si>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</si>
  <si>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</si>
  <si>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</si>
  <si>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</si>
  <si>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</si>
  <si>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</si>
  <si>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</si>
  <si>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</si>
  <si>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</si>
  <si>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</si>
  <si>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</si>
  <si>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Foglio di calcolo Diga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</si>
  <si>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</si>
  <si>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</si>
  <si>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</si>
  <si>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</si>
  <si>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</si>
  <si>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</si>
  <si>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</si>
  <si>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</si>
  <si>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</si>
  <si>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</si>
  <si>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</si>
  <si>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</si>
  <si>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</si>
  <si>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</si>
  <si>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Diga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</si>
  <si>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</si>
  <si>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</si>
  <si>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</si>
  <si>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</si>
  <si>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</si>
  <si>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</si>
  <si>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</si>
  <si>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</si>
  <si>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</si>
  <si>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</si>
  <si>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</si>
  <si>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</si>
  <si>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</si>
  <si>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</si>
  <si>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</si>
  <si>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</si>
  <si>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</si>
  <si>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</si>
  <si>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</si>
  <si>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</si>
  <si>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</si>
  <si>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</si>
  <si>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</si>
  <si>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</si>
  <si>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</si>
  <si>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</si>
  <si>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</si>
  <si>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</si>
  <si>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</si>
  <si>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</si>
  <si>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</si>
  <si>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</si>
  <si>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</si>
  <si>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</si>
  <si>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</si>
  <si>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</si>
  <si>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</si>
  <si>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</si>
  <si>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</si>
  <si>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</si>
  <si>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</si>
  <si>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</si>
  <si>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</si>
  <si>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</si>
  <si>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</si>
  <si>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</si>
  <si>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</si>
  <si>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</si>
  <si>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</si>
  <si>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</si>
  <si>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</si>
  <si>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</si>
  <si>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</si>
  <si>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</si>
  <si>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</si>
  <si>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</si>
  <si>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</si>
  <si>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</si>
  <si>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</si>
  <si>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</si>
  <si>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</si>
  <si>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</si>
  <si>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</si>
  <si>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</si>
  <si>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</si>
  <si>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</si>
  <si>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</si>
  <si>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</si>
  <si>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</si>
  <si>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</si>
  <si>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</si>
  <si>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</si>
  <si>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</si>
  <si>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</si>
  <si>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</si>
  <si>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</si>
  <si>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</si>
  <si>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</si>
  <si>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</si>
  <si>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</si>
  <si>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</si>
  <si>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</si>
  <si>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</si>
  <si>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</si>
  <si>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</si>
  <si>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</si>
  <si>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</si>
  <si>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</si>
  <si>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</si>
  <si>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</si>
  <si>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</si>
  <si>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</si>
  <si>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</si>
  <si>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</si>
  <si>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</si>
  <si>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</si>
  <si>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</si>
  <si>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</si>
  <si>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</si>
  <si>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</si>
  <si>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</si>
  <si>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</si>
  <si>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</si>
  <si>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</si>
  <si>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</si>
  <si>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</si>
  <si>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</si>
  <si>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</si>
  <si>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</si>
  <si>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</si>
  <si>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</si>
  <si>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</si>
  <si>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</si>
  <si>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</si>
  <si>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</si>
  <si>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</si>
  <si>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</si>
  <si>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</si>
  <si>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</si>
  <si>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</si>
  <si>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</si>
  <si>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</si>
  <si>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</si>
  <si>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</si>
  <si>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</si>
  <si>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</si>
  <si>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</si>
  <si>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</si>
  <si>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</si>
  <si>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</si>
  <si>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</si>
  <si>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</si>
  <si>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</si>
  <si>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</si>
  <si>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</si>
  <si>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</si>
  <si>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</si>
  <si>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</si>
  <si>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</si>
  <si>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</si>
  <si>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</si>
  <si>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</si>
  <si>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</si>
  <si>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</si>
  <si>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</si>
  <si>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</si>
  <si>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</si>
  <si>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</si>
  <si>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</si>
  <si>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</si>
  <si>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</si>
  <si>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</si>
  <si>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</si>
  <si>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</si>
  <si>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</si>
  <si>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</si>
  <si>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</si>
  <si>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</si>
  <si>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</si>
  <si>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</si>
  <si>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</si>
  <si>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</si>
  <si>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</si>
  <si>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</si>
  <si>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</si>
  <si>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</si>
  <si>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</si>
  <si>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</si>
  <si>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</si>
  <si>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</si>
  <si>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</si>
  <si>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</si>
  <si>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</si>
  <si>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</si>
  <si>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</si>
  <si>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</si>
  <si>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</si>
  <si>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</si>
  <si>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</si>
  <si>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</si>
  <si>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</si>
  <si>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</si>
  <si>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</si>
  <si>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</si>
  <si>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</si>
  <si>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</si>
  <si>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</si>
  <si>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</si>
  <si>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</si>
  <si>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</si>
  <si>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</si>
  <si>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</si>
  <si>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</si>
  <si>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</si>
  <si>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</si>
  <si>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</si>
  <si>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</si>
  <si>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</si>
  <si>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</si>
  <si>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</si>
  <si>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</si>
  <si>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</si>
  <si>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</si>
  <si>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</si>
  <si>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</si>
  <si>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</si>
  <si>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</si>
  <si>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</si>
  <si>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</si>
  <si>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</si>
  <si>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</si>
  <si>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</si>
  <si>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</si>
  <si>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</si>
  <si>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</si>
  <si>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</si>
  <si>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</si>
  <si>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</si>
  <si>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</si>
  <si>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</si>
  <si>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</si>
  <si>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</si>
  <si>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</si>
  <si>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</si>
  <si>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</si>
  <si>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</si>
  <si>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</si>
  <si>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</si>
  <si>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</si>
  <si>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</si>
  <si>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</si>
  <si>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</si>
  <si>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</si>
  <si>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</si>
  <si>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</si>
  <si>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</si>
  <si>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</si>
  <si>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</si>
  <si>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</si>
  <si>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</si>
  <si>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</si>
  <si>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</si>
  <si>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</si>
  <si>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</si>
  <si>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</si>
  <si>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</si>
  <si>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</si>
  <si>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</si>
  <si>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</si>
  <si>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</si>
  <si>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</si>
  <si>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</si>
  <si>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</si>
  <si>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</si>
  <si>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</si>
  <si>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</si>
  <si>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</si>
  <si>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</si>
  <si>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</si>
  <si>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</si>
  <si>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</si>
  <si>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</si>
  <si>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</si>
  <si>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</si>
  <si>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</si>
  <si>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</si>
  <si>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</si>
  <si>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</si>
  <si>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</si>
  <si>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</si>
  <si>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</si>
  <si>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</si>
  <si>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</si>
  <si>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</si>
  <si>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</si>
  <si>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</si>
  <si>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</si>
  <si>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</si>
  <si>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</si>
  <si>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</si>
  <si>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</si>
  <si>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</si>
  <si>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</si>
  <si>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</si>
  <si>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</si>
  <si>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</si>
  <si>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</si>
  <si>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</si>
  <si>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</si>
  <si>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</si>
  <si>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</si>
  <si>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</si>
  <si>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</si>
  <si>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</si>
  <si>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</si>
  <si>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</si>
  <si>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</si>
  <si>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</si>
  <si>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</si>
  <si>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</si>
  <si>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</si>
  <si>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</si>
  <si>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</si>
  <si>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</si>
  <si>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</si>
  <si>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</si>
  <si>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</si>
  <si>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</si>
  <si>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</si>
  <si>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</si>
  <si>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</si>
  <si>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</si>
  <si>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</si>
  <si>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</si>
  <si>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</si>
  <si>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</si>
  <si>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</si>
  <si>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</si>
  <si>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</si>
  <si>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</si>
  <si>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</si>
  <si>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</si>
  <si>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</si>
  <si>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</si>
  <si>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</si>
  <si>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</si>
  <si>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</si>
  <si>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</si>
  <si>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</si>
  <si>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</si>
  <si>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</si>
  <si>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</si>
  <si>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</si>
  <si>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</si>
  <si>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</si>
  <si>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</si>
  <si>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</si>
  <si>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</si>
  <si>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</si>
  <si>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</si>
  <si>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</si>
  <si>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</si>
  <si>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</si>
  <si>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</si>
  <si>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</si>
  <si>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</si>
  <si>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</si>
  <si>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</si>
  <si>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</si>
  <si>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</si>
  <si>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</si>
  <si>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</si>
  <si>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</si>
  <si>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</si>
  <si>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</si>
  <si>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</si>
  <si>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</si>
  <si>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</si>
  <si>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</si>
  <si>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</si>
  <si>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</si>
  <si>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</si>
  <si>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</si>
  <si>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</si>
  <si>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</si>
  <si>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</si>
  <si>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</si>
  <si>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</si>
  <si>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</si>
  <si>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</si>
  <si>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</si>
  <si>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</si>
  <si>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</si>
  <si>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</si>
  <si>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</si>
  <si>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</si>
  <si>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</si>
  <si>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</si>
  <si>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</si>
  <si>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</si>
  <si>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Seitenteile</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</si>
  <si>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</si>
  <si>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</si>
  <si>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</si>
  <si>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</si>
  <si>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</si>
  <si>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</si>
  <si>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</si>
  <si>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</si>
  <si>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</si>
  <si>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</si>
  <si>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</si>
  <si>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</si>
  <si>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</si>
  <si>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</si>
  <si>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</si>
  <si>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</si>
  <si>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</si>
  <si>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</si>
  <si>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</si>
  <si>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</si>
  <si>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</si>
  <si>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</si>
  <si>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</si>
  <si>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</si>
  <si>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</si>
  <si>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</si>
  <si>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</si>
  <si>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</si>
  <si>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locking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</si>
  <si>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</si>
  <si>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</si>
  <si>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</si>
  <si>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</si>
  <si>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</si>
  <si>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</si>
  <si>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</si>
  <si>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</si>
  <si>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</si>
  <si>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</si>
  <si>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</si>
  <si>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</si>
  <si>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</si>
  <si>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locking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</si>
  <si>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</si>
  <si>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</si>
  <si>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</si>
  <si>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</si>
  <si>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</si>
  <si>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</si>
  <si>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</si>
  <si>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</si>
  <si>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</si>
  <si>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</si>
  <si>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</si>
  <si>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</si>
  <si>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</si>
  <si>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</si>
  <si>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</si>
  <si>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</si>
  <si>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</si>
  <si>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</si>
  <si>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</si>
  <si>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</si>
  <si>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</si>
  <si>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</si>
  <si>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</si>
  <si>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</si>
  <si>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</si>
  <si>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</si>
  <si>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</si>
  <si>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</si>
  <si>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</si>
  <si>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</si>
  <si>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</si>
  <si>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</si>
  <si>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</si>
  <si>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</si>
  <si>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</si>
  <si>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</si>
  <si>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</si>
  <si>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</si>
  <si>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</si>
  <si>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</si>
  <si>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Sechskantschraube</t>
  </si>
  <si>
    <t>compression clamp with hex-head screw</t>
  </si>
  <si>
    <t>Pièce de serrage avec vis à six pans</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</si>
  <si>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</si>
  <si>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</si>
  <si>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</si>
  <si>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</si>
  <si>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</si>
  <si>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</si>
  <si>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</si>
  <si>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</si>
  <si>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</si>
  <si>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</si>
  <si>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</si>
  <si>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</si>
  <si>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Sechskantschraube:</t>
  </si>
  <si>
    <t>compression clamp with hex-head screw:</t>
  </si>
  <si>
    <t>Pièce de serrage avec vis à six pans :</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</si>
  <si>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</si>
  <si>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</si>
  <si>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</si>
  <si>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</si>
  <si>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</si>
  <si>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</si>
  <si>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</si>
  <si>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</si>
  <si>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</si>
  <si>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</si>
  <si>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</si>
  <si>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</si>
  <si>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Sterngriff</t>
  </si>
  <si>
    <t>compression clamp with star grip screw</t>
  </si>
  <si>
    <t>Pièce de serrage à poignée étoile</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</si>
  <si>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</si>
  <si>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</si>
  <si>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</si>
  <si>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</si>
  <si>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</si>
  <si>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</si>
  <si>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</si>
  <si>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</si>
  <si>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</si>
  <si>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</si>
  <si>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</si>
  <si>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</si>
  <si>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compression clamp with star grip screw:</t>
  </si>
  <si>
    <t>Pièce de serrage à poignée étoile :</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</si>
  <si>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</si>
  <si>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</si>
  <si>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</si>
  <si>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</si>
  <si>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</si>
  <si>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</si>
  <si>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</si>
  <si>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</si>
  <si>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</si>
  <si>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</si>
  <si>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</si>
  <si>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</si>
  <si>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</si>
  <si>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</si>
  <si>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</si>
  <si>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</si>
  <si>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</si>
  <si>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</si>
  <si>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</si>
  <si>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</si>
  <si>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</si>
  <si>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</si>
  <si>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</si>
  <si>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</si>
  <si>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</si>
  <si>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</si>
  <si>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</si>
  <si>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</si>
  <si>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</si>
  <si>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</si>
  <si>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</si>
  <si>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</si>
  <si>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</si>
  <si>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</si>
  <si>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</si>
  <si>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</si>
  <si>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</si>
  <si>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</si>
  <si>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</si>
  <si>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</si>
  <si>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</si>
  <si>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</si>
  <si>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</si>
  <si>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</si>
  <si>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</si>
  <si>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</si>
  <si>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</si>
  <si>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</si>
  <si>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</si>
  <si>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</si>
  <si>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</si>
  <si>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</si>
  <si>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</si>
  <si>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</si>
  <si>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</si>
  <si>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</si>
  <si>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</si>
  <si>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</si>
  <si>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</si>
  <si>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</si>
  <si>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</si>
  <si>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</si>
  <si>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</si>
  <si>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</si>
  <si>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</si>
  <si>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</si>
  <si>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</si>
  <si>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</si>
  <si>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</si>
  <si>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</si>
  <si>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</si>
  <si>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</si>
  <si>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</si>
  <si>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</si>
  <si>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</si>
  <si>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</si>
  <si>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</si>
  <si>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</si>
  <si>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</si>
  <si>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</si>
  <si>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</si>
  <si>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</si>
  <si>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</si>
  <si>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</si>
  <si>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</si>
  <si>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</si>
  <si>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</si>
  <si>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</si>
  <si>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</si>
  <si>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</si>
  <si>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</si>
  <si>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</si>
  <si>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</si>
  <si>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</si>
  <si>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</si>
  <si>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</si>
  <si>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</si>
  <si>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</si>
  <si>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</si>
  <si>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</si>
  <si>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</si>
  <si>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</si>
  <si>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</si>
  <si>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</si>
  <si>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</si>
  <si>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STATICA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</si>
  <si>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</si>
  <si>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</si>
  <si>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</si>
  <si>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</si>
  <si>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</si>
  <si>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</si>
  <si>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</si>
  <si>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</si>
  <si>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</si>
  <si>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</si>
  <si>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</si>
  <si>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</si>
  <si>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</si>
  <si>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</si>
  <si>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</si>
  <si>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</si>
  <si>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</si>
  <si>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</si>
  <si>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</si>
  <si>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</si>
  <si>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</si>
  <si>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</si>
  <si>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</si>
  <si>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</si>
  <si>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</si>
  <si>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</si>
  <si>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</si>
  <si>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</si>
  <si>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</si>
  <si>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</si>
  <si>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</si>
  <si>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barrier panel in %</t>
  </si>
  <si>
    <t>Charge statique des batardeaux en %</t>
  </si>
  <si>
    <t>verifica statica sponda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</si>
  <si>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</si>
  <si>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</si>
  <si>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</si>
  <si>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</si>
  <si>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</si>
  <si>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</si>
  <si>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</si>
  <si>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</si>
  <si>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</si>
  <si>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</si>
  <si>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</si>
  <si>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</si>
  <si>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</si>
  <si>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</si>
  <si>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</si>
  <si>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</si>
  <si>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</si>
  <si>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</si>
  <si>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</si>
  <si>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</si>
  <si>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</si>
  <si>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</si>
  <si>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</si>
  <si>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</si>
  <si>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</si>
  <si>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</si>
  <si>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</si>
  <si>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</si>
  <si>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</si>
  <si>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</si>
  <si>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</si>
  <si>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</si>
  <si>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</si>
  <si>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</si>
  <si>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</si>
  <si>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</si>
  <si>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</si>
  <si>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</si>
  <si>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</si>
  <si>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</si>
  <si>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</si>
  <si>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</si>
  <si>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</si>
  <si>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</si>
  <si>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</si>
  <si>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</si>
  <si>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</si>
  <si>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</si>
  <si>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</si>
  <si>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</si>
  <si>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</si>
  <si>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</si>
  <si>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</si>
  <si>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</si>
  <si>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</si>
  <si>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</si>
  <si>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</si>
  <si>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</si>
  <si>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</si>
  <si>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</si>
  <si>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</si>
  <si>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</si>
  <si>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</si>
  <si>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</si>
  <si>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</si>
  <si>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</si>
  <si>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</si>
  <si>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</si>
  <si>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</si>
  <si>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</si>
  <si>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</si>
  <si>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</si>
  <si>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</si>
  <si>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</si>
  <si>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</si>
  <si>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</si>
  <si>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</si>
  <si>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</si>
  <si>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</si>
  <si>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</si>
  <si>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</si>
  <si>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</si>
  <si>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</si>
  <si>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</si>
  <si>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</si>
  <si>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</si>
  <si>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</si>
  <si>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</si>
  <si>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</si>
  <si>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</si>
  <si>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</si>
  <si>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</si>
  <si>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</si>
  <si>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</si>
  <si>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</si>
  <si>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</si>
  <si>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</si>
  <si>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</si>
  <si>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</si>
  <si>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</si>
  <si>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</si>
  <si>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</si>
  <si>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</si>
  <si>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</si>
  <si>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</si>
  <si>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</si>
  <si>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</si>
  <si>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</si>
  <si>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</si>
  <si>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</si>
  <si>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</si>
  <si>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</si>
  <si>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</si>
  <si>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</si>
  <si>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</si>
  <si>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</si>
  <si>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</si>
  <si>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</si>
  <si>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</si>
  <si>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</si>
  <si>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</si>
  <si>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</si>
  <si>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</si>
  <si>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</si>
  <si>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</si>
  <si>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</si>
  <si>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</si>
  <si>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</si>
  <si>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</si>
  <si>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</si>
  <si>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</si>
  <si>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</si>
  <si>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</si>
  <si>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</si>
  <si>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</si>
  <si>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</si>
  <si>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</si>
  <si>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</si>
  <si>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</si>
  <si>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</si>
  <si>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</si>
  <si>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</si>
  <si>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</si>
  <si>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</si>
  <si>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</si>
  <si>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</si>
  <si>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</si>
  <si>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</si>
  <si>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</si>
  <si>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</si>
  <si>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</si>
  <si>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</si>
  <si>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</si>
  <si>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</si>
  <si>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</si>
  <si>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</si>
  <si>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</si>
  <si>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</si>
  <si>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</si>
  <si>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</si>
  <si>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</si>
  <si>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</si>
  <si>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</si>
  <si>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</si>
  <si>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</si>
  <si>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</si>
  <si>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</si>
  <si>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</si>
  <si>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</si>
  <si>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</si>
  <si>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</si>
  <si>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</si>
  <si>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</si>
  <si>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</si>
  <si>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</si>
  <si>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</si>
  <si>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</si>
  <si>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</si>
  <si>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</si>
  <si>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</si>
  <si>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</si>
  <si>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</si>
  <si>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</si>
  <si>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</si>
  <si>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</si>
  <si>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</si>
  <si>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</si>
  <si>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</si>
  <si>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</si>
  <si>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</si>
  <si>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</si>
  <si>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</si>
  <si>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</si>
  <si>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</si>
  <si>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</si>
  <si>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</si>
  <si>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</si>
  <si>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</si>
  <si>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</si>
  <si>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</si>
  <si>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</si>
  <si>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</si>
  <si>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</si>
  <si>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</si>
  <si>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</si>
  <si>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</si>
  <si>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</si>
  <si>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</si>
  <si>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</si>
  <si>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</si>
  <si>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</si>
  <si>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</si>
  <si>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</si>
  <si>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</si>
  <si>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</si>
  <si>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</si>
  <si>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</si>
  <si>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</si>
  <si>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</si>
  <si>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</si>
  <si>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</si>
  <si>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</si>
  <si>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</si>
  <si>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</si>
  <si>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</si>
  <si>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</si>
  <si>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</si>
  <si>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</si>
  <si>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</si>
  <si>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</si>
  <si>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</si>
  <si>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</si>
  <si>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</si>
  <si>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</si>
  <si>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</si>
  <si>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</si>
  <si>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</si>
  <si>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</si>
  <si>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</si>
  <si>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</si>
  <si>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</si>
  <si>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</si>
  <si>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</si>
  <si>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</si>
  <si>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</si>
  <si>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</si>
  <si>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</si>
  <si>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</si>
  <si>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</si>
  <si>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</si>
  <si>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</si>
  <si>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</si>
  <si>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</si>
  <si>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</si>
  <si>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</si>
  <si>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</si>
  <si>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</si>
  <si>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</si>
  <si>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</si>
  <si>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</si>
  <si>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</si>
  <si>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</si>
  <si>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</si>
  <si>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</si>
  <si>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</si>
  <si>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</si>
  <si>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</si>
  <si>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</si>
  <si>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</si>
  <si>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</si>
  <si>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</si>
  <si>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</si>
  <si>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</si>
  <si>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</si>
  <si>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</si>
  <si>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</si>
  <si>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</si>
  <si>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</si>
  <si>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</si>
  <si>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</si>
  <si>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</si>
  <si>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</si>
  <si>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</si>
  <si>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</si>
  <si>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</si>
  <si>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</si>
  <si>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</si>
  <si>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</si>
  <si>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</si>
  <si>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</si>
  <si>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</si>
  <si>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</si>
  <si>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</si>
  <si>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</si>
  <si>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</si>
  <si>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</si>
  <si>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</si>
  <si>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</si>
  <si>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</si>
  <si>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</si>
  <si>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</si>
  <si>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</si>
  <si>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</si>
  <si>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</si>
  <si>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</si>
  <si>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</si>
  <si>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</si>
  <si>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</si>
  <si>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</si>
  <si>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</si>
  <si>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</si>
  <si>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</si>
  <si>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</si>
  <si>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</si>
  <si>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</si>
  <si>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</si>
  <si>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</si>
  <si>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</si>
  <si>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</si>
  <si>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</si>
  <si>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</si>
  <si>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</si>
  <si>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</si>
  <si>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</si>
  <si>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</si>
  <si>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</si>
  <si>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</si>
  <si>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</si>
  <si>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</si>
  <si>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</si>
  <si>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</si>
  <si>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</si>
  <si>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</si>
  <si>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</si>
  <si>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</si>
  <si>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</si>
  <si>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</si>
  <si>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</si>
  <si>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</si>
  <si>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</si>
  <si>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</si>
  <si>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</si>
  <si>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</si>
  <si>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</si>
  <si>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</si>
  <si>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</si>
  <si>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</si>
  <si>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</si>
  <si>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</si>
  <si>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</si>
  <si>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</si>
  <si>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</si>
  <si>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</si>
  <si>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</si>
  <si>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</si>
  <si>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</si>
  <si>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</si>
  <si>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</si>
  <si>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</si>
  <si>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</si>
  <si>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</si>
  <si>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</si>
  <si>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</si>
  <si>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</si>
  <si>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</si>
  <si>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</si>
  <si>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</si>
  <si>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</si>
  <si>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</si>
  <si>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</si>
  <si>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</si>
  <si>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</si>
  <si>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</si>
  <si>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</si>
  <si>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</si>
  <si>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</si>
  <si>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</si>
  <si>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</si>
  <si>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</si>
  <si>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</si>
  <si>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</si>
  <si>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</si>
  <si>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</si>
  <si>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</si>
  <si>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</si>
  <si>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</si>
  <si>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</si>
  <si>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</si>
  <si>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</si>
  <si>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</si>
  <si>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</si>
  <si>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</si>
  <si>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</si>
  <si>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</si>
  <si>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</si>
  <si>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</si>
  <si>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</si>
  <si>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</si>
  <si>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</si>
  <si>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</si>
  <si>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</si>
  <si>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</si>
  <si>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</si>
  <si>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</si>
  <si>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</si>
  <si>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</si>
  <si>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</si>
  <si>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</si>
  <si>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</si>
  <si>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</si>
  <si>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</si>
  <si>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</si>
  <si>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</si>
  <si>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</si>
  <si>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</si>
  <si>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</si>
  <si>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</si>
  <si>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</si>
  <si>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</si>
  <si>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</si>
  <si>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</si>
  <si>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</si>
  <si>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</si>
  <si>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</si>
  <si>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</si>
  <si>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</si>
  <si>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</si>
  <si>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</si>
  <si>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</si>
  <si>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</si>
  <si>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</si>
  <si>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</si>
  <si>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</si>
  <si>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</si>
  <si>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</si>
  <si>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</si>
  <si>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</si>
  <si>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</si>
  <si>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</si>
  <si>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</si>
  <si>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</si>
  <si>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</si>
  <si>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</si>
  <si>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</si>
  <si>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</si>
  <si>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</si>
  <si>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</si>
  <si>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</si>
  <si>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</si>
  <si>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</si>
  <si>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</si>
  <si>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</si>
  <si>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</si>
  <si>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</si>
  <si>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</si>
  <si>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</si>
  <si>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</si>
  <si>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</si>
  <si>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</si>
  <si>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</si>
  <si>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</si>
  <si>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</si>
  <si>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</si>
  <si>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</si>
  <si>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</si>
  <si>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</si>
  <si>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</si>
  <si>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</si>
  <si>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</si>
  <si>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</si>
  <si>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</si>
  <si>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</si>
  <si>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</si>
  <si>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</si>
  <si>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</si>
  <si>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</si>
  <si>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</si>
  <si>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</si>
  <si>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</si>
  <si>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</si>
  <si>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</si>
  <si>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</si>
  <si>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</si>
  <si>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</si>
  <si>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</si>
  <si>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</si>
  <si>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</si>
  <si>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</si>
  <si>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</si>
  <si>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</si>
  <si>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</si>
  <si>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</si>
  <si>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</si>
  <si>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</si>
  <si>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</si>
  <si>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</si>
  <si>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</si>
  <si>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</si>
  <si>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</si>
  <si>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</si>
  <si>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</si>
  <si>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</si>
  <si>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</si>
  <si>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</si>
  <si>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</si>
  <si>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</si>
  <si>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</si>
  <si>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</si>
  <si>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</si>
  <si>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</si>
  <si>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</si>
  <si>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</si>
  <si>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</si>
  <si>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</si>
  <si>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</si>
  <si>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</si>
  <si>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</si>
  <si>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</si>
  <si>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</si>
  <si>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</si>
  <si>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</si>
  <si>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</si>
  <si>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</si>
  <si>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</si>
  <si>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</si>
  <si>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</si>
  <si>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</si>
  <si>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</si>
  <si>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</si>
  <si>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</si>
  <si>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</si>
  <si>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</si>
  <si>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</si>
  <si>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</si>
  <si>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</si>
  <si>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</si>
  <si>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</si>
  <si>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</si>
  <si>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</si>
  <si>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</si>
  <si>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</si>
  <si>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</si>
  <si>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</si>
  <si>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</si>
  <si>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</si>
  <si>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</si>
  <si>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</si>
  <si>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</si>
  <si>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</si>
  <si>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</si>
  <si>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</si>
  <si>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</si>
  <si>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</si>
  <si>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</si>
  <si>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</si>
  <si>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</si>
  <si>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</si>
  <si>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</si>
  <si>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</si>
  <si>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</si>
  <si>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</si>
  <si>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</si>
  <si>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</si>
  <si>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</si>
  <si>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</si>
  <si>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</si>
  <si>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</si>
  <si>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</si>
  <si>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</si>
  <si>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</si>
  <si>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</si>
  <si>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</si>
  <si>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</si>
  <si>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</si>
  <si>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</si>
  <si>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</si>
  <si>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</si>
  <si>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</si>
  <si>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</si>
  <si>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</si>
  <si>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</si>
  <si>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</si>
  <si>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</si>
  <si>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</si>
  <si>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</si>
  <si>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</si>
  <si>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</si>
  <si>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</si>
  <si>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</si>
  <si>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</si>
  <si>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</si>
  <si>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</si>
  <si>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</si>
  <si>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</si>
  <si>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</si>
  <si>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</si>
  <si>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</si>
  <si>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</si>
  <si>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</si>
  <si>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</si>
  <si>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</si>
  <si>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</si>
  <si>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</si>
  <si>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</si>
  <si>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</si>
  <si>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</si>
  <si>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</si>
  <si>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</si>
  <si>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</si>
  <si>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</si>
  <si>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</si>
  <si>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</si>
  <si>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</si>
  <si>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</si>
  <si>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</si>
  <si>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</si>
  <si>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</si>
  <si>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</si>
  <si>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</si>
  <si>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</si>
  <si>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</si>
  <si>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</si>
  <si>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</si>
  <si>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</si>
  <si>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</si>
  <si>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</si>
  <si>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</si>
  <si>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</si>
  <si>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</si>
  <si>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</si>
  <si>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</si>
  <si>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</si>
  <si>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</si>
  <si>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</si>
  <si>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</si>
  <si>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</si>
  <si>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</si>
  <si>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</si>
  <si>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</si>
  <si>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</si>
  <si>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</si>
  <si>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</si>
  <si>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</si>
  <si>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</si>
  <si>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</si>
  <si>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</si>
  <si>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</si>
  <si>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</si>
  <si>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</si>
  <si>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</si>
  <si>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</si>
  <si>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</si>
  <si>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</si>
  <si>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</si>
  <si>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</si>
  <si>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</si>
  <si>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</si>
  <si>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</si>
  <si>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</si>
  <si>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</si>
  <si>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</si>
  <si>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</si>
  <si>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</si>
  <si>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</si>
  <si>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</si>
  <si>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</si>
  <si>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</si>
  <si>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</si>
  <si>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</si>
  <si>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</si>
  <si>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</si>
  <si>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</si>
  <si>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</si>
  <si>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</si>
  <si>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</si>
  <si>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</si>
  <si>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</si>
  <si>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</si>
  <si>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</si>
  <si>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</si>
  <si>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</si>
  <si>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</si>
  <si>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</si>
  <si>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</si>
  <si>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</si>
  <si>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</si>
  <si>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</si>
  <si>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</si>
  <si>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</si>
  <si>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</si>
  <si>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</si>
  <si>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</si>
  <si>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</si>
  <si>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</si>
  <si>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</si>
  <si>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</si>
  <si>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</si>
  <si>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</si>
  <si>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</si>
  <si>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</si>
  <si>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</si>
  <si>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</si>
  <si>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</si>
  <si>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</si>
  <si>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</si>
  <si>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</si>
  <si>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</si>
  <si>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</si>
  <si>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</si>
  <si>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</si>
  <si>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</si>
  <si>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</si>
  <si>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</si>
  <si>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</si>
  <si>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</si>
  <si>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</si>
  <si>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</si>
  <si>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</si>
  <si>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</si>
  <si>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</si>
  <si>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</si>
  <si>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</si>
  <si>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</si>
  <si>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</si>
  <si>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</si>
  <si>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</si>
  <si>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</si>
  <si>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</si>
  <si>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</si>
  <si>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</si>
  <si>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</si>
  <si>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</si>
  <si>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</si>
  <si>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</si>
  <si>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</si>
  <si>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</si>
  <si>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</si>
  <si>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</si>
  <si>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</si>
  <si>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</si>
  <si>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</si>
  <si>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</si>
  <si>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</si>
  <si>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</si>
  <si>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</si>
  <si>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</si>
  <si>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</si>
  <si>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</si>
  <si>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</si>
  <si>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</si>
  <si>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</si>
  <si>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</si>
  <si>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</si>
  <si>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</si>
  <si>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</si>
  <si>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</si>
  <si>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</si>
  <si>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</si>
  <si>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</si>
  <si>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</si>
  <si>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</si>
  <si>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</si>
  <si>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</si>
  <si>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</si>
  <si>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</si>
  <si>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</si>
  <si>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</si>
  <si>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</si>
  <si>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</si>
  <si>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</si>
  <si>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</si>
  <si>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</si>
  <si>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</si>
  <si>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</si>
  <si>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</si>
  <si>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</si>
  <si>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</si>
  <si>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</si>
  <si>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</si>
  <si>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</si>
  <si>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</si>
  <si>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</si>
  <si>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</si>
  <si>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</si>
  <si>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</si>
  <si>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</si>
  <si>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</si>
  <si>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</si>
  <si>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</si>
  <si>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</si>
  <si>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</si>
  <si>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</si>
  <si>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</si>
  <si>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</si>
  <si>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</si>
  <si>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</si>
  <si>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</si>
  <si>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</si>
  <si>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</si>
  <si>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</si>
  <si>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</si>
  <si>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</si>
  <si>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</si>
  <si>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</si>
  <si>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</si>
  <si>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</si>
  <si>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</si>
  <si>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</si>
  <si>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</si>
  <si>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</si>
  <si>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</si>
  <si>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</si>
  <si>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</si>
  <si>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</si>
  <si>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</si>
  <si>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</si>
  <si>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</si>
  <si>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</si>
  <si>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</si>
  <si>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</si>
  <si>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</si>
  <si>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</si>
  <si>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</si>
  <si>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</si>
  <si>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water collector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</si>
  <si>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</si>
  <si>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</si>
  <si>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</si>
  <si>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</si>
  <si>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</si>
  <si>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</si>
  <si>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</si>
  <si>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</si>
  <si>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</si>
  <si>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</si>
  <si>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</si>
  <si>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</si>
  <si>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</si>
  <si>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</si>
  <si>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</si>
  <si>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</si>
  <si>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</si>
  <si>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</si>
  <si>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</si>
  <si>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</si>
  <si>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</si>
  <si>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</si>
  <si>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</si>
  <si>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</si>
  <si>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</si>
  <si>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</si>
  <si>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</si>
  <si>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</si>
  <si>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</si>
  <si>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</si>
  <si>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</si>
  <si>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</si>
  <si>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</si>
  <si>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</si>
  <si>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</si>
  <si>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</si>
  <si>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</si>
  <si>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</si>
  <si>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</si>
  <si>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</si>
  <si>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</si>
  <si>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</si>
  <si>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</si>
  <si>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</si>
  <si>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</si>
  <si>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</si>
  <si>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</si>
  <si>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</si>
  <si>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</si>
  <si>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</si>
  <si>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</si>
  <si>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</si>
  <si>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</si>
  <si>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</si>
  <si>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</si>
  <si>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</si>
  <si>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</si>
  <si>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</si>
  <si>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</si>
  <si>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</si>
  <si>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</si>
  <si>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</si>
  <si>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</si>
  <si>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</si>
  <si>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</si>
  <si>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</si>
  <si>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</si>
  <si>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</si>
  <si>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</si>
  <si>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</si>
  <si>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</si>
  <si>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</si>
  <si>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</si>
  <si>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</si>
  <si>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</si>
  <si>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</si>
  <si>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</si>
  <si>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</si>
  <si>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</si>
  <si>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</si>
  <si>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</si>
  <si>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</si>
  <si>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</si>
  <si>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</si>
  <si>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</si>
  <si>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</si>
  <si>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</si>
  <si>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</si>
  <si>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</si>
  <si>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</si>
  <si>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</si>
  <si>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</si>
  <si>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</si>
  <si>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</si>
  <si>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</si>
  <si>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</si>
  <si>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</si>
  <si>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</si>
  <si>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</si>
  <si>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</si>
  <si>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</si>
  <si>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</si>
  <si>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</si>
  <si>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</si>
  <si>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</si>
  <si>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</si>
  <si>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</si>
  <si>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</si>
  <si>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</si>
  <si>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</si>
  <si>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</si>
  <si>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</si>
  <si>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</si>
  <si>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</si>
  <si>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</si>
  <si>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</si>
  <si>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</si>
  <si>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</si>
  <si>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</si>
  <si>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</si>
  <si>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</si>
  <si>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</si>
  <si>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</si>
  <si>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</si>
  <si>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</si>
  <si>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</si>
  <si>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</si>
  <si>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</si>
  <si>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</si>
  <si>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</si>
  <si>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</si>
  <si>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</si>
  <si>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</si>
  <si>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</si>
  <si>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</si>
  <si>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</si>
  <si>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</si>
  <si>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</si>
  <si>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</si>
  <si>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</si>
  <si>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</si>
  <si>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</si>
  <si>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</si>
  <si>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</si>
  <si>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</si>
  <si>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</si>
  <si>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</si>
  <si>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</si>
  <si>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</si>
  <si>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</si>
  <si>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</si>
  <si>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</si>
  <si>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</si>
  <si>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</si>
  <si>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</si>
  <si>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</si>
  <si>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</si>
  <si>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</si>
  <si>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</si>
  <si>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</si>
  <si>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</si>
  <si>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</si>
  <si>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</si>
  <si>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</si>
  <si>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</si>
  <si>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</si>
  <si>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</si>
  <si>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</si>
  <si>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</si>
  <si>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</si>
  <si>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</si>
  <si>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</si>
  <si>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</si>
  <si>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</si>
  <si>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</si>
  <si>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</si>
  <si>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</si>
  <si>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</si>
  <si>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</si>
  <si>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</si>
  <si>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</si>
  <si>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</si>
  <si>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</si>
  <si>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</si>
  <si>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</si>
  <si>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</si>
  <si>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</si>
  <si>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</si>
  <si>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</si>
  <si>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</si>
  <si>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</si>
  <si>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</si>
  <si>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</si>
  <si>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</si>
  <si>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</si>
  <si>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</si>
  <si>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</si>
  <si>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</si>
  <si>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</si>
  <si>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</si>
  <si>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</si>
  <si>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</si>
  <si>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</si>
  <si>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</si>
  <si>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</si>
  <si>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</si>
  <si>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</si>
  <si>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</si>
  <si>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</si>
  <si>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</si>
  <si>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</si>
  <si>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</si>
  <si>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</si>
  <si>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</si>
  <si>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</si>
  <si>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</si>
  <si>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</si>
  <si>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</si>
  <si>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</si>
  <si>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</si>
  <si>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</si>
  <si>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</si>
  <si>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</si>
  <si>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</si>
  <si>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</si>
  <si>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</si>
  <si>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</si>
  <si>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</si>
  <si>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</si>
  <si>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Dima di ausilio per il montaggio PREFA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</si>
  <si>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</si>
  <si>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</si>
  <si>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</si>
  <si>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</si>
  <si>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</si>
  <si>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</si>
  <si>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</si>
  <si>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</si>
  <si>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</si>
  <si>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</si>
  <si>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</si>
  <si>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</si>
  <si>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</si>
  <si>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</si>
  <si>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</si>
  <si>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</si>
  <si>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</si>
  <si>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</si>
  <si>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</si>
  <si>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</si>
  <si>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</si>
  <si>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</si>
  <si>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</si>
  <si>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</si>
  <si>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 xml:space="preserve">Sonder- Erhebungsbogen </t>
  </si>
  <si>
    <t>SPECIAL DATA SURVEY FORM</t>
  </si>
  <si>
    <t>FORMULAIRE DE COMMANDE : PRODUITS SPÉCIAUX</t>
  </si>
  <si>
    <t>Questionario per prodotti fuori standard</t>
  </si>
  <si>
    <t>Dotazník - specifikace výrobku</t>
  </si>
  <si>
    <t>FELMÉRÉSI ADATLAP EGYEDI TERMÉK</t>
  </si>
  <si>
    <t>Rinnenwinkel 2D</t>
  </si>
  <si>
    <t>GUTTER ANGLE 2D</t>
  </si>
  <si>
    <t>ÉQUERRE DE GOUTTIÈRE 2D</t>
  </si>
  <si>
    <t>Angolo di gronda 2D</t>
  </si>
  <si>
    <t>Roh žlabu 2D</t>
  </si>
  <si>
    <t>SZEGLET 2D</t>
  </si>
  <si>
    <t>Rinnenwinkel 3D</t>
  </si>
  <si>
    <t>GUTTER ANGLE 3D</t>
  </si>
  <si>
    <t>ÉQUERRE DE GOUTTIÈRE 3D</t>
  </si>
  <si>
    <t>Angolo di gronda 3D</t>
  </si>
  <si>
    <t>Roh žlabu 3D</t>
  </si>
  <si>
    <t>SZEGLET 3D</t>
  </si>
  <si>
    <t>DOWNPIPE ELBOW</t>
  </si>
  <si>
    <t>COUDE</t>
  </si>
  <si>
    <t>Gomito</t>
  </si>
  <si>
    <t>Koleno</t>
  </si>
  <si>
    <t>CSŐÍV</t>
  </si>
  <si>
    <t>WATER COLLECTION BOXES</t>
  </si>
  <si>
    <t>BOÎTE À EAU</t>
  </si>
  <si>
    <t>Cassetta di raccolta</t>
  </si>
  <si>
    <t>Sběrný kotlík</t>
  </si>
  <si>
    <t>VÍZGYŰJTŐÜST</t>
  </si>
  <si>
    <t>Rohreinmündung (Einseitig)</t>
  </si>
  <si>
    <t>DOWNPIPE BRANCH SINGLE</t>
  </si>
  <si>
    <t>EMBRANCHEMENT (SIMPLE)</t>
  </si>
  <si>
    <t>Braga (un lato)</t>
  </si>
  <si>
    <t>Odbočka svodu (jednostranná)</t>
  </si>
  <si>
    <t>CSŐBECSATLAKOZÁS (EGYOLDALAS)</t>
  </si>
  <si>
    <t>Rohreinmündung (Zweiseitig)</t>
  </si>
  <si>
    <t>DOWNPIPE BRANCH DOUBLE</t>
  </si>
  <si>
    <t>EMBRANCHEMENT (DOUBLE)</t>
  </si>
  <si>
    <t>Braga (due lati)</t>
  </si>
  <si>
    <t>Odbočka svodu (dvoustranná)</t>
  </si>
  <si>
    <t>CSŐBECSATLAKOZÁS (KÉTOLDALAS)</t>
  </si>
  <si>
    <t>Quadratrohreinmündung (Einseitig)</t>
  </si>
  <si>
    <t>SQARE DOWNPIPE BRANCH SINGLE</t>
  </si>
  <si>
    <t>EMBRANCHEMENT POUR TUYAU DE DESCENTE CARRÉ (SIMPLE)</t>
  </si>
  <si>
    <t>Braga per pluviale quadro (un lato)</t>
  </si>
  <si>
    <t>Odbočka hranatého svodu (jednostranná)</t>
  </si>
  <si>
    <t>SZÖGLETES CSŐBECSATLAKOZÁS (EGYOLDALAS)</t>
  </si>
  <si>
    <t>Quadratrohreinmündung (Zweiseitig)</t>
  </si>
  <si>
    <t>SQUARE DOWNPIPE BRANCH DOUBLE</t>
  </si>
  <si>
    <t>EMBRANCHEMENT POUR TUYAU DE DESCENTE CARRÉ (DOUBLE)</t>
  </si>
  <si>
    <t>Braga per pluviale quadro (due lati)</t>
  </si>
  <si>
    <t>Odbočka hranatého svodu (dvoustanná)</t>
  </si>
  <si>
    <t>SZÖGLETES CSŐBECSATLAKOZÁS (KÉTOLDALAS)</t>
  </si>
  <si>
    <t>Quadratrohr- Sockelknie</t>
  </si>
  <si>
    <t>SQUARE DOWNPIPE SWAN NECK</t>
  </si>
  <si>
    <t>COUDE ÉTAGE POUR TUYAU DE DESCENTE CARRÉ</t>
  </si>
  <si>
    <t>Spostamento per pluviale quadro</t>
  </si>
  <si>
    <t>Soklové koleno hranatého svodu</t>
  </si>
  <si>
    <t>SZÖGLETES LEFOLYÓCSŐ - LÁBAZATI ELEM</t>
  </si>
  <si>
    <t xml:space="preserve">Sockelknie </t>
  </si>
  <si>
    <t>SWAN NECK</t>
  </si>
  <si>
    <t>COUDE ÉTAGE</t>
  </si>
  <si>
    <t>Spostamento</t>
  </si>
  <si>
    <t xml:space="preserve">lábazati elem </t>
  </si>
  <si>
    <t>Quadratrohr Wasserfangkasten</t>
  </si>
  <si>
    <t>SQUARE DOWNPIPE WATER COLLECTION BOXES</t>
  </si>
  <si>
    <t>BOÎTE À EAU POUR TUYAU DE DESCENTE CARRÉ</t>
  </si>
  <si>
    <t>Cassetta di raccolta per pluviale quadro</t>
  </si>
  <si>
    <t>Sběrný kotlík s hranatým vyústěním</t>
  </si>
  <si>
    <t>SZÖGLETES LEFOLYÓCSŐ VÍZGYŰJTŐÜST</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</si>
  <si>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</si>
  <si>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</si>
  <si>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</si>
  <si>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</si>
  <si>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</si>
  <si>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</si>
  <si>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</si>
  <si>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</si>
  <si>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</si>
  <si>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</si>
  <si>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</si>
  <si>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</si>
  <si>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</si>
  <si>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</si>
  <si>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</si>
  <si>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</si>
  <si>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</si>
  <si>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Angolo di gronda esterno</t>
  </si>
  <si>
    <t>Roh žlabu (vnější)</t>
  </si>
  <si>
    <t>Ereszcsatorna külső szeglet</t>
  </si>
  <si>
    <t>Innenrinnenwinkel</t>
  </si>
  <si>
    <t>internal gutter corner</t>
  </si>
  <si>
    <t>équerre pour angle rentrant de gouttière</t>
  </si>
  <si>
    <t>Angolo di gronda interno</t>
  </si>
  <si>
    <t>Roh žlabu (vnitřní)</t>
  </si>
  <si>
    <t>Ereszcsatorna belső szeglet</t>
  </si>
  <si>
    <t>Quadratrohr 100x80mm</t>
  </si>
  <si>
    <t>square downpipe 100x80mm</t>
  </si>
  <si>
    <t>tuyau de descente carré 100x80mm</t>
  </si>
  <si>
    <t>Pluviale quadro 100x80mm</t>
  </si>
  <si>
    <t>Hranatý svod 100x80mm</t>
  </si>
  <si>
    <t>Szögletes lefolyócső 100x80mm</t>
  </si>
  <si>
    <t>Startprofil P.10 Sonderfarbe (Länge: 2.000 mm)</t>
  </si>
  <si>
    <t>starter profile P.10 special colours (length: 2.000 mm)</t>
  </si>
  <si>
    <t>profil de départ; L = 2 000 mm P.10 autre teinte</t>
  </si>
  <si>
    <t>Profilo di partenza Prefa L=2000mm colore fuori standard P.10</t>
  </si>
  <si>
    <t>PREFA startovací profil, délka = 2.000 mm, P10 - zakázkové lakování</t>
  </si>
  <si>
    <t>PREFA Startprofil H = 2.000 mm P.10 egyedi színben</t>
  </si>
  <si>
    <t>Taschenprofil (Haltewinkel) (Länge: 3.000 mm)</t>
  </si>
  <si>
    <t>Pocket flashing (length 3.000 mm)</t>
  </si>
  <si>
    <t>Profil d’accrochage PREFA L = 3 000 mm</t>
  </si>
  <si>
    <t xml:space="preserve">Profilo a tasca Prefa L=2500mm </t>
  </si>
  <si>
    <t>PREFA zásuvná kapsa, délka = 3000 mm ( ukončovacé profil)</t>
  </si>
  <si>
    <t>PREFA Zsebesprofil H = 3.000 mm (Tartóelem)</t>
  </si>
  <si>
    <t>Startprofiel L=3000mm</t>
  </si>
  <si>
    <t>Fickprofil L=3000 mm</t>
  </si>
  <si>
    <t>Lommeprofil(Holdevinkel) L=3000 mm</t>
  </si>
  <si>
    <t>Lommeprofil(Festevinkel) L=3000</t>
  </si>
  <si>
    <t>Breite in Dachneigung gemessen</t>
  </si>
  <si>
    <t>Width measured in roof pitch</t>
  </si>
  <si>
    <t>largeur mesurée selon la pente de toit</t>
  </si>
  <si>
    <t>Larghezza rilevata in pendenza</t>
  </si>
  <si>
    <t>Šířka měřená ve střešním sklonu</t>
  </si>
  <si>
    <t>Szélesség a hajlás irányában mérve</t>
  </si>
  <si>
    <t>Width</t>
  </si>
  <si>
    <t xml:space="preserve">Szélesség  </t>
  </si>
  <si>
    <t>Abstand</t>
  </si>
  <si>
    <t>distance</t>
  </si>
  <si>
    <t>Distanza</t>
  </si>
  <si>
    <t>Odstup</t>
  </si>
  <si>
    <t>Távolság</t>
  </si>
  <si>
    <t>Dimension</t>
  </si>
  <si>
    <t>dimension</t>
  </si>
  <si>
    <t xml:space="preserve">Dimenze </t>
  </si>
  <si>
    <t xml:space="preserve">Méret  </t>
  </si>
  <si>
    <t>Verankerungsgrund</t>
  </si>
  <si>
    <t>structural substrate</t>
  </si>
  <si>
    <t>Structure porteuse</t>
  </si>
  <si>
    <t>Base di ancoraggio</t>
  </si>
  <si>
    <t>Nosná konstrukce obvodového pláště</t>
  </si>
  <si>
    <t>Teherhordó alap</t>
  </si>
  <si>
    <t>Saumstreifenlänge</t>
  </si>
  <si>
    <t>starter strip lenght</t>
  </si>
  <si>
    <t>Longueur de bande de départ</t>
  </si>
  <si>
    <t>Lunghezza scossalina di gronda</t>
  </si>
  <si>
    <t>Délka podkladního pásu</t>
  </si>
  <si>
    <t>Ereszhossz</t>
  </si>
  <si>
    <t>Wandrautenhaft 29 x 29</t>
  </si>
  <si>
    <t>rhomboid façade tile clip 29 × 29</t>
  </si>
  <si>
    <t>Patte pour losange 29 x29</t>
  </si>
  <si>
    <t>Graffetta per Scaglia 29 per facciata</t>
  </si>
  <si>
    <t>Příponka pro fasádní šablonu 29 x 29</t>
  </si>
  <si>
    <t>29 x 29 falburkoló rombusz hafter</t>
  </si>
  <si>
    <t>Wandrautenhaft für 29 x 29</t>
  </si>
  <si>
    <t xml:space="preserve">Verbindungswinkel </t>
  </si>
  <si>
    <t>corner liner</t>
  </si>
  <si>
    <t>Staffa di collegamento</t>
  </si>
  <si>
    <t>Spojovací roh nosného roštu</t>
  </si>
  <si>
    <t>Csatlakozási szög</t>
  </si>
  <si>
    <t>mind. 10 mm</t>
  </si>
  <si>
    <t>minimum round about 3/8 of an inch</t>
  </si>
  <si>
    <t>min 10mm</t>
  </si>
  <si>
    <t>min. 10 mm</t>
  </si>
  <si>
    <t>Niro-Winkelstehfalzhaft für Befestigung mit Schrauben</t>
  </si>
  <si>
    <t>stainless steel preformed fixed clip for fastening with screws</t>
  </si>
  <si>
    <t>Patte inox fixe pour fixation à la vis</t>
  </si>
  <si>
    <t>Graffetta fissa in acciaio inox per fissaggio con viti</t>
  </si>
  <si>
    <t>Zaczep kątowy stały ze stali nierdzewnej</t>
  </si>
  <si>
    <t>Niro-Winkelschiebehaft für Befestigung mit Schrauben</t>
  </si>
  <si>
    <t>stainless steel preformed sliding clip for fastening with screws</t>
  </si>
  <si>
    <t>Patte coulissante standard inox pour fixation à la vis</t>
  </si>
  <si>
    <t>Graffetta scorrevole in acciaio inox per fissaggio con viti</t>
  </si>
  <si>
    <t>Zaczep kątowy przesuwny ze stali nierdzewnej</t>
  </si>
  <si>
    <t>Niro-Winkellangschiebehaft für Befestigung mit Schrauben</t>
  </si>
  <si>
    <t>stainless steel preformed long sliding clip for fastening with screws</t>
  </si>
  <si>
    <t>Patte longue coulissante inox pour fixation à la vis</t>
  </si>
  <si>
    <t>Graffetta scorrevole maggiorata in acciaio inox per fissaggio con viti</t>
  </si>
  <si>
    <t>Zaczep kątowy o zwiększonym przesuwie ze stali nierdzewnej</t>
  </si>
  <si>
    <t>Siding perforiert ohne Schattenfuge</t>
  </si>
  <si>
    <t>perforated siding without shadow gap</t>
  </si>
  <si>
    <t>Siding perforé sans joint creux</t>
  </si>
  <si>
    <t>Doga perforata senza fuga</t>
  </si>
  <si>
    <t>Siding bez fugi cieniowej</t>
  </si>
  <si>
    <t>Spezialschraube für Aluminium-Unterkonstruktion 5,5 x 25 mm</t>
  </si>
  <si>
    <t>Special screw 5,5 x 25 mm for Aluminium supporting substructure</t>
  </si>
  <si>
    <t>Vis spéciale pour sous-construction en aluminium 5,5 x 25 mm</t>
  </si>
  <si>
    <t>Vite speciale per sottostruttura in alluminio</t>
  </si>
  <si>
    <t>Wkręt do metalu do sidingów na podkonstrukcji aluminiowej</t>
  </si>
  <si>
    <t>Speciale Schroef Alu 5,5x25 mm</t>
  </si>
  <si>
    <t>Specialskruv Alu 5,5x25 mm</t>
  </si>
  <si>
    <t>Specialskrue Alu 5,5x25 mm</t>
  </si>
  <si>
    <t>Spezialschraube für Stahl-Unterkonstruktion 5,5 x 25 mm</t>
  </si>
  <si>
    <t>Special screw 5,5 x 25 mm for steel supporting substructure</t>
  </si>
  <si>
    <t>Vis spéciale pour sous-construction en acier 5,5 x 25 mm</t>
  </si>
  <si>
    <t>Vite speciale per sottostruttura in acciaio</t>
  </si>
  <si>
    <t>Śruba specjalna do konstrukcji stalowej</t>
  </si>
  <si>
    <t>Speciale Schroef Stalen 5,5x25 mm</t>
  </si>
  <si>
    <t>Specialskruv Stål  5,5x25 mm</t>
  </si>
  <si>
    <t>Specialskrue Stål 5,5x25 mm</t>
  </si>
  <si>
    <t>Spezialschraube für Holz-Unterkonstruktion 4,9 x 35 mm</t>
  </si>
  <si>
    <t>special screw for timber sub-structure framework</t>
  </si>
  <si>
    <t>Vis spéciale pour sous-construction en bois 4,9 x 35 mm</t>
  </si>
  <si>
    <t>Vite speciale per sottostruttura in legno</t>
  </si>
  <si>
    <t>Wkręt do drewna do sidingów na podkonstrukcji drewnianej</t>
  </si>
  <si>
    <t>Speciale Schroef Hputen 4,9x35 mm</t>
  </si>
  <si>
    <t>Specialskruv Trä 4,9x35 mm</t>
  </si>
  <si>
    <t>Specialskrue Tre 4,9x35 mm</t>
  </si>
  <si>
    <t>Fassadenschraube für Aluminium-Unterkonstruktion</t>
  </si>
  <si>
    <t>façade screw for aluminium sub-structure framework</t>
  </si>
  <si>
    <t>Vis de façade pour sous-construction en aluminium</t>
  </si>
  <si>
    <t>Vite per facciata per sottostruttura in alluminio</t>
  </si>
  <si>
    <t>Śruba montażowa</t>
  </si>
  <si>
    <t>Festpunkthülse für Fassadenschraube</t>
  </si>
  <si>
    <t>fixed point bushing for façade screw</t>
  </si>
  <si>
    <t>Douille de guidage pour point fixe vis de façade</t>
  </si>
  <si>
    <t>Anello per punto fisso per vite per facciata</t>
  </si>
  <si>
    <t>Tuleja z punktem stałym do wkrętu fasadowego</t>
  </si>
  <si>
    <t>Gleitpunkthülse für Fassadenschraube</t>
  </si>
  <si>
    <t>sliding point bushing for façade screw</t>
  </si>
  <si>
    <t>Douille de guidage pour point coulissant vis de façade</t>
  </si>
  <si>
    <t>Anello per punto scorrevole per vite per facciata</t>
  </si>
  <si>
    <t>Tuleja z punktem przesuwnym do wkrętu fasadowego</t>
  </si>
  <si>
    <t>LT-XT Tool XT 25</t>
  </si>
  <si>
    <t>POINT COULISSANT</t>
  </si>
  <si>
    <t>perforiert</t>
  </si>
  <si>
    <t>perforated</t>
  </si>
  <si>
    <t>Perforé</t>
  </si>
  <si>
    <t>perforata</t>
  </si>
  <si>
    <t>Senkkopfschrauben</t>
  </si>
  <si>
    <t>countersunk screws</t>
  </si>
  <si>
    <t>Vis à tête fraisée</t>
  </si>
  <si>
    <t>Vite a testa svasata</t>
  </si>
  <si>
    <t>Śruby z łbem stożkowym</t>
  </si>
  <si>
    <t>Überlappung 100mm</t>
  </si>
  <si>
    <t>overlapping 100 mm</t>
  </si>
  <si>
    <t>Recouvrement 100 mm</t>
  </si>
  <si>
    <t>Sovrapposizione 100mm</t>
  </si>
  <si>
    <t>Dehnungsgerecht</t>
  </si>
  <si>
    <t>Fixation permettant une dilatation suffisante</t>
  </si>
  <si>
    <t>Adatto alla dilatazione</t>
  </si>
  <si>
    <t>in schneereichen Gebieten ab 35° (70%)</t>
  </si>
  <si>
    <t>in snow-rich areas from 35° (70%)</t>
  </si>
  <si>
    <t>Dans les zones enneigées à partir de 35° (70%)</t>
  </si>
  <si>
    <t>in località ad elevato carico neve da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</si>
  <si>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</si>
  <si>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</si>
  <si>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</si>
  <si>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</si>
  <si>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Tutti i diritti sono riservati. Questo documento può essere utilizzato solo per gli scopi da noi autorizzati e non può essere reso accessibile a terzi senza il nostro consenso.</t>
  </si>
  <si>
    <t>Alle Rechte vorbehalten. Diese Unterlage darf nur zu dem von uns genehmigten Zweck verwendet und nicht ohne unsere Zusitimmung Dritten zugänglich gemacht werden.</t>
  </si>
  <si>
    <t>(min. 8 cm bei Ausführung mit Stiefelfalz/Bündnerfalz)</t>
  </si>
  <si>
    <t>(min. 8 cm pour les versions avec un couché-relevé / Grisonne)</t>
  </si>
  <si>
    <t>(min. 8cm per esecuzione con aggraffatura tipo "Stiefel")</t>
  </si>
  <si>
    <t>Wasserdicht mit Prefa Falzgel</t>
  </si>
  <si>
    <t>Waterproof with Prefa sealing gel</t>
  </si>
  <si>
    <t>Complément d'étancheité avec le Falzgel</t>
  </si>
  <si>
    <t>Impermeabilizzato con Gel Prefa</t>
  </si>
  <si>
    <t>Falz: Feste Verbindung</t>
  </si>
  <si>
    <t>seam: solid connection</t>
  </si>
  <si>
    <t>Agrafe : raccordement fixe</t>
  </si>
  <si>
    <t>Aggraffatura: connessione forte</t>
  </si>
  <si>
    <t>mit Sicke</t>
  </si>
  <si>
    <t>with ridge</t>
  </si>
  <si>
    <t>Avec moulure</t>
  </si>
  <si>
    <t>con scanalatura</t>
  </si>
  <si>
    <t>schweifen</t>
  </si>
  <si>
    <t>Relevé</t>
  </si>
  <si>
    <t>bordare</t>
  </si>
  <si>
    <t>Längsfalz</t>
  </si>
  <si>
    <t>longitudinal seam</t>
  </si>
  <si>
    <t>Agrafe longitudinale</t>
  </si>
  <si>
    <t>aggraffatura longitudinale</t>
  </si>
  <si>
    <t>Traufenabschluß stehend</t>
  </si>
  <si>
    <t>eaves closure</t>
  </si>
  <si>
    <t>Raccordo alla gronda aggraffatura diritta</t>
  </si>
  <si>
    <t>Falzverbindungen (Querfälze)</t>
  </si>
  <si>
    <t>seam connections (cross seam)</t>
  </si>
  <si>
    <t>couché relevé</t>
  </si>
  <si>
    <t>Raccordi aggraffati (aggraffature trasversali)</t>
  </si>
  <si>
    <t>Rohreinbindungen</t>
  </si>
  <si>
    <t>pipe connections</t>
  </si>
  <si>
    <t>Raccordements de tuyaux</t>
  </si>
  <si>
    <t>Collegamenti per pluviali</t>
  </si>
  <si>
    <t>Traufenabschluß halbrund Doppelstehfalz</t>
  </si>
  <si>
    <t>Égout avec languette étirée à double sertissage</t>
  </si>
  <si>
    <t>Raccordo alla gronda aggraffatura doppia arrotondata</t>
  </si>
  <si>
    <t>Traufumschlag</t>
  </si>
  <si>
    <t xml:space="preserve">Rabat de l'égout </t>
  </si>
  <si>
    <t>Ribattuta alla gronda</t>
  </si>
  <si>
    <t>Traufbord</t>
  </si>
  <si>
    <t>Etirage</t>
  </si>
  <si>
    <t>Sporgenza di gronda</t>
  </si>
  <si>
    <t>Traufenabschluß halbrund Winkelstehfalz</t>
  </si>
  <si>
    <t>Rabat de l'égout pour les languette étirées en joint debout</t>
  </si>
  <si>
    <t>Raccordo alla gronda aggraffatura angolare arrotondata</t>
  </si>
  <si>
    <t>TEIL 1 oberer Teil</t>
  </si>
  <si>
    <t>PART 1 Upper Part</t>
  </si>
  <si>
    <t>PARTIE 1 partie supérieure</t>
  </si>
  <si>
    <t>PEZZO 1 pezzo superiore</t>
  </si>
  <si>
    <t>TEIL 2 unterer Teil</t>
  </si>
  <si>
    <t>PART 2 Lower Part</t>
  </si>
  <si>
    <t>PARTIE 2 partie inférieure</t>
  </si>
  <si>
    <t>PEZZO 2 pezzo inferiore</t>
  </si>
  <si>
    <t>Firstausbildung - Längsfalz</t>
  </si>
  <si>
    <t>Agrafe longitudinale de faïtière</t>
  </si>
  <si>
    <t>Esecuzione colmo - aggraffatura longitudinale</t>
  </si>
  <si>
    <t>Großer und kleiner Winkelfalz Vorkanten</t>
  </si>
  <si>
    <t>Commencez le pliage des petits et des grands joints angulaires.</t>
  </si>
  <si>
    <t>Pre incidere l'aggraffatura angolare grande e piccola</t>
  </si>
  <si>
    <t>Quetschfalte andeuten</t>
  </si>
  <si>
    <t xml:space="preserve">Marquez le pli écrasé. </t>
  </si>
  <si>
    <t>Indicare la piega</t>
  </si>
  <si>
    <t>Winkelhalbierende nach hinten zum First ziehen</t>
  </si>
  <si>
    <t>Tirez la bissectrice vers l’arrière, en direction du faîte.</t>
  </si>
  <si>
    <t>Tirare la bisettrice dell'angolo all'indietro verso il colmo</t>
  </si>
  <si>
    <t>Firstaufkantung langsam hochziehen, Wuetschfaltenbildung verfolgen</t>
  </si>
  <si>
    <t>Réalisez progressivement le rebord de faîtière, poursuivez le pli écrasé.</t>
  </si>
  <si>
    <t>Tirare lentamente verso l'alto l'alzata del colmo, seguendo la formazione delle pieghe</t>
  </si>
  <si>
    <t xml:space="preserve">Quetschfalte zusammendrücken und entgegengesetzt </t>
  </si>
  <si>
    <t>Appuyez pour fermer le pli écrasé,</t>
  </si>
  <si>
    <t>Stringere la piega e premere nella direzione opposta</t>
  </si>
  <si>
    <t>zum Winkelfalz umlegen (nur an der Überdeckung)</t>
  </si>
  <si>
    <t>puis rabattez-le dans le sens opposé au joint angulaire (uniquement sur la couverture)</t>
  </si>
  <si>
    <t>Piegare formando l'aggraffatura ad angolo (solo sulla sovrapposizione)</t>
  </si>
  <si>
    <t>Längsfalz einhängen und zudrücken</t>
  </si>
  <si>
    <t>Accrochez et fermez l’agrafe longitudinale.</t>
  </si>
  <si>
    <t>Agganciare l'aggraffatura longitudinale e comprimere</t>
  </si>
  <si>
    <t>Überdeckungslappen zudrücken</t>
  </si>
  <si>
    <t>Fermez les languettes de recouvrement.</t>
  </si>
  <si>
    <t>comprimere il lembo di copertura</t>
  </si>
  <si>
    <t>Quetschfalte der Unterdeckung an die Quetschfalte der Überdeckung anklopfen</t>
  </si>
  <si>
    <t>Frappez le pli écrasé de la sous-couverture contre le pli écrasé de la couverture.</t>
  </si>
  <si>
    <t>Battere la piega del rivestimento sottostante alla piega del rivestimento soprastante.</t>
  </si>
  <si>
    <t>Firstfalzhöhe</t>
  </si>
  <si>
    <t>Hauteur de l’agrafe</t>
  </si>
  <si>
    <t>Altezza di aggraffatura del colmo</t>
  </si>
  <si>
    <t>Firstfalz</t>
  </si>
  <si>
    <t>Agrafe du faîtage</t>
  </si>
  <si>
    <t>Aggraffatura di colmo</t>
  </si>
  <si>
    <t>Firstaufkantungslinie</t>
  </si>
  <si>
    <t>Ligne de relevé</t>
  </si>
  <si>
    <t>Linea di rialzo del colmo</t>
  </si>
  <si>
    <t>Winkelhalbierende</t>
  </si>
  <si>
    <t>Bissectrice</t>
  </si>
  <si>
    <t>Bisettrice d'angolo</t>
  </si>
  <si>
    <t>oberen Faltenumschlag gegen die Falzrichtung des Hauptfalzes legen</t>
  </si>
  <si>
    <t>Posizionare la piega superiore contro la direzione dell'aggraffatura principale</t>
  </si>
  <si>
    <t>Firstausbildung vor profilieren ausklinken</t>
  </si>
  <si>
    <t>Faîtage agrafé en pénétration</t>
  </si>
  <si>
    <t>Preparare il colmo prima della profilatura</t>
  </si>
  <si>
    <t>Dachspitze</t>
  </si>
  <si>
    <t>Relevé de la toiture</t>
  </si>
  <si>
    <t>Vertice del tetto</t>
  </si>
  <si>
    <t>Firstausbildung Längsfalz</t>
  </si>
  <si>
    <t>Agrafe longitudinale de faîtière</t>
  </si>
  <si>
    <t>Esecuzione del colmo con aggraffatura longitudinale</t>
  </si>
  <si>
    <t>Winkelstehfalz</t>
  </si>
  <si>
    <t>Joint debout</t>
  </si>
  <si>
    <t>Aufkantungslinie</t>
  </si>
  <si>
    <t>Linea di piega</t>
  </si>
  <si>
    <t>Wandanschluss Winkelstehfalz</t>
  </si>
  <si>
    <t>Angle de raccordement mural à joint debout</t>
  </si>
  <si>
    <t>Raccordo a parete Aggraffatura angolare</t>
  </si>
  <si>
    <t>Faltvorgang:</t>
  </si>
  <si>
    <t>Méthode de pliage</t>
  </si>
  <si>
    <t>Processo di aggraffatura:</t>
  </si>
  <si>
    <t>Winkelfalz vorkanten</t>
  </si>
  <si>
    <t>Amorcez le pliage</t>
  </si>
  <si>
    <t>Pre piegare l'aggraffatura angolare</t>
  </si>
  <si>
    <t>Abdecknase nach oben biegen</t>
  </si>
  <si>
    <t>Piegare il naso del coperchio verso l'alto</t>
  </si>
  <si>
    <t>Blechnase nach unten biegen, diese muss von dem Winklefalz überdeckt werden</t>
  </si>
  <si>
    <t>Piegare il naso della lamiera verso il basso, questo deve essere sormontato dall'aggraffatura angolare</t>
  </si>
  <si>
    <t>Winkelhalbierende muss nach vorne zum Dachbereich gezogen werden</t>
  </si>
  <si>
    <t>La bisettrice angolare deve essere tirata in avanti verso la superficie del tetto</t>
  </si>
  <si>
    <t>Wandanschluss an der Aufkantungslinie hochkanten</t>
  </si>
  <si>
    <t>Piegare verso l'alto il raccordo a parete in corrispondenza della linea di piega</t>
  </si>
  <si>
    <t>Faltenbildung verfolgen, eventuell korrigieren!</t>
  </si>
  <si>
    <t>Seguire la formazione delle pieghe, correggere se necessario.</t>
  </si>
  <si>
    <t>Quetschfalte ausbilden und zudrücken (zuklopfen)</t>
  </si>
  <si>
    <t>Formare una piega e chiuderla (martellando)</t>
  </si>
  <si>
    <t>Winkelfalz einhängen und schließen</t>
  </si>
  <si>
    <t>Agganciare l'aggraffatura angolare e chiudere</t>
  </si>
  <si>
    <t>Abdecknase B.) auf den Winkelfalz anpassen</t>
  </si>
  <si>
    <t>Naso di chiusura B.) adattare all'aggraffatura angolare</t>
  </si>
  <si>
    <t>Wandanschluss Winkelstehfalz zweiteilig</t>
  </si>
  <si>
    <t>Raccordo a parete per aggraffatura angolare in due pezzi</t>
  </si>
  <si>
    <t>Quetschfalte andeuten - winklehalbierende muss nach vorne zum Blechdach gezogen werden.</t>
  </si>
  <si>
    <t>Indicare la piega - la bisettrice deve essere tirata in avanti verso il tetto.</t>
  </si>
  <si>
    <t>Dachbereich</t>
  </si>
  <si>
    <t>Roof Area</t>
  </si>
  <si>
    <t>Surface de toiture</t>
  </si>
  <si>
    <t>Area del tetto</t>
  </si>
  <si>
    <t>einschneiden</t>
  </si>
  <si>
    <t>coupé</t>
  </si>
  <si>
    <t>tagliare</t>
  </si>
  <si>
    <t>Kamineinfassung</t>
  </si>
  <si>
    <t>chimney surround</t>
  </si>
  <si>
    <t>Abergement de cheminée</t>
  </si>
  <si>
    <t>Conversa camino</t>
  </si>
  <si>
    <t>Einfassungen - Dachflächenfenster</t>
  </si>
  <si>
    <t>Abergement de fenêtre de toit</t>
  </si>
  <si>
    <t>Converse - Finestra da tetto</t>
  </si>
  <si>
    <t>Faltlinie</t>
  </si>
  <si>
    <t>Ligne de pliage</t>
  </si>
  <si>
    <t>Linea di aggraffatura</t>
  </si>
  <si>
    <t>Faltvorgang - Stiefelfalz:</t>
  </si>
  <si>
    <t>Réalisation d'une Grisonne</t>
  </si>
  <si>
    <t>Processo di aggraffatura - Aggraffatura tipo "stiefel"</t>
  </si>
  <si>
    <t>150 mm markieren, Fälze flachformen</t>
  </si>
  <si>
    <t>Marquer 150 mm et aplatir les joint</t>
  </si>
  <si>
    <t>Segnare 150mm, spianare le aggraffature</t>
  </si>
  <si>
    <t>Falzhochbüge mit Spitzzange schräg nach innen drehen</t>
  </si>
  <si>
    <t>Avec une pince à bec, pliez le relevé en diagonale vers l’intérieur</t>
  </si>
  <si>
    <t>Con una pinza a punta girare diagonalmente verso l'interno l'aggraffatura</t>
  </si>
  <si>
    <t>beidseitig 10 mm schräg schneiden</t>
  </si>
  <si>
    <t>Coupez en diagonale des deux côtés sur 10 mm</t>
  </si>
  <si>
    <t>Tagliare diagonalmente su entrambi i lati 10mm</t>
  </si>
  <si>
    <t>ca. 8mm am kleinen und ca. 15 mm am großen Falz einschneiden</t>
  </si>
  <si>
    <t>Faites une entaille d’env. 8 mm sur la petite pliure et d’env. 15 mm sur la grande pliure</t>
  </si>
  <si>
    <t>Tagliare ca. 8mm nella aggraffatura piccola e ca. 15 in quella grande</t>
  </si>
  <si>
    <t>Längsfalz schließen und Laschen Zusammenklappen</t>
  </si>
  <si>
    <t xml:space="preserve">Fermez l’agrafe longitudinale, </t>
  </si>
  <si>
    <t>Chiudere l'aggraffatura longitudinale e ripiegare i lembi tra loro</t>
  </si>
  <si>
    <t>Doppelt falzen</t>
  </si>
  <si>
    <t>reformez le relevé de la grisonne</t>
  </si>
  <si>
    <t>Aggraffatura doppia</t>
  </si>
  <si>
    <t>Fertiger Stiefelfalz</t>
  </si>
  <si>
    <t>Agrafez le relevé</t>
  </si>
  <si>
    <t>Aggraffatura "stiefel" terminata</t>
  </si>
  <si>
    <t>Seitlicher Wandanschluss bei Gefällesprung</t>
  </si>
  <si>
    <t>Relevé pour un ressaut</t>
  </si>
  <si>
    <t>Raccordo a parete laterale in corrispondenza del gradino di pendenza</t>
  </si>
  <si>
    <t>Höhe unterer Wandhochzug</t>
  </si>
  <si>
    <t>Hauteur de relever du mur inférieur</t>
  </si>
  <si>
    <t>Altezza dell'intradosso del risvolto a parete</t>
  </si>
  <si>
    <t>Höhe des Gefällesprunges</t>
  </si>
  <si>
    <t>Hauteur du ressaut</t>
  </si>
  <si>
    <t>Altezza del gradino di pendenza</t>
  </si>
  <si>
    <t>Bahn</t>
  </si>
  <si>
    <t>Bande</t>
  </si>
  <si>
    <t>Binario</t>
  </si>
  <si>
    <t>Nackenblech</t>
  </si>
  <si>
    <t>Abergement</t>
  </si>
  <si>
    <t>Piastra del collo</t>
  </si>
  <si>
    <t>Doppelter Querfalz an Durchbrüchen</t>
  </si>
  <si>
    <t>Agrafe transversale double</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</si>
  <si>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</si>
  <si>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</si>
  <si>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</si>
  <si>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</si>
  <si>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</si>
  <si>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</si>
  <si>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</si>
  <si>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</si>
  <si>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</si>
  <si>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</si>
  <si>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</si>
  <si>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</si>
  <si>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</si>
  <si>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</si>
  <si>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</si>
  <si>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</si>
  <si>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</si>
  <si>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</si>
  <si>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</si>
  <si>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</si>
  <si>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</si>
  <si>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</si>
  <si>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</si>
  <si>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</si>
  <si>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</si>
  <si>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</si>
  <si>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</si>
  <si>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</si>
  <si>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</si>
  <si>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</si>
  <si>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</si>
  <si>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</si>
  <si>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</si>
  <si>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</si>
  <si>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</si>
  <si>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</si>
  <si>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</si>
  <si>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</si>
  <si>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</si>
  <si>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</si>
  <si>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</si>
  <si>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</si>
  <si>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</si>
  <si>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</si>
  <si>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</si>
  <si>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</si>
  <si>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</si>
  <si>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</si>
  <si>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</si>
  <si>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</si>
  <si>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</si>
  <si>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</si>
  <si>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</si>
  <si>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</si>
  <si>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</si>
  <si>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</si>
  <si>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</si>
  <si>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</si>
  <si>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</si>
  <si>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</si>
  <si>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</si>
  <si>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</si>
  <si>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</si>
  <si>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</si>
  <si>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</si>
  <si>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</si>
  <si>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</si>
  <si>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</si>
  <si>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</si>
  <si>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</si>
  <si>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</si>
  <si>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</si>
  <si>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</si>
  <si>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</si>
  <si>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</si>
  <si>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</si>
  <si>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</si>
  <si>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</si>
  <si>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</si>
  <si>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l'interasse delle travature</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</si>
  <si>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</si>
  <si>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</si>
  <si>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</si>
  <si>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</si>
  <si>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</si>
  <si>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</si>
  <si>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</si>
  <si>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</si>
  <si>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</si>
  <si>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</si>
  <si>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</si>
  <si>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</si>
  <si>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</si>
  <si>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</si>
  <si>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</si>
  <si>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</si>
  <si>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</si>
  <si>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</si>
  <si>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</si>
  <si>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</si>
  <si>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</si>
  <si>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</si>
  <si>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</si>
  <si>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</si>
  <si>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</si>
  <si>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</si>
  <si>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</si>
  <si>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</si>
  <si>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</si>
  <si>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</si>
  <si>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</si>
  <si>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</si>
  <si>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</si>
  <si>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</si>
  <si>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</si>
  <si>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</si>
  <si>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</si>
  <si>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</si>
  <si>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</si>
  <si>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</si>
  <si>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</si>
  <si>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</si>
  <si>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</si>
  <si>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</si>
  <si>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</si>
  <si>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</si>
  <si>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</si>
  <si>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</si>
  <si>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</si>
  <si>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</si>
  <si>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</si>
  <si>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</si>
  <si>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</si>
  <si>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</si>
  <si>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</si>
  <si>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</si>
  <si>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</si>
  <si>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</si>
  <si>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</si>
  <si>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</si>
  <si>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</si>
  <si>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</si>
  <si>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</si>
  <si>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</si>
  <si>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</si>
  <si>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</si>
  <si>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</si>
  <si>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</si>
  <si>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</si>
  <si>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</si>
  <si>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</si>
  <si>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</si>
  <si>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</si>
  <si>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</si>
  <si>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</si>
  <si>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</si>
  <si>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</si>
  <si>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</si>
  <si>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</si>
  <si>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</si>
  <si>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</si>
  <si>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</si>
  <si>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</si>
  <si>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</si>
  <si>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</si>
  <si>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</si>
  <si>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</si>
  <si>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</si>
  <si>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</si>
  <si>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</si>
  <si>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</si>
  <si>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</si>
  <si>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</si>
  <si>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</si>
  <si>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</si>
  <si>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</si>
  <si>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</si>
  <si>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</si>
  <si>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</si>
  <si>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</si>
  <si>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</si>
  <si>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</si>
  <si>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</si>
  <si>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</si>
  <si>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</si>
  <si>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</si>
  <si>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</si>
  <si>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</si>
  <si>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</si>
  <si>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</si>
  <si>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</si>
  <si>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</si>
  <si>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</si>
  <si>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</si>
  <si>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</si>
  <si>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</si>
  <si>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</si>
  <si>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</si>
  <si>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</si>
  <si>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</si>
  <si>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</si>
  <si>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</si>
  <si>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</si>
  <si>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</si>
  <si>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</si>
  <si>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</si>
  <si>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</si>
  <si>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</si>
  <si>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</si>
  <si>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</si>
  <si>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</si>
  <si>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</si>
  <si>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</si>
  <si>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</si>
  <si>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</si>
  <si>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</si>
  <si>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</si>
  <si>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</si>
  <si>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</si>
  <si>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aggiuntive sulla copertura con altezza di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</si>
  <si>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</si>
  <si>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</si>
  <si>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</si>
  <si>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</si>
  <si>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</si>
  <si>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</si>
  <si>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</si>
  <si>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</si>
  <si>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</si>
  <si>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</si>
  <si>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</si>
  <si>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</si>
  <si>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</si>
  <si>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</si>
  <si>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</si>
  <si>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</si>
  <si>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</si>
  <si>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</si>
  <si>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</si>
  <si>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</si>
  <si>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</si>
  <si>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</si>
  <si>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</si>
  <si>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</si>
  <si>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</si>
  <si>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</si>
  <si>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</si>
  <si>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</si>
  <si>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</si>
  <si>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</si>
  <si>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</si>
  <si>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</si>
  <si>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</si>
  <si>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</si>
  <si>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</si>
  <si>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</si>
  <si>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</si>
  <si>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</si>
  <si>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</si>
  <si>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</si>
  <si>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</si>
  <si>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</si>
  <si>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</si>
  <si>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</si>
  <si>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</si>
  <si>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</si>
  <si>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</si>
  <si>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</si>
  <si>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</si>
  <si>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</si>
  <si>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</si>
  <si>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</si>
  <si>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</si>
  <si>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</si>
  <si>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</si>
  <si>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</si>
  <si>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</si>
  <si>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</si>
  <si>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</si>
  <si>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</si>
  <si>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</si>
  <si>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</si>
  <si>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</si>
  <si>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</si>
  <si>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</si>
  <si>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</si>
  <si>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</si>
  <si>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</si>
  <si>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</si>
  <si>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</si>
  <si>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</si>
  <si>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</si>
  <si>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</si>
  <si>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</si>
  <si>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</si>
  <si>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</si>
  <si>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</si>
  <si>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</si>
  <si>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</si>
  <si>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</si>
  <si>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</si>
  <si>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</si>
  <si>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</si>
  <si>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</si>
  <si>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</si>
  <si>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</si>
  <si>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</si>
  <si>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</si>
  <si>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</si>
  <si>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</si>
  <si>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</si>
  <si>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</si>
  <si>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</si>
  <si>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</si>
  <si>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</si>
  <si>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</si>
  <si>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</si>
  <si>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</si>
  <si>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</si>
  <si>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</si>
  <si>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</si>
  <si>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</si>
  <si>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</si>
  <si>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</si>
  <si>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</si>
  <si>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</si>
  <si>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</si>
  <si>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</si>
  <si>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</si>
  <si>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</si>
  <si>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</si>
  <si>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</si>
  <si>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</si>
  <si>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</si>
  <si>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</si>
  <si>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</si>
  <si>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</si>
  <si>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</si>
  <si>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</si>
  <si>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</si>
  <si>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</si>
  <si>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</si>
  <si>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</si>
  <si>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</si>
  <si>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</si>
  <si>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</si>
  <si>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</si>
  <si>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</si>
  <si>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</si>
  <si>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</si>
  <si>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</si>
  <si>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</si>
  <si>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</si>
  <si>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</si>
  <si>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</si>
  <si>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</si>
  <si>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</si>
  <si>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</si>
  <si>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</si>
  <si>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</si>
  <si>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</si>
  <si>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</si>
  <si>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</si>
  <si>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</si>
  <si>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</si>
  <si>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</si>
  <si>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</si>
  <si>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</si>
  <si>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</si>
  <si>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</si>
  <si>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</si>
  <si>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</si>
  <si>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</si>
  <si>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</si>
  <si>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</si>
  <si>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</si>
  <si>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</si>
  <si>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</si>
  <si>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</si>
  <si>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</si>
  <si>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</si>
  <si>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</si>
  <si>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</si>
  <si>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</si>
  <si>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</si>
  <si>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</si>
  <si>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</si>
  <si>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</si>
  <si>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</si>
  <si>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</si>
  <si>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</si>
  <si>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</si>
  <si>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</si>
  <si>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</si>
  <si>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</si>
  <si>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</si>
  <si>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</si>
  <si>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</si>
  <si>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</si>
  <si>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</si>
  <si>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</si>
  <si>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</si>
  <si>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</si>
  <si>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</si>
  <si>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</si>
  <si>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</si>
  <si>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</si>
  <si>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</si>
  <si>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</si>
  <si>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</si>
  <si>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</si>
  <si>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</si>
  <si>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</si>
  <si>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</si>
  <si>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</si>
  <si>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</si>
  <si>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</si>
  <si>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</si>
  <si>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</si>
  <si>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</si>
  <si>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</si>
  <si>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</si>
  <si>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</si>
  <si>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</si>
  <si>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</si>
  <si>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</si>
  <si>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</si>
  <si>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ad almeno 3 Piastre fermaneve, sbalzo massimo delle barre di neve ≤ 0,3*larghezza lastra</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</si>
  <si>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</si>
  <si>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</si>
  <si>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</si>
  <si>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</si>
  <si>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</si>
  <si>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</si>
  <si>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</si>
  <si>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</si>
  <si>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</si>
  <si>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</si>
  <si>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</si>
  <si>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</si>
  <si>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</si>
  <si>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montate su ogni aggraffatura → Distanza piastre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</si>
  <si>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</si>
  <si>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</si>
  <si>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</si>
  <si>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</si>
  <si>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</si>
  <si>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</si>
  <si>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</si>
  <si>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</si>
  <si>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</si>
  <si>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</si>
  <si>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</si>
  <si>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</si>
  <si>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</si>
  <si>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in corrispondenza alla linea di gronda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</si>
  <si>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</si>
  <si>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</si>
  <si>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</si>
  <si>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</si>
  <si>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</si>
  <si>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</si>
  <si>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</si>
  <si>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</si>
  <si>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</si>
  <si>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</si>
  <si>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</si>
  <si>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</si>
  <si>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</si>
  <si>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aggraffatura: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</si>
  <si>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</si>
  <si>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</si>
  <si>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</si>
  <si>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</si>
  <si>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</si>
  <si>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</si>
  <si>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</si>
  <si>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</si>
  <si>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</si>
  <si>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</si>
  <si>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</si>
  <si>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</si>
  <si>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</si>
  <si>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</si>
  <si>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</si>
  <si>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</si>
  <si>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</si>
  <si>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</si>
  <si>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</si>
  <si>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</si>
  <si>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</si>
  <si>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</si>
  <si>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</si>
  <si>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</si>
  <si>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</si>
  <si>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</si>
  <si>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</si>
  <si>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</si>
  <si>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</si>
  <si>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</si>
  <si>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</si>
  <si>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</si>
  <si>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</si>
  <si>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</si>
  <si>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</si>
  <si>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</si>
  <si>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</si>
  <si>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</si>
  <si>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</si>
  <si>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</si>
  <si>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</si>
  <si>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</si>
  <si>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</si>
  <si>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</si>
  <si>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</si>
  <si>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</si>
  <si>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</si>
  <si>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</si>
  <si>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</si>
  <si>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</si>
  <si>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</si>
  <si>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</si>
  <si>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</si>
  <si>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</si>
  <si>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aggraffature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</si>
  <si>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</si>
  <si>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</si>
  <si>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</si>
  <si>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</si>
  <si>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</si>
  <si>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</si>
  <si>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</si>
  <si>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</si>
  <si>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</si>
  <si>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</si>
  <si>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</si>
  <si>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</si>
  <si>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</si>
  <si>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</si>
  <si>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</si>
  <si>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</si>
  <si>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</si>
  <si>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</si>
  <si>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</si>
  <si>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</si>
  <si>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</si>
  <si>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</si>
  <si>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</si>
  <si>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</si>
  <si>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</si>
  <si>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</si>
  <si>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</si>
  <si>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</si>
  <si>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</si>
  <si>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</si>
  <si>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</si>
  <si>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</si>
  <si>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</si>
  <si>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</si>
  <si>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</si>
  <si>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</si>
  <si>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</si>
  <si>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</si>
  <si>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</si>
  <si>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</si>
  <si>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</si>
  <si>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</si>
  <si>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</si>
  <si>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</si>
  <si>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</si>
  <si>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</si>
  <si>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</si>
  <si>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</si>
  <si>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</si>
  <si>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</si>
  <si>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</si>
  <si>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</si>
  <si>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</si>
  <si>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</si>
  <si>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</si>
  <si>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</si>
  <si>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</si>
  <si>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</si>
  <si>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</si>
  <si>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</si>
  <si>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</si>
  <si>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</si>
  <si>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</si>
  <si>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</si>
  <si>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</si>
  <si>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</si>
  <si>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</si>
  <si>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</si>
  <si>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</si>
  <si>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</si>
  <si>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</si>
  <si>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</si>
  <si>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</si>
  <si>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</si>
  <si>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</si>
  <si>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</si>
  <si>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</si>
  <si>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</si>
  <si>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</si>
  <si>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</si>
  <si>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</si>
  <si>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</si>
  <si>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</si>
  <si>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</si>
  <si>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</si>
  <si>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</si>
  <si>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</si>
  <si>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</si>
  <si>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</si>
  <si>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</si>
  <si>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</si>
  <si>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</si>
  <si>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</si>
  <si>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</si>
  <si>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</si>
  <si>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</si>
  <si>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</si>
  <si>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</si>
  <si>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</si>
  <si>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</si>
  <si>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</si>
  <si>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</si>
  <si>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</si>
  <si>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</si>
  <si>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</si>
  <si>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</si>
  <si>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</si>
  <si>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</si>
  <si>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</si>
  <si>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</si>
  <si>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</si>
  <si>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</si>
  <si>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</si>
  <si>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</si>
  <si>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</si>
  <si>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</si>
  <si>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</si>
  <si>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</si>
  <si>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</si>
  <si>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</si>
  <si>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</si>
  <si>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</si>
  <si>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</si>
  <si>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</si>
  <si>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</si>
  <si>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</si>
  <si>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</si>
  <si>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</si>
  <si>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</si>
  <si>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</si>
  <si>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</si>
  <si>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</si>
  <si>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</si>
  <si>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</si>
  <si>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</si>
  <si>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</si>
  <si>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</si>
  <si>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</si>
  <si>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</si>
  <si>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</si>
  <si>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</si>
  <si>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1991-1-3:2023</t>
  </si>
  <si>
    <t>form factor µ1 according to DIN EN 1991-1-3:2023</t>
  </si>
  <si>
    <t>coefficient de forme µ1 selon la norme DIN EN 1991-1-3:2023</t>
  </si>
  <si>
    <t>coefficiente di forma µ1 secondo la norma DIN EN 1991-1-3:2003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</si>
  <si>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</si>
  <si>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</si>
  <si>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</si>
  <si>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</si>
  <si>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</si>
  <si>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</si>
  <si>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</si>
  <si>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</si>
  <si>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</si>
  <si>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</si>
  <si>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</si>
  <si>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</si>
  <si>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</si>
  <si>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</si>
  <si>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</si>
  <si>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</si>
  <si>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</si>
  <si>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</si>
  <si>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</si>
  <si>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</si>
  <si>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</si>
  <si>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</si>
  <si>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</si>
  <si>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</si>
  <si>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</si>
  <si>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</si>
  <si>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</si>
  <si>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</si>
  <si>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</si>
  <si>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</si>
  <si>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</si>
  <si>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</si>
  <si>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</si>
  <si>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</si>
  <si>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</si>
  <si>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</si>
  <si>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</si>
  <si>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</si>
  <si>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</si>
  <si>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</si>
  <si>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</si>
  <si>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</si>
  <si>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</si>
  <si>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</si>
  <si>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</si>
  <si>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</si>
  <si>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</si>
  <si>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</si>
  <si>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</si>
  <si>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</si>
  <si>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</si>
  <si>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</si>
  <si>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</si>
  <si>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</si>
  <si>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</si>
  <si>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</si>
  <si>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</si>
  <si>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</si>
  <si>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</si>
  <si>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</si>
  <si>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</si>
  <si>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</si>
  <si>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</si>
  <si>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</si>
  <si>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</si>
  <si>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</si>
  <si>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</si>
  <si>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</si>
  <si>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</si>
  <si>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</si>
  <si>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</si>
  <si>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</si>
  <si>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</si>
  <si>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</si>
  <si>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</si>
  <si>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</si>
  <si>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</si>
  <si>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</si>
  <si>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</si>
  <si>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</si>
  <si>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</si>
  <si>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</si>
  <si>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</si>
  <si>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</si>
  <si>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</si>
  <si>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</si>
  <si>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</si>
  <si>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</si>
  <si>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</si>
  <si>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</si>
  <si>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</si>
  <si>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</si>
  <si>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</si>
  <si>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</si>
  <si>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</si>
  <si>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</si>
  <si>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</si>
  <si>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</si>
  <si>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</si>
  <si>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</si>
  <si>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</si>
  <si>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</si>
  <si>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</si>
  <si>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</si>
  <si>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</si>
  <si>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</si>
  <si>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</si>
  <si>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</si>
  <si>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</si>
  <si>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</si>
  <si>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</si>
  <si>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</si>
  <si>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</si>
  <si>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</si>
  <si>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</si>
  <si>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</si>
  <si>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</si>
  <si>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</si>
  <si>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</si>
  <si>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</si>
  <si>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</si>
  <si>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</si>
  <si>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</si>
  <si>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</si>
  <si>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</si>
  <si>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</si>
  <si>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</si>
  <si>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</si>
  <si>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</si>
  <si>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</si>
  <si>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</si>
  <si>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</si>
  <si>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</si>
  <si>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</si>
  <si>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</si>
  <si>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</si>
  <si>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</si>
  <si>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</si>
  <si>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</si>
  <si>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</si>
  <si>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</si>
  <si>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</si>
  <si>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</si>
  <si>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</si>
  <si>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</si>
  <si>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</si>
  <si>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</si>
  <si>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</si>
  <si>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</si>
  <si>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</si>
  <si>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</si>
  <si>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</si>
  <si>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</si>
  <si>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</si>
  <si>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</si>
  <si>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</si>
  <si>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</si>
  <si>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</si>
  <si>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</si>
  <si>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</si>
  <si>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</si>
  <si>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</si>
  <si>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</si>
  <si>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</si>
  <si>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</si>
  <si>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</si>
  <si>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</si>
  <si>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</si>
  <si>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</si>
  <si>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</si>
  <si>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</si>
  <si>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</si>
  <si>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</si>
  <si>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</si>
  <si>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</si>
  <si>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</si>
  <si>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</si>
  <si>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</si>
  <si>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</si>
  <si>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</si>
  <si>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</si>
  <si>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</si>
  <si>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</si>
  <si>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</si>
  <si>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</si>
  <si>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</si>
  <si>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</si>
  <si>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</si>
  <si>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</si>
  <si>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</si>
  <si>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</si>
  <si>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</si>
  <si>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</si>
  <si>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</si>
  <si>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</si>
  <si>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</si>
  <si>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</si>
  <si>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</si>
  <si>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</si>
  <si>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</si>
  <si>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1991-1-3:2023</t>
  </si>
  <si>
    <t>form factor µ1 according to EN 1991-1-3:2023</t>
  </si>
  <si>
    <t>coefficient de forme µ1 selon la norme EN 1991-1-3:2023</t>
  </si>
  <si>
    <t>coefficiente di forma µ1 secondo la norma EN 1991-1-3:2016</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</si>
  <si>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</si>
  <si>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</si>
  <si>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</si>
  <si>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</si>
  <si>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</si>
  <si>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</si>
  <si>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</si>
  <si>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</si>
  <si>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</si>
  <si>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</si>
  <si>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Wandschindel</t>
  </si>
  <si>
    <t>FAÇADE SHINGLE</t>
  </si>
  <si>
    <t xml:space="preserve">Bardeaux </t>
  </si>
  <si>
    <t>Scandola a parete</t>
  </si>
  <si>
    <t>Wandschindelhaft</t>
  </si>
  <si>
    <t>façade shingle clip</t>
  </si>
  <si>
    <t>Patte pour Bardeaux</t>
  </si>
  <si>
    <t>Graffetta per scandola a parete</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</si>
  <si>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</si>
  <si>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</si>
  <si>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</si>
  <si>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</si>
  <si>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</si>
  <si>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</si>
  <si>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</si>
  <si>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</si>
  <si>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</si>
  <si>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</si>
  <si>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</si>
  <si>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</si>
  <si>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</si>
  <si>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</si>
  <si>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</si>
  <si>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</si>
  <si>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</si>
  <si>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</si>
  <si>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</si>
  <si>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</si>
  <si>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</si>
  <si>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</si>
  <si>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</si>
  <si>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</si>
  <si>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</si>
  <si>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</si>
  <si>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</si>
  <si>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</si>
  <si>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</si>
  <si>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</si>
  <si>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</si>
  <si>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</si>
  <si>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</si>
  <si>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</si>
  <si>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</si>
  <si>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</si>
  <si>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</si>
  <si>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</si>
  <si>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</si>
  <si>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</si>
  <si>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</si>
  <si>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</si>
  <si>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</si>
  <si>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tavolato pieno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</si>
  <si>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</si>
  <si>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</si>
  <si>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</si>
  <si>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</si>
  <si>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</si>
  <si>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</si>
  <si>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</si>
  <si>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</si>
  <si>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</si>
  <si>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</si>
  <si>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</si>
  <si>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</si>
  <si>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</si>
  <si>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TE3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</si>
  <si>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</si>
  <si>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</si>
  <si>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</si>
  <si>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</si>
  <si>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</si>
  <si>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</si>
  <si>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</si>
  <si>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</si>
  <si>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</si>
  <si>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</si>
  <si>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</si>
  <si>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</si>
  <si>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</si>
  <si>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</si>
  <si>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</si>
  <si>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</si>
  <si>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</si>
  <si>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</si>
  <si>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</si>
  <si>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</si>
  <si>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</si>
  <si>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</si>
  <si>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</si>
  <si>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</si>
  <si>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</si>
  <si>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</si>
  <si>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</si>
  <si>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</si>
  <si>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</si>
  <si>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</si>
  <si>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</si>
  <si>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</si>
  <si>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</si>
  <si>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</si>
  <si>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</si>
  <si>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</si>
  <si>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</si>
  <si>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</si>
  <si>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</si>
  <si>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</si>
  <si>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</si>
  <si>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</si>
  <si>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</si>
  <si>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</si>
  <si>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</si>
  <si>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Tavolato pieno secondo le normative nazionali</t>
  </si>
  <si>
    <t>podle národních předpisů vyžadována instalace</t>
  </si>
  <si>
    <t>Spannstück</t>
  </si>
  <si>
    <t>Clamping element</t>
  </si>
  <si>
    <t>Pièce de serrage</t>
  </si>
  <si>
    <t>Elemento di bloccaggio</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</si>
  <si>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</si>
  <si>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</si>
  <si>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</si>
  <si>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</si>
  <si>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</si>
  <si>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</si>
  <si>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</si>
  <si>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</si>
  <si>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</si>
  <si>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</si>
  <si>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</si>
  <si>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</si>
  <si>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</si>
  <si>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</si>
  <si>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</si>
  <si>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</si>
  <si>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</si>
  <si>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</si>
  <si>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</si>
  <si>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</si>
  <si>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</si>
  <si>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</si>
  <si>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</si>
  <si>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</si>
  <si>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</si>
  <si>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</si>
  <si>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</si>
  <si>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</si>
  <si>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</si>
  <si>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</si>
  <si>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</si>
  <si>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</si>
  <si>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</si>
  <si>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</si>
  <si>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</si>
  <si>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</si>
  <si>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</si>
  <si>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</si>
  <si>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</si>
  <si>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</si>
  <si>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Stoccaggio</t>
  </si>
  <si>
    <t>(erforderlich bei dauerhaftem Aufbau)</t>
  </si>
  <si>
    <t>required for permanent installation</t>
  </si>
  <si>
    <t>(nécessaire en cas de montage permanent)</t>
  </si>
  <si>
    <t>(necessario per l'installazione permanente)</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</si>
  <si>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</si>
  <si>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</si>
  <si>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</si>
  <si>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</si>
  <si>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</si>
  <si>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</si>
  <si>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Tutti i prodotti del sistema antiallagamento PREFA sono disponibili presso i nostri partner PREFA</t>
  </si>
  <si>
    <t>Anfragen bitte an: technik.ch@prefa.com</t>
  </si>
  <si>
    <t>Please send inquiries to: technik.ch@prefa.com</t>
  </si>
  <si>
    <t>Veuillez adresser vos demandes à : philippe.mamie@prefa.com</t>
  </si>
  <si>
    <t>Inviare le richieste a: ufficiotecnico@prefa.com</t>
  </si>
  <si>
    <t>Anfragen bitte an: hochwasserschutz@prefa.com</t>
  </si>
  <si>
    <t>zusätzlicher Randabstand</t>
  </si>
  <si>
    <t>Marge supplémentaire</t>
  </si>
  <si>
    <t>Distanza supplementare dal bordo</t>
  </si>
  <si>
    <t>NOTIZEN:</t>
  </si>
  <si>
    <t>NOTES:</t>
  </si>
  <si>
    <t>Notes:</t>
  </si>
  <si>
    <t>NOTE:</t>
  </si>
  <si>
    <t>MwSt.</t>
  </si>
  <si>
    <t>VAT</t>
  </si>
  <si>
    <t>T.V.A.</t>
  </si>
  <si>
    <t>I.V.A.</t>
  </si>
  <si>
    <t>káď</t>
  </si>
  <si>
    <t>faktura VAT</t>
  </si>
  <si>
    <t>áfa</t>
  </si>
  <si>
    <t>DPH</t>
  </si>
  <si>
    <t>DDV</t>
  </si>
  <si>
    <t>MOMS</t>
  </si>
  <si>
    <t>moms</t>
  </si>
  <si>
    <t>mva</t>
  </si>
  <si>
    <t>PDV</t>
  </si>
  <si>
    <t>Beschichtungsteile</t>
  </si>
  <si>
    <t>Pièces thermolaquées</t>
  </si>
  <si>
    <t>Elementi da verniciare</t>
  </si>
  <si>
    <t>Sonderanfertigung</t>
  </si>
  <si>
    <t>Custom Fabrication</t>
  </si>
  <si>
    <t>Fabrication spéciale</t>
  </si>
  <si>
    <t>Progettazione personalizzata</t>
  </si>
  <si>
    <t>Systemwahl</t>
  </si>
  <si>
    <t>System Choice</t>
  </si>
  <si>
    <t>Choix du système</t>
  </si>
  <si>
    <t>Scelta del sistema</t>
  </si>
  <si>
    <t>Niederhalter Dammbalken</t>
  </si>
  <si>
    <t>retainer for barrier panel</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</si>
  <si>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</si>
  <si>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</si>
  <si>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</si>
  <si>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</si>
  <si>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</si>
  <si>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</si>
  <si>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</si>
  <si>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</si>
  <si>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</si>
  <si>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</si>
  <si>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</si>
  <si>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</si>
  <si>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</si>
  <si>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</si>
  <si>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</si>
  <si>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Distinta pezzi</t>
  </si>
  <si>
    <t>Bodenhülse (GROSS) 50 Vario und 80 beschichtet inkl. Aluminiumdeckel und Dichtung</t>
  </si>
  <si>
    <t>Douille de sol 50/80 Vario ; aluminium prélaqué, fourni avec couvercle et joint</t>
  </si>
  <si>
    <t>Piantone 50/80 Vario alluminio verniciato, compreso coperchio con guarnizione</t>
  </si>
  <si>
    <t>Markhylsa 50/80 Vario aluminium, ytbehandlad, inkl. lock med tätning</t>
  </si>
  <si>
    <t>Bodenhülse (GROSS) 50 Vario und 80 beschichtet inkl. Edelstahldeckel und Dichtung</t>
  </si>
  <si>
    <t>Douille de sol 50/80 Vario ; acier inoxydable prélaqué, fourni avec couvercle et joint</t>
  </si>
  <si>
    <t>Piantone 50/80 Vario acciaio inox verniciato, compreso coperchio con guarnizione</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</si>
  <si>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</si>
  <si>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</si>
  <si>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</si>
  <si>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</si>
  <si>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</si>
  <si>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</si>
  <si>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</si>
  <si>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</si>
  <si>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</si>
  <si>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</si>
  <si>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</si>
  <si>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</si>
  <si>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</si>
  <si>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</si>
  <si>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</si>
  <si>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</si>
  <si>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</si>
  <si>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</si>
  <si>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</si>
  <si>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</si>
  <si>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</si>
  <si>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</si>
  <si>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</si>
  <si>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</si>
  <si>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</si>
  <si>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</si>
  <si>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</si>
  <si>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</si>
  <si>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</si>
  <si>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</si>
  <si>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</si>
  <si>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Leva per coperchio piantone</t>
  </si>
  <si>
    <t>Emelőkar</t>
  </si>
  <si>
    <t>Pripomoček za dviganje</t>
  </si>
  <si>
    <t>Lagerabdeckung (Mittelteil)</t>
  </si>
  <si>
    <t>storage casing (central part)</t>
  </si>
  <si>
    <t>Cage de protection (pc du milieu)</t>
  </si>
  <si>
    <t>Coperchio per stoccaggio (elemento centrale)</t>
  </si>
  <si>
    <t>Lagerabdeckung (Seitenteil)</t>
  </si>
  <si>
    <t>storage casing (side part)</t>
  </si>
  <si>
    <t>Cage de protection (pc de côté)</t>
  </si>
  <si>
    <t>Coperchio per stoccaggio (elemento laterale)</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</si>
  <si>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</si>
  <si>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</si>
  <si>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</si>
  <si>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</si>
  <si>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</si>
  <si>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</si>
  <si>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</si>
  <si>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</si>
  <si>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</si>
  <si>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</si>
  <si>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</si>
  <si>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</si>
  <si>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</si>
  <si>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</si>
  <si>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</si>
  <si>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</si>
  <si>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</si>
  <si>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</si>
  <si>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</si>
  <si>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</si>
  <si>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</si>
  <si>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</si>
  <si>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</si>
  <si>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</si>
  <si>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</si>
  <si>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</si>
  <si>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</si>
  <si>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</si>
  <si>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</si>
  <si>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</si>
  <si>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</si>
  <si>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</si>
  <si>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</si>
  <si>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</si>
  <si>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</si>
  <si>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</si>
  <si>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</si>
  <si>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</si>
  <si>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</si>
  <si>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</si>
  <si>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</si>
  <si>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</si>
  <si>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</si>
  <si>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</si>
  <si>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</si>
  <si>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</si>
  <si>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</si>
  <si>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</si>
  <si>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</si>
  <si>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</si>
  <si>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</si>
  <si>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</si>
  <si>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</si>
  <si>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</si>
  <si>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</si>
  <si>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</si>
  <si>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</si>
  <si>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</si>
  <si>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</si>
  <si>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</si>
  <si>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</si>
  <si>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</si>
  <si>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</si>
  <si>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</si>
  <si>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</si>
  <si>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</si>
  <si>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</si>
  <si>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</si>
  <si>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</si>
  <si>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</si>
  <si>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</si>
  <si>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</si>
  <si>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</si>
  <si>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</si>
  <si>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</si>
  <si>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</si>
  <si>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</si>
  <si>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</si>
  <si>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</si>
  <si>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</si>
  <si>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</si>
  <si>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</si>
  <si>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</si>
  <si>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</si>
  <si>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</si>
  <si>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</si>
  <si>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</si>
  <si>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</si>
  <si>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</si>
  <si>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</si>
  <si>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</si>
  <si>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</si>
  <si>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</si>
  <si>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</si>
  <si>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</si>
  <si>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</si>
  <si>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</si>
  <si>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</si>
  <si>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</si>
  <si>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</si>
  <si>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</si>
  <si>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</si>
  <si>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</si>
  <si>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</si>
  <si>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</si>
  <si>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</si>
  <si>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</si>
  <si>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</si>
  <si>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</si>
  <si>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</si>
  <si>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</si>
  <si>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</si>
  <si>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</si>
  <si>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</si>
  <si>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</si>
  <si>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</si>
  <si>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</si>
  <si>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</si>
  <si>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</si>
  <si>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</si>
  <si>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</si>
  <si>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</si>
  <si>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</si>
  <si>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</si>
  <si>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</si>
  <si>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</si>
  <si>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</si>
  <si>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</si>
  <si>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</si>
  <si>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</si>
  <si>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</si>
  <si>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</si>
  <si>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</si>
  <si>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</si>
  <si>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</si>
  <si>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</si>
  <si>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</si>
  <si>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</si>
  <si>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</si>
  <si>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</si>
  <si>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</si>
  <si>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</si>
  <si>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</si>
  <si>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</si>
  <si>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</si>
  <si>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</si>
  <si>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</si>
  <si>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</si>
  <si>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</si>
  <si>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</si>
  <si>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</si>
  <si>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</si>
  <si>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</si>
  <si>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</si>
  <si>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</si>
  <si>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</si>
  <si>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</si>
  <si>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</si>
  <si>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</si>
  <si>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</si>
  <si>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</si>
  <si>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</si>
  <si>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</si>
  <si>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</si>
  <si>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</si>
  <si>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</si>
  <si>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</si>
  <si>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</si>
  <si>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</si>
  <si>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</si>
  <si>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</si>
  <si>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</si>
  <si>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</si>
  <si>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</si>
  <si>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</si>
  <si>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</si>
  <si>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</si>
  <si>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</si>
  <si>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</si>
  <si>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</si>
  <si>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</si>
  <si>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</si>
  <si>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</si>
  <si>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</si>
  <si>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</si>
  <si>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</si>
  <si>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</si>
  <si>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</si>
  <si>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</si>
  <si>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</si>
  <si>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</si>
  <si>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</si>
  <si>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</si>
  <si>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</si>
  <si>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</si>
  <si>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</si>
  <si>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</si>
  <si>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</si>
  <si>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</si>
  <si>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</si>
  <si>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</si>
  <si>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</si>
  <si>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</si>
  <si>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</si>
  <si>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</si>
  <si>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</si>
  <si>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</si>
  <si>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</si>
  <si>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</si>
  <si>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</si>
  <si>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</si>
  <si>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</si>
  <si>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</si>
  <si>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</si>
  <si>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</si>
  <si>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</si>
  <si>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</si>
  <si>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</si>
  <si>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</si>
  <si>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</si>
  <si>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</si>
  <si>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</si>
  <si>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</si>
  <si>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</si>
  <si>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Spannstück mit Sterngriff zum seitlich Einfädeln</t>
  </si>
  <si>
    <t>compression clamp with star-shaped handle (flush installation in thereveal)</t>
  </si>
  <si>
    <t>Pièce de serrage à poignée étoile (montage dans l'embrasure)</t>
  </si>
  <si>
    <t>Elemento di bloccaggio con manopola a stella, per inserimento laterale</t>
  </si>
  <si>
    <t>Spannstück mit Sechskantschraube zum seitlichen Einfädeln</t>
  </si>
  <si>
    <t>compression clamp with hex-head screw (flush installation in thereveal)</t>
  </si>
  <si>
    <t>Pièce de serrage avec vis 6 pans (montage dans l'embrasure)</t>
  </si>
  <si>
    <t>Elemento di bloccaggio con vite a testa esagonale, per inserimento laterale</t>
  </si>
  <si>
    <t>U-Profil 25 (in der Laibung) exkl. Dichtung, gebohrt und entgratet</t>
  </si>
  <si>
    <t>U-profile without seal, drilled and deburred</t>
  </si>
  <si>
    <t>Profilé en U 25 (dans l'embrasure), joint non compris, percé et ébavuré</t>
  </si>
  <si>
    <t>Profilo a U 25 (posa in luce) escluso guarnizione, forato e sbavato</t>
  </si>
  <si>
    <t>Beschichtungspauschale</t>
  </si>
  <si>
    <t>coating flat rate</t>
  </si>
  <si>
    <t>Forfait thermolaquage</t>
  </si>
  <si>
    <t>Verniciatura, a corpo</t>
  </si>
  <si>
    <t>Dateiname:</t>
  </si>
  <si>
    <t>file name:</t>
  </si>
  <si>
    <t>Nom du fichier :</t>
  </si>
  <si>
    <t>File:</t>
  </si>
  <si>
    <t>Technique des produits</t>
  </si>
  <si>
    <t>gewählt in folgenden Kalkulationen</t>
  </si>
  <si>
    <t>Installations calculées suivantes:</t>
  </si>
  <si>
    <t>selezionato nei seguenti calcoli</t>
  </si>
  <si>
    <t>(Oberkante Ausnehmung - Oberkante DB)</t>
  </si>
  <si>
    <t>(Bord supérieur de l'évidement - bord supérieur du DB)</t>
  </si>
  <si>
    <t>Bordo superiore dell'incavo - bordo superiore della sponda</t>
  </si>
  <si>
    <t>(Oberkante Sturz - Oberkante DB)</t>
  </si>
  <si>
    <t>(Bord supérieur du linteau - bord supérieur du DB)</t>
  </si>
  <si>
    <t>Bordo superiore del foro - bordo superiore della sponda</t>
  </si>
  <si>
    <t>en mm</t>
  </si>
  <si>
    <t>Strangpressprofile</t>
  </si>
  <si>
    <t>extruded profiles</t>
  </si>
  <si>
    <t>Profils extrudés</t>
  </si>
  <si>
    <t>Profili estrusi</t>
  </si>
  <si>
    <t>Befestigungsmittel Siding - Aluminium UK 4,8 x 19 mm</t>
  </si>
  <si>
    <t>fasteners for siding - aluminium sub-structure framework 4.8 x 19 mm</t>
  </si>
  <si>
    <t>Fixation SIDING - Aluminium UK 4,8 x 19 mm</t>
  </si>
  <si>
    <t>Fissaggio delle doghe su sottostruttura in alluminio 4,8x19mm</t>
  </si>
  <si>
    <t>Befestigungsmittel Siding - Holz UK 4,9 x 35 mm</t>
  </si>
  <si>
    <t>Special screw 4,9 x 35 mm for timber supporting substructure</t>
  </si>
  <si>
    <t>Fixation SIDING - Bois UK 4,9 x 35 mm</t>
  </si>
  <si>
    <t>Fissaggio delle doghe su sottostruttura in legno 4,9x35mm</t>
  </si>
  <si>
    <t>Startprofil (Länge: 2.000 mm) P.10 anthrazit</t>
  </si>
  <si>
    <t>Starter profile(length: 2.000 mm) =.10 anthra</t>
  </si>
  <si>
    <t>Profil de départ (longueur : 2 000 mm) P.10 anthracite</t>
  </si>
  <si>
    <t>Profilo di partenza (Lunghezza: 2000mm) antracite P.10</t>
  </si>
  <si>
    <t>Leibungsblech (Länge: 2.500 mm)</t>
  </si>
  <si>
    <t>jamb flashing(length: 2.500 mm)</t>
  </si>
  <si>
    <t>Habillage de tableau (longueur : 2 500 mm)</t>
  </si>
  <si>
    <t>Spalletta in lamiera (Lunghezza 2500mm)</t>
  </si>
  <si>
    <t>Dagkantprofiel L=2500 mm</t>
  </si>
  <si>
    <t>Smyglist L=2500 mm</t>
  </si>
  <si>
    <t>Lysningsplade L=3000 mm</t>
  </si>
  <si>
    <t>Smygplate L=2500 mm</t>
  </si>
  <si>
    <t>Außenecke zweiteilig (Länge: 2.500 mm)</t>
  </si>
  <si>
    <t>external corner (two parts); L = 2,500 mm</t>
  </si>
  <si>
    <t>profil d’angle sortant en croix (longueur : 2 500 mm)</t>
  </si>
  <si>
    <t>Angolo esterno in 2 pezzi (Lunghezza 2500mm)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</si>
  <si>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</si>
  <si>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</si>
  <si>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</si>
  <si>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</si>
  <si>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</si>
  <si>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</si>
  <si>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</si>
  <si>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</si>
  <si>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</si>
  <si>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</si>
  <si>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Außenecke 2-teilig (Länge: 2.500 mm)</t>
  </si>
  <si>
    <t>Innenecke einteilig (Länge: 3.000 mm)</t>
  </si>
  <si>
    <t>internal corner (one-piece); L = 3,000 mm</t>
  </si>
  <si>
    <t>angle rentrant (longueur : 3 000 mm)</t>
  </si>
  <si>
    <t>Angolo interno (Lunghezza 3000mm)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</si>
  <si>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</si>
  <si>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</si>
  <si>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</si>
  <si>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</si>
  <si>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</si>
  <si>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</si>
  <si>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</si>
  <si>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</si>
  <si>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</si>
  <si>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</si>
  <si>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</si>
  <si>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</si>
  <si>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Distinta pezzi Doga</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</si>
  <si>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</si>
  <si>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</si>
  <si>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</si>
  <si>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</si>
  <si>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</si>
  <si>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</si>
  <si>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</si>
  <si>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</si>
  <si>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</si>
  <si>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</si>
  <si>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</si>
  <si>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</si>
  <si>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</si>
  <si>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</si>
  <si>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</si>
  <si>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</si>
  <si>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</si>
  <si>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</si>
  <si>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</si>
  <si>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</si>
  <si>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</si>
  <si>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</si>
  <si>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</si>
  <si>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</si>
  <si>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</si>
  <si>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</si>
  <si>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</si>
  <si>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</si>
  <si>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</si>
  <si>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</si>
  <si>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</si>
  <si>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in più pezzi (Lunghezza 3000mm)</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</si>
  <si>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</si>
  <si>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</si>
  <si>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</si>
  <si>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</si>
  <si>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</si>
  <si>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</si>
  <si>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</si>
  <si>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</si>
  <si>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</si>
  <si>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</si>
  <si>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</si>
  <si>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</si>
  <si>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</si>
  <si>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di una situazione standard e servono da guida per progettisti ed installatori.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</si>
  <si>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</si>
  <si>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</si>
  <si>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</si>
  <si>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</si>
  <si>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</si>
  <si>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</si>
  <si>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</si>
  <si>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</si>
  <si>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</si>
  <si>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</si>
  <si>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</si>
  <si>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</si>
  <si>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</si>
  <si>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I progetti che sono o soggetti a regolamenti speciali (ad es. requisiti di sicurezza antincendio) o si trovano in una posizione esposta (ad es. carichi di neve o vento elevati) devono essere considerati separatamente. In tali casi vi invitiamo a contattarci.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</si>
  <si>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</si>
  <si>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</si>
  <si>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</si>
  <si>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</si>
  <si>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</si>
  <si>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</si>
  <si>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</si>
  <si>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</si>
  <si>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</si>
  <si>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</si>
  <si>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</si>
  <si>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</si>
  <si>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</si>
  <si>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(Lunghezza 3000mm)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</si>
  <si>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</si>
  <si>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</si>
  <si>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</si>
  <si>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</si>
  <si>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</si>
  <si>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</si>
  <si>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</si>
  <si>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</si>
  <si>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</si>
  <si>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</si>
  <si>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zweiteilig (Länge: 2.500 mm)</t>
  </si>
  <si>
    <t>end profile glued (two parts); L = 2,500 mm</t>
  </si>
  <si>
    <t>profil de fin collé (longueur : 2 500 mm)</t>
  </si>
  <si>
    <t>Profilo di chiusura 2 parti incollato (Lunghezza 2500mm)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</si>
  <si>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</si>
  <si>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</si>
  <si>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</si>
  <si>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</si>
  <si>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</si>
  <si>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</si>
  <si>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</si>
  <si>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</si>
  <si>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</si>
  <si>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</si>
  <si>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Abschlussprofil geklebt 2-teilig (Länge: 2.500 mm)</t>
  </si>
  <si>
    <t>Schnittlochblende (Länge: 3.000 mm)</t>
  </si>
  <si>
    <t>perforated plate; L = 3,000 mm</t>
  </si>
  <si>
    <t>cache de départ perforé (longueur : 3 000 mm)</t>
  </si>
  <si>
    <t>Canaletta di ventilazione Lunghezza 3000mm)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</si>
  <si>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</si>
  <si>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</si>
  <si>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</si>
  <si>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</si>
  <si>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</si>
  <si>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</si>
  <si>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</si>
  <si>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</si>
  <si>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</si>
  <si>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</si>
  <si>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</si>
  <si>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</si>
  <si>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</si>
  <si>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(Lunghezza 3000mm)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</si>
  <si>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</si>
  <si>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</si>
  <si>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</si>
  <si>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</si>
  <si>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</si>
  <si>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</si>
  <si>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</si>
  <si>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</si>
  <si>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</si>
  <si>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</si>
  <si>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</si>
  <si>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</si>
  <si>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</si>
  <si>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(Lunghezza 3000mm)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</si>
  <si>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</si>
  <si>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</si>
  <si>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</si>
  <si>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</si>
  <si>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</si>
  <si>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</si>
  <si>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</si>
  <si>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</si>
  <si>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</si>
  <si>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</si>
  <si>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</si>
  <si>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</si>
  <si>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</si>
  <si>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Spalletta in lamiera (Lunghezza 3000mm)</t>
  </si>
  <si>
    <t>Dagkantprofiel L=3000 mm</t>
  </si>
  <si>
    <t>Smyglist L=3000 mm</t>
  </si>
  <si>
    <t>Smygplate L=3000 mm</t>
  </si>
  <si>
    <t>Stoßblech (Länge: 3.000 mm)</t>
  </si>
  <si>
    <t>joint connection; L = 3,000 mm</t>
  </si>
  <si>
    <t>profil de raccord T (longueur : 3 000 mm)</t>
  </si>
  <si>
    <t>Profilo di battuta (Lunghezza 3000mm)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</si>
  <si>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</si>
  <si>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</si>
  <si>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</si>
  <si>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</si>
  <si>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</si>
  <si>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</si>
  <si>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</si>
  <si>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</si>
  <si>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</si>
  <si>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</si>
  <si>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zweiteilig (Länge: 3.000 mm)</t>
  </si>
  <si>
    <t>external corner (two parts); L = 3,000 mm</t>
  </si>
  <si>
    <t>profil d’angle sortant en croix (longueur : 3 000 mm)</t>
  </si>
  <si>
    <t>Angolo esterno 2 parti (Lunghezza 3000mm)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</si>
  <si>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</si>
  <si>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</si>
  <si>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</si>
  <si>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</si>
  <si>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</si>
  <si>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</si>
  <si>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</si>
  <si>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</si>
  <si>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</si>
  <si>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</si>
  <si>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Außenecke 2-teilig (Länge: 3.000 mm)</t>
  </si>
  <si>
    <t>Taschenprofil gekantet (Länge: 3.000 mm)</t>
  </si>
  <si>
    <t>pocket flashing L = 3,000 mm folded</t>
  </si>
  <si>
    <t>profil replié , L = 3 000 mm</t>
  </si>
  <si>
    <t>Profilo a tasca ripiegato (Lunghezza 3000mm)</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</si>
  <si>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</si>
  <si>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</si>
  <si>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</si>
  <si>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</si>
  <si>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</si>
  <si>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</si>
  <si>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</si>
  <si>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</si>
  <si>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</si>
  <si>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</si>
  <si>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</si>
  <si>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</si>
  <si>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</si>
  <si>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(Lunghezza 3000mm)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</si>
  <si>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</si>
  <si>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</si>
  <si>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</si>
  <si>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</si>
  <si>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</si>
  <si>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</si>
  <si>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</si>
  <si>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</si>
  <si>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</si>
  <si>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</si>
  <si>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</si>
  <si>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</si>
  <si>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</si>
  <si>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(Lunghezza 3000mm)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</si>
  <si>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</si>
  <si>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</si>
  <si>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</si>
  <si>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</si>
  <si>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</si>
  <si>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</si>
  <si>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</si>
  <si>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</si>
  <si>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</si>
  <si>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</si>
  <si>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</si>
  <si>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</si>
  <si>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</si>
  <si>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(Lunghezza 3000mm)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</si>
  <si>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</si>
  <si>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</si>
  <si>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</si>
  <si>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</si>
  <si>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</si>
  <si>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</si>
  <si>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</si>
  <si>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</si>
  <si>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</si>
  <si>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</si>
  <si>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</si>
  <si>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</si>
  <si>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</si>
  <si>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(Lunghezza 3000mm)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</si>
  <si>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</si>
  <si>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</si>
  <si>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</si>
  <si>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</si>
  <si>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</si>
  <si>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</si>
  <si>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</si>
  <si>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</si>
  <si>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</si>
  <si>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</si>
  <si>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zweiteilig (Länge: 3.000 mm)</t>
  </si>
  <si>
    <t>end profile 3 elements glued; L = 3,000 mm</t>
  </si>
  <si>
    <t>profil de fin collé (longueur : 3 000 mm)</t>
  </si>
  <si>
    <t>Profilo di chiusura in 3 parti incollato (Lunghezza 3000mm)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</si>
  <si>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</si>
  <si>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</si>
  <si>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</si>
  <si>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</si>
  <si>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</si>
  <si>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</si>
  <si>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</si>
  <si>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</si>
  <si>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</si>
  <si>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</si>
  <si>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Abschlussprofil geklebt 2-teilig (Länge: 3.000 mm)</t>
  </si>
  <si>
    <t>Counter batten - Ventilation</t>
  </si>
  <si>
    <t>Contre-latte de ventilation</t>
  </si>
  <si>
    <t>Controlistello di ventilazione</t>
  </si>
  <si>
    <t>Rillennägel gebunden</t>
  </si>
  <si>
    <t>Clou pour cloueuse Bull Tack Power</t>
  </si>
  <si>
    <t>Chiodi zigrinati in bobina</t>
  </si>
  <si>
    <t>Dichtschraube NIRO, 4,5x25</t>
  </si>
  <si>
    <t>Vis inox avec rondelle d'étanchéité 4,5 x 25 mm sans vis autoperceuse</t>
  </si>
  <si>
    <t>Vite in inox 4,5 x 25mm con rondella di tenuta</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</si>
  <si>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</si>
  <si>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</si>
  <si>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</si>
  <si>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</si>
  <si>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</si>
  <si>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</si>
  <si>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</si>
  <si>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</si>
  <si>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</si>
  <si>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</si>
  <si>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</si>
  <si>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Vite in inox 4,5 x 45mm con rondella di tenuta per copricolmo/displuvio</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</si>
  <si>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</si>
  <si>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</si>
  <si>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</si>
  <si>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</si>
  <si>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</si>
  <si>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</si>
  <si>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</si>
  <si>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</si>
  <si>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</si>
  <si>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</si>
  <si>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</si>
  <si>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</si>
  <si>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</si>
  <si>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Vite in inox 4,5 x 60mm con rondella di tenuta per copricolmo ventilato</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</si>
  <si>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</si>
  <si>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</si>
  <si>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</si>
  <si>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</si>
  <si>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</si>
  <si>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</si>
  <si>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</si>
  <si>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</si>
  <si>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</si>
  <si>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</si>
  <si>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</si>
  <si>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</si>
  <si>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Staffa fermaneve a triplo tubolare esagonale, incluso materiale di fissaggio</t>
  </si>
  <si>
    <t>sustav rešetkastog snjegobrana (205 x 66 x 303 mm)</t>
  </si>
  <si>
    <t>Haken XL für Schneerechensystem, inkl. Befestigungsmaterial</t>
  </si>
  <si>
    <t>XL bracket for pipe-style snow guard system (205 × 66 × 303 mm)</t>
  </si>
  <si>
    <t>Système pare-neige XL (205 × 66 × 303 mm)</t>
  </si>
  <si>
    <t>Staffa fermaneve a triplo tubolare esagonale XL, incluso materiale di fissaggio</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</si>
  <si>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</si>
  <si>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</si>
  <si>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</si>
  <si>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</si>
  <si>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</si>
  <si>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</si>
  <si>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</si>
  <si>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</si>
  <si>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</si>
  <si>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</si>
  <si>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Haken für Schneerechensystem XL, inkl. Befestigungsmaterial</t>
  </si>
  <si>
    <t>Abschluss XL für Schneerechensystem</t>
  </si>
  <si>
    <t>XL end piece for pipe-style snow guard system</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</si>
  <si>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</si>
  <si>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</si>
  <si>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</si>
  <si>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</si>
  <si>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</si>
  <si>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</si>
  <si>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</si>
  <si>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</si>
  <si>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</si>
  <si>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</si>
  <si>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</si>
  <si>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</si>
  <si>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Abschluss für Schneerechensystem XL</t>
  </si>
  <si>
    <t>2,8/25 (1 kg = ca. 570 St.)</t>
  </si>
  <si>
    <t>28/25 (1 kg = env. 570)</t>
  </si>
  <si>
    <t>2,8/25 (1 Kg = ca. 570 Pz.)</t>
  </si>
  <si>
    <t>28/25 (1 kg = cca. 570 kom.)</t>
  </si>
  <si>
    <t>2,8/30 (1 kg = ca. 480 St.)</t>
  </si>
  <si>
    <t>28/30 (1 kg = env. 480)</t>
  </si>
  <si>
    <t>2,8/30 (1 Kg = ca. 480 Pz.)</t>
  </si>
  <si>
    <t>28/30 (1 kg = cca. 480 kom.)</t>
  </si>
  <si>
    <t>2,8/40 (1 kg = ca. 380 St.)</t>
  </si>
  <si>
    <t>28/40 (1 kg = env. 380)</t>
  </si>
  <si>
    <t>2,8/40 (1 Kg = ca. 380 Pz.)</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</si>
  <si>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</si>
  <si>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</si>
  <si>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</si>
  <si>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</si>
  <si>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</si>
  <si>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</si>
  <si>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</si>
  <si>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</si>
  <si>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</si>
  <si>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</si>
  <si>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</si>
  <si>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</si>
  <si>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</si>
  <si>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 45 mm, 250 par paquet, aluminium naturel)</t>
  </si>
  <si>
    <t>(4,5 x 45 mm, 250 kom./pak. prirodni aluminij)</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</si>
  <si>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</si>
  <si>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</si>
  <si>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</si>
  <si>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</si>
  <si>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</si>
  <si>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</si>
  <si>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</si>
  <si>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</si>
  <si>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</si>
  <si>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</si>
  <si>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</si>
  <si>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</si>
  <si>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</si>
  <si>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</si>
  <si>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</si>
  <si>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</si>
  <si>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per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</si>
  <si>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</si>
  <si>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</si>
  <si>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</si>
  <si>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</si>
  <si>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</si>
  <si>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</si>
  <si>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</si>
  <si>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</si>
  <si>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</si>
  <si>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</si>
  <si>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</si>
  <si>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</si>
  <si>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per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</si>
  <si>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</si>
  <si>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</si>
  <si>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</si>
  <si>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</si>
  <si>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</si>
  <si>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</si>
  <si>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</si>
  <si>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</si>
  <si>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</si>
  <si>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</si>
  <si>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</si>
  <si>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</si>
  <si>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per Scaglia 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</si>
  <si>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</si>
  <si>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</si>
  <si>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</si>
  <si>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</si>
  <si>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</si>
  <si>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</si>
  <si>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</si>
  <si>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</si>
  <si>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</si>
  <si>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</si>
  <si>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</si>
  <si>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</si>
  <si>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per Scaglia 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</si>
  <si>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</si>
  <si>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</si>
  <si>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</si>
  <si>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</si>
  <si>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</si>
  <si>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</si>
  <si>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</si>
  <si>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</si>
  <si>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</si>
  <si>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</si>
  <si>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</si>
  <si>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</si>
  <si>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per FX.12 grande</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</si>
  <si>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</si>
  <si>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</si>
  <si>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</si>
  <si>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</si>
  <si>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</si>
  <si>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</si>
  <si>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</si>
  <si>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</si>
  <si>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</si>
  <si>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</si>
  <si>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Bocchetta aerazione goffrata per FX.12 piccolo</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</si>
  <si>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</si>
  <si>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</si>
  <si>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</si>
  <si>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</si>
  <si>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</si>
  <si>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</si>
  <si>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</si>
  <si>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</si>
  <si>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</si>
  <si>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</si>
  <si>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Gel sigillante per aggraffature in sacchetto di alluminio</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</si>
  <si>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</si>
  <si>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</si>
  <si>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</si>
  <si>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</si>
  <si>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</si>
  <si>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</si>
  <si>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</si>
  <si>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</si>
  <si>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</si>
  <si>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</si>
  <si>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</si>
  <si>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</si>
  <si>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</si>
  <si>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</si>
  <si>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</si>
  <si>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</si>
  <si>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</si>
  <si>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</si>
  <si>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</si>
  <si>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</si>
  <si>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</si>
  <si>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</si>
  <si>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</si>
  <si>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</si>
  <si>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</si>
  <si>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</si>
  <si>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</si>
  <si>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</si>
  <si>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</si>
  <si>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</si>
  <si>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</si>
  <si>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</si>
  <si>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</si>
  <si>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</si>
  <si>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</si>
  <si>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</si>
  <si>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</si>
  <si>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</si>
  <si>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</si>
  <si>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</si>
  <si>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</si>
  <si>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</si>
  <si>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</si>
  <si>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</si>
  <si>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</si>
  <si>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</si>
  <si>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</si>
  <si>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</si>
  <si>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</si>
  <si>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</si>
  <si>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</si>
  <si>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</si>
  <si>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</si>
  <si>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</si>
  <si>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</si>
  <si>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</si>
  <si>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</si>
  <si>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</si>
  <si>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</si>
  <si>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</si>
  <si>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</si>
  <si>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</si>
  <si>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</si>
  <si>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</si>
  <si>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</si>
  <si>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</si>
  <si>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</si>
  <si>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</si>
  <si>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</si>
  <si>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</si>
  <si>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</si>
  <si>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</si>
  <si>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</si>
  <si>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</si>
  <si>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</si>
  <si>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</si>
  <si>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</si>
  <si>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</si>
  <si>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</si>
  <si>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</si>
  <si>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</si>
  <si>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</si>
  <si>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</si>
  <si>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</si>
  <si>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</si>
  <si>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</si>
  <si>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</si>
  <si>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</si>
  <si>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</si>
  <si>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</si>
  <si>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</si>
  <si>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</si>
  <si>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</si>
  <si>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</si>
  <si>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</si>
  <si>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</si>
  <si>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</si>
  <si>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</si>
  <si>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</si>
  <si>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</si>
  <si>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</si>
  <si>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</si>
  <si>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</si>
  <si>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</si>
  <si>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Vite autoforante per sottostruttura in acciaio</t>
  </si>
  <si>
    <t>Befestigungsmittel für Strangpressprofile auf Aluminium-Unterkonstruktion</t>
  </si>
  <si>
    <t>fasteners for extruded profiles on aluminium sub-structure framework</t>
  </si>
  <si>
    <t>Moyenne de fixation pour profilés extrudés sur sous-structure en aluminium</t>
  </si>
  <si>
    <t>Materiale di fissaggio per profili estrusi su sottostruttura in alluminio</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</si>
  <si>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</si>
  <si>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</si>
  <si>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</si>
  <si>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</si>
  <si>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</si>
  <si>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</si>
  <si>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</si>
  <si>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</si>
  <si>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</si>
  <si>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</si>
  <si>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</si>
  <si>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</si>
  <si>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</si>
  <si>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</si>
  <si>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</si>
  <si>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</si>
  <si>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ancoraggio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</si>
  <si>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</si>
  <si>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</si>
  <si>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</si>
  <si>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</si>
  <si>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</si>
  <si>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</si>
  <si>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</si>
  <si>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</si>
  <si>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</si>
  <si>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</si>
  <si>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</si>
  <si>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con caricatore viti per Graffette avvitate</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</si>
  <si>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</si>
  <si>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</si>
  <si>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</si>
  <si>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</si>
  <si>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</si>
  <si>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</si>
  <si>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</si>
  <si>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</si>
  <si>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</si>
  <si>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</si>
  <si>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</si>
  <si>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</si>
  <si>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</si>
  <si>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Caricatore viti per Graffette</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</si>
  <si>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</si>
  <si>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</si>
  <si>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</si>
  <si>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</si>
  <si>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</si>
  <si>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</si>
  <si>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</si>
  <si>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</si>
  <si>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</si>
  <si>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</si>
  <si>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</si>
  <si>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</si>
  <si>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</si>
  <si>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</si>
  <si>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</si>
  <si>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</si>
  <si>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</si>
  <si>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</si>
  <si>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</si>
  <si>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</si>
  <si>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</si>
  <si>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</si>
  <si>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</si>
  <si>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</si>
  <si>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Gocciolatoio (Lunghezza 2500mm)</t>
  </si>
  <si>
    <t>Projekt-ID:</t>
  </si>
  <si>
    <t>Project-ID:</t>
  </si>
  <si>
    <t>Projet-ID:</t>
  </si>
  <si>
    <t>Progetto-ID:</t>
  </si>
  <si>
    <t>Prosjekt-ID:</t>
  </si>
  <si>
    <t>Lastenermittlung:</t>
  </si>
  <si>
    <t>Determinazione del carico:</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</si>
  <si>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</si>
  <si>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</si>
  <si>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</si>
  <si>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</si>
  <si>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</si>
  <si>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</si>
  <si>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</si>
  <si>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</si>
  <si>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</si>
  <si>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</si>
  <si>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</si>
  <si>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</si>
  <si>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</si>
  <si>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</si>
  <si>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</si>
  <si>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</si>
  <si>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</si>
  <si>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</si>
  <si>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</si>
  <si>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</si>
  <si>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</si>
  <si>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</si>
  <si>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</si>
  <si>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</si>
  <si>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</si>
  <si>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</si>
  <si>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</si>
  <si>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</si>
  <si>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</si>
  <si>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</si>
  <si>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</si>
  <si>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</si>
  <si>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</si>
  <si>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</si>
  <si>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</si>
  <si>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</si>
  <si>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</si>
  <si>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</si>
  <si>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</si>
  <si>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</si>
  <si>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</si>
  <si>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</si>
  <si>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Carico neve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</si>
  <si>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</si>
  <si>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</si>
  <si>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</si>
  <si>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</si>
  <si>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</si>
  <si>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</si>
  <si>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</si>
  <si>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</si>
  <si>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</si>
  <si>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</si>
  <si>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</si>
  <si>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</si>
  <si>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</si>
  <si>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</si>
  <si>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</si>
  <si>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</si>
  <si>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</si>
  <si>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</si>
  <si>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</si>
  <si>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</si>
  <si>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</si>
  <si>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</si>
  <si>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</si>
  <si>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</si>
  <si>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</si>
  <si>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</si>
  <si>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</si>
  <si>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</si>
  <si>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</si>
  <si>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</si>
  <si>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</si>
  <si>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</si>
  <si>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</si>
  <si>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</si>
  <si>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</si>
  <si>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</si>
  <si>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</si>
  <si>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</si>
  <si>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</si>
  <si>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</si>
  <si>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</si>
  <si>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</si>
  <si>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</si>
  <si>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</si>
  <si>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</si>
  <si>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</si>
  <si>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</si>
  <si>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</si>
  <si>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</si>
  <si>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</si>
  <si>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</si>
  <si>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</si>
  <si>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</si>
  <si>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</si>
  <si>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</si>
  <si>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</si>
  <si>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</si>
  <si>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</si>
  <si>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</si>
  <si>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</si>
  <si>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</si>
  <si>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</si>
  <si>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</si>
  <si>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</si>
  <si>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</si>
  <si>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</si>
  <si>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</si>
  <si>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</si>
  <si>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</si>
  <si>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</si>
  <si>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</si>
  <si>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</si>
  <si>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</si>
  <si>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</si>
  <si>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</si>
  <si>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</si>
  <si>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</si>
  <si>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</si>
  <si>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</si>
  <si>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</si>
  <si>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</si>
  <si>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</si>
  <si>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</si>
  <si>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</si>
  <si>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</si>
  <si>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</si>
  <si>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</si>
  <si>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</si>
  <si>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</si>
  <si>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</si>
  <si>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</si>
  <si>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</si>
  <si>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</si>
  <si>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</si>
  <si>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</si>
  <si>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</si>
  <si>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</si>
  <si>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</si>
  <si>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</si>
  <si>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</si>
  <si>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</si>
  <si>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</si>
  <si>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</si>
  <si>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</si>
  <si>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</si>
  <si>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</si>
  <si>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</si>
  <si>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</si>
  <si>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</si>
  <si>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</si>
  <si>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</si>
  <si>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</si>
  <si>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</si>
  <si>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</si>
  <si>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</si>
  <si>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</si>
  <si>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</si>
  <si>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</si>
  <si>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</si>
  <si>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</si>
  <si>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</si>
  <si>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</si>
  <si>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</si>
  <si>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</si>
  <si>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</si>
  <si>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</si>
  <si>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</si>
  <si>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</si>
  <si>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</si>
  <si>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</si>
  <si>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</si>
  <si>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</si>
  <si>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</si>
  <si>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</si>
  <si>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</si>
  <si>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Rilevamento della superficie</t>
  </si>
  <si>
    <t>Ausfräsungen Dammbalken</t>
  </si>
  <si>
    <t>Abdeckkappe aus Kunststoff</t>
  </si>
  <si>
    <t>protective plastic cap</t>
  </si>
  <si>
    <t>cache en plastique</t>
  </si>
  <si>
    <t>Abdeckung V 25</t>
  </si>
  <si>
    <t>cover V 25</t>
  </si>
  <si>
    <t>cache de protection V 25</t>
  </si>
  <si>
    <t>Abdeckung V 50</t>
  </si>
  <si>
    <t>cover V 50</t>
  </si>
  <si>
    <t>cache de protection V 50</t>
  </si>
  <si>
    <t>Abdeckung V 80</t>
  </si>
  <si>
    <t>cover V 80</t>
  </si>
  <si>
    <t>cache de protection V 80</t>
  </si>
  <si>
    <t>Abdeckung VO 25</t>
  </si>
  <si>
    <t>cover VO 25</t>
  </si>
  <si>
    <t>cache de protection VO 25</t>
  </si>
  <si>
    <t>Abdeckung VO 50</t>
  </si>
  <si>
    <t>cover VO 50</t>
  </si>
  <si>
    <t>cache de protection VO 50</t>
  </si>
  <si>
    <t>Abdeckung VO 80</t>
  </si>
  <si>
    <t>cover VO 80</t>
  </si>
  <si>
    <t>cache de protection VO 80</t>
  </si>
  <si>
    <t>Ablaufstutzen exzentrisch</t>
  </si>
  <si>
    <t>eccentric downpipe</t>
  </si>
  <si>
    <t>naissance excentrée</t>
  </si>
  <si>
    <t>Abschluss</t>
  </si>
  <si>
    <t>junction</t>
  </si>
  <si>
    <t>solin</t>
  </si>
  <si>
    <t>Abschlüsse</t>
  </si>
  <si>
    <t>junctions</t>
  </si>
  <si>
    <t>solins</t>
  </si>
  <si>
    <t>Abschlussprofil geklebt (zweiteilig)</t>
  </si>
  <si>
    <t>end profile glued (two parts)</t>
  </si>
  <si>
    <t>profil de fin collé (deux éléments)</t>
  </si>
  <si>
    <t>Abstand zur Rückwand</t>
  </si>
  <si>
    <t>distance to rear wall</t>
  </si>
  <si>
    <t>écartement par rapport au mur</t>
  </si>
  <si>
    <t>abwitternd</t>
  </si>
  <si>
    <t>weathered</t>
  </si>
  <si>
    <t>Adapterdüse</t>
  </si>
  <si>
    <t>adapter nozzle</t>
  </si>
  <si>
    <t>allgemeine Verkaufs- und Lieferbedingungen</t>
  </si>
  <si>
    <t>general terms and conditions of sale and delivery</t>
  </si>
  <si>
    <t>conditions générales de vente et de livraison</t>
  </si>
  <si>
    <t>Altstadtrot</t>
  </si>
  <si>
    <t>victorian brick red</t>
  </si>
  <si>
    <t>rose Toulouse</t>
  </si>
  <si>
    <t>Aluminium gebürstet</t>
  </si>
  <si>
    <t>brushed aluminium</t>
  </si>
  <si>
    <t>aluminium brossé</t>
  </si>
  <si>
    <t>Aluminium mit Edelstahl-Dorn</t>
  </si>
  <si>
    <t>aluminium with stainless steel pin</t>
  </si>
  <si>
    <t>Aluminium und EPDM-Gummi</t>
  </si>
  <si>
    <t>aluminium and EPDM rubber</t>
  </si>
  <si>
    <t>aluminium et caoutchouc EPDM</t>
  </si>
  <si>
    <t>Aluminiumband</t>
  </si>
  <si>
    <t>aluminium coil</t>
  </si>
  <si>
    <t>Aluminiumbänder</t>
  </si>
  <si>
    <t>aluminium coils</t>
  </si>
  <si>
    <t>bandes d’aluminium</t>
  </si>
  <si>
    <t>Aluminiumeindeckung</t>
  </si>
  <si>
    <t>aluminium covering</t>
  </si>
  <si>
    <t>Aluminiumlegierung</t>
  </si>
  <si>
    <t>aluminium alloy</t>
  </si>
  <si>
    <t>Aluminiumlötstäbe (Packung)</t>
  </si>
  <si>
    <t>aluminium welding rods (package)</t>
  </si>
  <si>
    <t>baguettes de soudure en aluminium (paquet)</t>
  </si>
  <si>
    <t>Aluminiumunterkonstruktion</t>
  </si>
  <si>
    <t>aluminium sub-structure framework</t>
  </si>
  <si>
    <t>sous-construction en aluminium</t>
  </si>
  <si>
    <t>Anfertigung auf Bestellung</t>
  </si>
  <si>
    <t>made to order</t>
  </si>
  <si>
    <t>fabrication sur commande</t>
  </si>
  <si>
    <t>Anfertigung laut Stückliste</t>
  </si>
  <si>
    <t>prepared according to parts list</t>
  </si>
  <si>
    <t>fabrication selon la nomenclature</t>
  </si>
  <si>
    <t>Anthrazitgrau</t>
  </si>
  <si>
    <t>anthracite grey</t>
  </si>
  <si>
    <t>gris anthracite</t>
  </si>
  <si>
    <t>Antriebsgerät Makita</t>
  </si>
  <si>
    <t>Makita cordless drill</t>
  </si>
  <si>
    <t>moteur Makita</t>
  </si>
  <si>
    <t>Anzahl</t>
  </si>
  <si>
    <t>number</t>
  </si>
  <si>
    <t xml:space="preserve">nombre </t>
  </si>
  <si>
    <t>Art.-Nr.</t>
  </si>
  <si>
    <t>Aufnahme für Halteklemme</t>
  </si>
  <si>
    <t>fixing rail for fasteners</t>
  </si>
  <si>
    <t>Aufpreis für Ausfräsung Wandprofil</t>
  </si>
  <si>
    <t>surcharge for wall profile cut-out</t>
  </si>
  <si>
    <t>supplément pour fraisage du profil mural</t>
  </si>
  <si>
    <t>Aufpreis für Längenänderung</t>
  </si>
  <si>
    <t>surcharge for changing lengths</t>
  </si>
  <si>
    <t>supplément pour modification de longueur</t>
  </si>
  <si>
    <t>Aufsatz</t>
  </si>
  <si>
    <t>attachment</t>
  </si>
  <si>
    <t>accessoire</t>
  </si>
  <si>
    <t>Aufsatz für magazinierte Schrauben</t>
  </si>
  <si>
    <t>attachment for magazined screws</t>
  </si>
  <si>
    <t>accessoire pour rail de vis</t>
  </si>
  <si>
    <t>Auftragsabwicklung</t>
  </si>
  <si>
    <t>order processing</t>
  </si>
  <si>
    <t>traitement des commandes</t>
  </si>
  <si>
    <t>Ausführung in Naturblank</t>
  </si>
  <si>
    <t>design in plain aluminium</t>
  </si>
  <si>
    <t>finition aluminium naturel</t>
  </si>
  <si>
    <t>Ausführung in P.10</t>
  </si>
  <si>
    <t>design in P.10</t>
  </si>
  <si>
    <t>réalisation en P.10</t>
  </si>
  <si>
    <t>Ausladung</t>
  </si>
  <si>
    <t>projection</t>
  </si>
  <si>
    <t xml:space="preserve">Ausnutzung </t>
  </si>
  <si>
    <t xml:space="preserve">utilisation </t>
  </si>
  <si>
    <t xml:space="preserve">charge statique </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</si>
  <si>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</si>
  <si>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</si>
  <si>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</si>
  <si>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</si>
  <si>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</si>
  <si>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</si>
  <si>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</si>
  <si>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</si>
  <si>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</si>
  <si>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</si>
  <si>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</si>
  <si>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</si>
  <si>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</si>
  <si>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</si>
  <si>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</si>
  <si>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</si>
  <si>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Außenwulst</t>
  </si>
  <si>
    <t>outer bead</t>
  </si>
  <si>
    <t>boudin extérieur</t>
  </si>
  <si>
    <t>Außenwulst und Innenumbug</t>
  </si>
  <si>
    <t>outer bead and inner fold</t>
  </si>
  <si>
    <t>boudin extérieur et repli intérieur</t>
  </si>
  <si>
    <t>Azurblau</t>
  </si>
  <si>
    <t>azure blue</t>
  </si>
  <si>
    <t>bleu azur</t>
  </si>
  <si>
    <t>Band</t>
  </si>
  <si>
    <t>coil</t>
  </si>
  <si>
    <t>bandbeschichtet</t>
  </si>
  <si>
    <t>coil-coated</t>
  </si>
  <si>
    <t>Bandbreite</t>
  </si>
  <si>
    <t>coil width</t>
  </si>
  <si>
    <t>largeur des bandes</t>
  </si>
  <si>
    <t>Bänder</t>
  </si>
  <si>
    <t>coils</t>
  </si>
  <si>
    <t>bandes</t>
  </si>
  <si>
    <t>Bänder und Bleche</t>
  </si>
  <si>
    <t>coils and metal sheets</t>
  </si>
  <si>
    <t>bandes et feuilles</t>
  </si>
  <si>
    <t>Befestigung mit Rillennägeln</t>
  </si>
  <si>
    <t>fastening with ring shank nails</t>
  </si>
  <si>
    <t>fixation avec clous annelés</t>
  </si>
  <si>
    <t>Befestigung mit Schrauben</t>
  </si>
  <si>
    <t>fastening with screws</t>
  </si>
  <si>
    <t>fixation avec vis</t>
  </si>
  <si>
    <t>Befestigung und Saumstreifen</t>
  </si>
  <si>
    <t>fastening and starter strips</t>
  </si>
  <si>
    <t>Befestigung und Zubehör</t>
  </si>
  <si>
    <t>fastening and accessories</t>
  </si>
  <si>
    <t>fixation et accessoires</t>
  </si>
  <si>
    <t>Befestigung von Taurus-Rail</t>
  </si>
  <si>
    <t>fastening Taurus rails</t>
  </si>
  <si>
    <t>Befestigungsmittel</t>
  </si>
  <si>
    <t>élément de fixation</t>
  </si>
  <si>
    <t>Befestigungsmittel für Strangpressprofile</t>
  </si>
  <si>
    <t>fasteners for extruded profiles</t>
  </si>
  <si>
    <t>beidseitig bandbeschichtet</t>
  </si>
  <si>
    <t>coil-coated on both sides</t>
  </si>
  <si>
    <t>prélaqués des deux côtés</t>
  </si>
  <si>
    <t>beidseitig schraubbar</t>
  </si>
  <si>
    <t>screwable on both sides</t>
  </si>
  <si>
    <t>Beige-grau</t>
  </si>
  <si>
    <t>grey oak</t>
  </si>
  <si>
    <t>Biegebank</t>
  </si>
  <si>
    <t>folding bench</t>
  </si>
  <si>
    <t>banc de pliage</t>
  </si>
  <si>
    <t>Bit TX 25</t>
  </si>
  <si>
    <t>embout de vissage TX 25</t>
  </si>
  <si>
    <t>Bit TX 25×50 mm</t>
  </si>
  <si>
    <t>Bit TX 25×50 mm</t>
  </si>
  <si>
    <t>embout de vissage TX 25×50 mm</t>
  </si>
  <si>
    <t>Bitumentrennlage</t>
  </si>
  <si>
    <t>bituminous separation layer</t>
  </si>
  <si>
    <t>blanke Aluminiumlegierung</t>
  </si>
  <si>
    <t>uncoated aluminium alloy</t>
  </si>
  <si>
    <t>alliage d’aluminium (sans revêtement)</t>
  </si>
  <si>
    <t>Blech</t>
  </si>
  <si>
    <t>metal sheet</t>
  </si>
  <si>
    <t>Bleche</t>
  </si>
  <si>
    <t>metal sheets</t>
  </si>
  <si>
    <t>feuilles</t>
  </si>
  <si>
    <t>Blende</t>
  </si>
  <si>
    <t>cover plate</t>
  </si>
  <si>
    <t>Bodendichtung</t>
  </si>
  <si>
    <t>ground seal</t>
  </si>
  <si>
    <t>joint au sol</t>
  </si>
  <si>
    <t>Bodenhülse (groß)</t>
  </si>
  <si>
    <t>large ground sleeve</t>
  </si>
  <si>
    <t>grande douille de sol</t>
  </si>
  <si>
    <t>Bohrkapazität</t>
  </si>
  <si>
    <t>drilling capacity</t>
  </si>
  <si>
    <t>capacité de perçage</t>
  </si>
  <si>
    <t>Bohrkapazität T</t>
  </si>
  <si>
    <t>drilling capacity t</t>
  </si>
  <si>
    <t>Bohrloch</t>
  </si>
  <si>
    <t>bore hole</t>
  </si>
  <si>
    <t>Bohrung</t>
  </si>
  <si>
    <t>hole</t>
  </si>
  <si>
    <t>Braun</t>
  </si>
  <si>
    <t>brown</t>
  </si>
  <si>
    <t>brun</t>
  </si>
  <si>
    <t>Brillantmetallic</t>
  </si>
  <si>
    <t>bright metallic</t>
  </si>
  <si>
    <t>métallique brillant</t>
  </si>
  <si>
    <t>Bronze</t>
  </si>
  <si>
    <t>bronze</t>
  </si>
  <si>
    <t>Bull Tack Power</t>
  </si>
  <si>
    <t>Bull Tack Power Nagler</t>
  </si>
  <si>
    <t>Bull Tack Power nail gun</t>
  </si>
  <si>
    <t>cloueuse Bull Tack Power</t>
  </si>
  <si>
    <t>Coil Coat</t>
  </si>
  <si>
    <t>coil coat</t>
  </si>
  <si>
    <t>Coil Coating</t>
  </si>
  <si>
    <t>coil coating</t>
  </si>
  <si>
    <t>Coil-Coating-Einbrennlackierung HDCC</t>
  </si>
  <si>
    <t>coil coating HDCC</t>
  </si>
  <si>
    <t>prélaquage HDCC</t>
  </si>
  <si>
    <t>Dach- und Fassadenflächen</t>
  </si>
  <si>
    <t>roof and façade areas</t>
  </si>
  <si>
    <t>surfaces de toiture ou façade</t>
  </si>
  <si>
    <t>Dach- und Fassadensysteme</t>
  </si>
  <si>
    <t>roof and façade systems</t>
  </si>
  <si>
    <t>Dachfenster</t>
  </si>
  <si>
    <t>roof window</t>
  </si>
  <si>
    <t>fenêtre de toit</t>
  </si>
  <si>
    <t>Dachknick</t>
  </si>
  <si>
    <t>roof break</t>
  </si>
  <si>
    <t xml:space="preserve">ligne de bris </t>
  </si>
  <si>
    <t>Dachluke</t>
  </si>
  <si>
    <t>roof hatch</t>
  </si>
  <si>
    <t>tabatière</t>
  </si>
  <si>
    <t>Dachlukendeckel und Holzrahmen</t>
  </si>
  <si>
    <t>roof hatch cover and wooden frame</t>
  </si>
  <si>
    <t>ouvrant de tabatière et châssis en bois</t>
  </si>
  <si>
    <t>Dachneigungen</t>
  </si>
  <si>
    <t>roof pitches</t>
  </si>
  <si>
    <t>Dachpaneel</t>
  </si>
  <si>
    <t>roof panel</t>
  </si>
  <si>
    <t>panneau de toiture</t>
  </si>
  <si>
    <t>Dachpaneel FX.12 (groß)</t>
  </si>
  <si>
    <t>FX.12 roof panel (large)</t>
  </si>
  <si>
    <t>grand panneau de toiture FX.12</t>
  </si>
  <si>
    <t>Dachpaneel FX.12 (klein)</t>
  </si>
  <si>
    <t>FX.12 roof panel (small)</t>
  </si>
  <si>
    <t>petit panneau de toiture FX.12</t>
  </si>
  <si>
    <t>Dachplatten</t>
  </si>
  <si>
    <t>roof tiles</t>
  </si>
  <si>
    <t>Dachraute</t>
  </si>
  <si>
    <t>rhomboid roof tile</t>
  </si>
  <si>
    <t>losange de toiture</t>
  </si>
  <si>
    <t>Dachsicherheit</t>
  </si>
  <si>
    <t>roof safety</t>
  </si>
  <si>
    <t>sécurité sur le toit</t>
  </si>
  <si>
    <t>Dachsystem</t>
  </si>
  <si>
    <t>roof system</t>
  </si>
  <si>
    <t>système de toit</t>
  </si>
  <si>
    <t>Dammbalken 25/200</t>
  </si>
  <si>
    <t>barrier panels 25/200</t>
  </si>
  <si>
    <t>batardeau 25/200</t>
  </si>
  <si>
    <t>Dammbalken 50/150</t>
  </si>
  <si>
    <t>barrier panels 50/150</t>
  </si>
  <si>
    <t>batardeau 50/150</t>
  </si>
  <si>
    <t>Dammbalken 50/200</t>
  </si>
  <si>
    <t>barrier panels 50/200</t>
  </si>
  <si>
    <t>batardeau 50/200</t>
  </si>
  <si>
    <t>Dammbalken 80/200</t>
  </si>
  <si>
    <t>barrier panels 80/200</t>
  </si>
  <si>
    <t>batardeau 80/200</t>
  </si>
  <si>
    <t>Dammbalkendichtung</t>
  </si>
  <si>
    <t>barrier panel seal</t>
  </si>
  <si>
    <t>joint de batardeau</t>
  </si>
  <si>
    <t>Dammbalkenhöhe</t>
  </si>
  <si>
    <t>height of barrier panels</t>
  </si>
  <si>
    <t>hauteur des batardeaux</t>
  </si>
  <si>
    <t>Deckel und Bodenhülse</t>
  </si>
  <si>
    <t>cover and ground sleeve</t>
  </si>
  <si>
    <t>couvercle et douille de sol</t>
  </si>
  <si>
    <t>Dichtbandeinlage</t>
  </si>
  <si>
    <t xml:space="preserve">Dichtmittel </t>
  </si>
  <si>
    <t xml:space="preserve">sealant </t>
  </si>
  <si>
    <t>garniture d’étanchéité</t>
  </si>
  <si>
    <t>Dichtung</t>
  </si>
  <si>
    <t>seal</t>
  </si>
  <si>
    <t>Dichtung für Deckel und Bodenhülse</t>
  </si>
  <si>
    <t>seal for cover and ground sleeve</t>
  </si>
  <si>
    <t>joint pour couvercle et douille de sol</t>
  </si>
  <si>
    <t>Dichtungsroller</t>
  </si>
  <si>
    <t>pressure roller</t>
  </si>
  <si>
    <t>rouleau de pression</t>
  </si>
  <si>
    <t>Dose</t>
  </si>
  <si>
    <t>can</t>
  </si>
  <si>
    <t>Durchdringung</t>
  </si>
  <si>
    <t>penetration</t>
  </si>
  <si>
    <t>Durchdringungen</t>
  </si>
  <si>
    <t>penetrations</t>
  </si>
  <si>
    <t>pénétrations</t>
  </si>
  <si>
    <t>Durchdringungen und Einfassungen</t>
  </si>
  <si>
    <t>penetrations and vents</t>
  </si>
  <si>
    <t>pénétrations et raccordements</t>
  </si>
  <si>
    <t>Durchdringungen und Entlüftungen</t>
  </si>
  <si>
    <t>pénétrations et systèmes de ventilation</t>
  </si>
  <si>
    <t>Durchmesser</t>
  </si>
  <si>
    <t>diameter</t>
  </si>
  <si>
    <t>diamètre</t>
  </si>
  <si>
    <t>Durchzugsöffnung</t>
  </si>
  <si>
    <t>pull-through opening</t>
  </si>
  <si>
    <t>Durchzugsöffnungen</t>
  </si>
  <si>
    <t>pull-through openings</t>
  </si>
  <si>
    <t>ouvertures d'aération</t>
  </si>
  <si>
    <t>Eckprofil</t>
  </si>
  <si>
    <t>corner profile</t>
  </si>
  <si>
    <t>profil d’angle</t>
  </si>
  <si>
    <t>Eckverbinder 90°</t>
  </si>
  <si>
    <t>corner connector 90°</t>
  </si>
  <si>
    <t>pièce d’assemblage d’angle 90°</t>
  </si>
  <si>
    <t>Edelstahl mit Edelstahl-Dorn</t>
  </si>
  <si>
    <t>stainless steel with stainless steel pin</t>
  </si>
  <si>
    <t>Edelstahl und Kunststoff</t>
  </si>
  <si>
    <t>stainless steel and plastic</t>
  </si>
  <si>
    <t>acier inoxydable et plastique</t>
  </si>
  <si>
    <t>Einbautiefe im tragenden Untergrund</t>
  </si>
  <si>
    <t>installation depth in the supporting structure</t>
  </si>
  <si>
    <t>Einfassung</t>
  </si>
  <si>
    <t>flashing</t>
  </si>
  <si>
    <t>abergement</t>
  </si>
  <si>
    <t>Einfassung Vario</t>
  </si>
  <si>
    <t>Vario flashing</t>
  </si>
  <si>
    <t>abergement Vario</t>
  </si>
  <si>
    <t>Einfassungen</t>
  </si>
  <si>
    <t>flashings</t>
  </si>
  <si>
    <t>raccordements</t>
  </si>
  <si>
    <t>Einfassungsplatte</t>
  </si>
  <si>
    <t>vent pipe cover</t>
  </si>
  <si>
    <t>raccordement de ventilation</t>
  </si>
  <si>
    <t>Einfassungsplatte für FX.12, glatt</t>
  </si>
  <si>
    <t>vent pipe cover for FX.12, smooth</t>
  </si>
  <si>
    <t>Einfassungsplatte für R.16, stucco</t>
  </si>
  <si>
    <t>vent pipe cover for R.16, stucco</t>
  </si>
  <si>
    <t>Einhangfalz</t>
  </si>
  <si>
    <t>flat lock welt</t>
  </si>
  <si>
    <t>accrochage par emboîtement </t>
  </si>
  <si>
    <t>Einlegeprofile</t>
  </si>
  <si>
    <t>insert profiles</t>
  </si>
  <si>
    <t>barres pare-neige</t>
  </si>
  <si>
    <t>einseitig selbstklebend</t>
  </si>
  <si>
    <t>self-adhesive on one side</t>
  </si>
  <si>
    <t>un côté adhésif</t>
  </si>
  <si>
    <t>Eloxalbraun</t>
  </si>
  <si>
    <t>anodic brown</t>
  </si>
  <si>
    <t>brun anodisé</t>
  </si>
  <si>
    <t>Endklemme</t>
  </si>
  <si>
    <t>end clamp</t>
  </si>
  <si>
    <t>borne de fin</t>
  </si>
  <si>
    <t>Endklemme blank</t>
  </si>
  <si>
    <t>end clamp uncoated</t>
  </si>
  <si>
    <t>borne de fin aluminium naturel</t>
  </si>
  <si>
    <t>Endklemme schwarz eloxiert</t>
  </si>
  <si>
    <t>end clamp black anodised</t>
  </si>
  <si>
    <t>borne de fin anodisé noir</t>
  </si>
  <si>
    <t>Endplatte</t>
  </si>
  <si>
    <t>end plate</t>
  </si>
  <si>
    <t>Endplatte für Wandraute</t>
  </si>
  <si>
    <t>end plate for rhomboid façade tile</t>
  </si>
  <si>
    <t>Endplatte für Wandraute 29 × 29</t>
  </si>
  <si>
    <t>end plate for rhomboid façade tile 29 × 29</t>
  </si>
  <si>
    <t>demi-losange de fin 29 × 29 (façade)</t>
  </si>
  <si>
    <t>Endplatte für Wandraute 44 × 44</t>
  </si>
  <si>
    <t>end plate for rhomboid façade tile 44 × 44</t>
  </si>
  <si>
    <t>demi-losange de fin 44 × 44 (façade)</t>
  </si>
  <si>
    <t>entgratet</t>
  </si>
  <si>
    <t>deburred</t>
  </si>
  <si>
    <t>ébavuré</t>
  </si>
  <si>
    <t>Entlüftungen</t>
  </si>
  <si>
    <t>vents</t>
  </si>
  <si>
    <t>systèmes de ventilation</t>
  </si>
  <si>
    <t>Entlüftungshaube</t>
  </si>
  <si>
    <t>ventilation cap</t>
  </si>
  <si>
    <t>raccordement d’aération</t>
  </si>
  <si>
    <t>Entlüftungsrohr</t>
  </si>
  <si>
    <t>ventilation pipe</t>
  </si>
  <si>
    <t>tuyau de ventilation</t>
  </si>
  <si>
    <t>Enzianblau</t>
  </si>
  <si>
    <t>gentian blue</t>
  </si>
  <si>
    <t>bleu gentiane</t>
  </si>
  <si>
    <t>EPDM-Dichtung</t>
  </si>
  <si>
    <t>EPDM seal</t>
  </si>
  <si>
    <t>EPDM-Gummi</t>
  </si>
  <si>
    <t>EPDM rubber</t>
  </si>
  <si>
    <t>caoutchouc EPDM</t>
  </si>
  <si>
    <t>Erfahrung</t>
  </si>
  <si>
    <t>experience</t>
  </si>
  <si>
    <t>Ersatzteil für Deckel und Bodenhülse</t>
  </si>
  <si>
    <t>replacement part for cover and ground sleeve</t>
  </si>
  <si>
    <t>pièce de rechange pour couvercle et douille de sol</t>
  </si>
  <si>
    <t>exkl. Befestigungsmaterial</t>
  </si>
  <si>
    <t>without fixing material</t>
  </si>
  <si>
    <t>matériel de fixation non compris</t>
  </si>
  <si>
    <t>exkl. Dichtung</t>
  </si>
  <si>
    <t>without seal</t>
  </si>
  <si>
    <t>fourni sans joint</t>
  </si>
  <si>
    <t>exzentrisch</t>
  </si>
  <si>
    <t>eccentric</t>
  </si>
  <si>
    <t>excentrée</t>
  </si>
  <si>
    <t>Faltmanschette</t>
  </si>
  <si>
    <t>flexible pipe collar</t>
  </si>
  <si>
    <t>soufflet plissé</t>
  </si>
  <si>
    <t>Faltmanschette 100</t>
  </si>
  <si>
    <t>flexible pipe collar 100</t>
  </si>
  <si>
    <t>soufflet plissé 100</t>
  </si>
  <si>
    <t>Falz</t>
  </si>
  <si>
    <t>fold</t>
  </si>
  <si>
    <t>FALZONAL</t>
  </si>
  <si>
    <t>FALZONAL Farbaluminiumband</t>
  </si>
  <si>
    <t>FALZONAL colour aluminium coil</t>
  </si>
  <si>
    <t>FALZONAL bande d’aluminium coloré</t>
  </si>
  <si>
    <t>Falzqualität</t>
  </si>
  <si>
    <t>fold quality</t>
  </si>
  <si>
    <t>Farbaluminiumband</t>
  </si>
  <si>
    <t>colour aluminium coil</t>
  </si>
  <si>
    <t>bande d’aluminium coloré</t>
  </si>
  <si>
    <t>Farbaluminiumband in Polyesterqualität</t>
  </si>
  <si>
    <t>colour aluminium coil in polyester quality</t>
  </si>
  <si>
    <t>Farbaluminiumblech</t>
  </si>
  <si>
    <t>colour aluminium sheet</t>
  </si>
  <si>
    <t>feuille d’aluminium coloré</t>
  </si>
  <si>
    <t>Farbaluminiumblech in Polyesterqualität</t>
  </si>
  <si>
    <t>colour aluminium sheet in polyester quality</t>
  </si>
  <si>
    <t>feuille d’aluminium coloré en qualité polyester</t>
  </si>
  <si>
    <t>Farbe der Abdeckkappe</t>
  </si>
  <si>
    <t>protective cap colour</t>
  </si>
  <si>
    <t>couleur du cache</t>
  </si>
  <si>
    <t>Farben</t>
  </si>
  <si>
    <t>colours</t>
  </si>
  <si>
    <t>couleurs</t>
  </si>
  <si>
    <t>Farbgruppe</t>
  </si>
  <si>
    <t>colour group</t>
  </si>
  <si>
    <t>groupe de couleurs</t>
  </si>
  <si>
    <t>Farbsortiment</t>
  </si>
  <si>
    <t>colour range</t>
  </si>
  <si>
    <t>gamme de couleurs</t>
  </si>
  <si>
    <t>Farbtabelle</t>
  </si>
  <si>
    <t>colour table</t>
  </si>
  <si>
    <t>Farbunterschied</t>
  </si>
  <si>
    <t>colour difference</t>
  </si>
  <si>
    <t>Fassade</t>
  </si>
  <si>
    <t>façade</t>
  </si>
  <si>
    <t>Fassadenergänzung</t>
  </si>
  <si>
    <t>complementary façade coils</t>
  </si>
  <si>
    <t>complément de façade</t>
  </si>
  <si>
    <t>Fassadenergänzungsband</t>
  </si>
  <si>
    <t>bande complémentaire pour façades</t>
  </si>
  <si>
    <t>Fassadenergänzungstafelblech</t>
  </si>
  <si>
    <t>complementary façade metal sheet</t>
  </si>
  <si>
    <t>Fassadenergänzungstafelbleche</t>
  </si>
  <si>
    <t>complementary façade metal sheets</t>
  </si>
  <si>
    <t>feuilles complémentaires de façade</t>
  </si>
  <si>
    <t>Fassadenfläche</t>
  </si>
  <si>
    <t>façade area</t>
  </si>
  <si>
    <t>Fassadenpaneel FX.12 (groß)</t>
  </si>
  <si>
    <t>FX.12 façade panel (large)</t>
  </si>
  <si>
    <t>grand panneau de façade FX.12</t>
  </si>
  <si>
    <t>Fassadenpaneel FX.12 (klein)</t>
  </si>
  <si>
    <t>FX.12 façade panel (small)</t>
  </si>
  <si>
    <t>petit panneau de façade FX.12</t>
  </si>
  <si>
    <t>Fassadenschraube für Holzunterkonstruktion</t>
  </si>
  <si>
    <t>façade screw for timber sub-structure framework</t>
  </si>
  <si>
    <t>vis de façade pour les sous-constructions bois</t>
  </si>
  <si>
    <t>Fassadensystem</t>
  </si>
  <si>
    <t>façade system</t>
  </si>
  <si>
    <t>Fassadenzentrierdichtring</t>
  </si>
  <si>
    <t>façade-centring joint</t>
  </si>
  <si>
    <t>Fenstereinfassungen</t>
  </si>
  <si>
    <t>window surrounds</t>
  </si>
  <si>
    <t>Fenstereinfassungen für Roto</t>
  </si>
  <si>
    <t>Roto window surrounds</t>
  </si>
  <si>
    <t>entourages pour fenêtres Roto</t>
  </si>
  <si>
    <t>Fenstereinfassungen für RotoQ-Serie</t>
  </si>
  <si>
    <t>window surrounds for RotoQ series</t>
  </si>
  <si>
    <t>Fenstereinfassungen für Velux</t>
  </si>
  <si>
    <t>Velux window surrounds</t>
  </si>
  <si>
    <t>entourages pour fenêtres Velux</t>
  </si>
  <si>
    <t>Festpunkthülse</t>
  </si>
  <si>
    <t>fixed point bushing</t>
  </si>
  <si>
    <t>douille de guidage</t>
  </si>
  <si>
    <t>Festpunkthülse für Fassadenniete</t>
  </si>
  <si>
    <t>fixed point bushing for façade rivets</t>
  </si>
  <si>
    <t>douille de guidage pour point fixe</t>
  </si>
  <si>
    <t>Festpunkthülse für Fixpunkt</t>
  </si>
  <si>
    <t>fixed point bushing for fixed point</t>
  </si>
  <si>
    <t>feuerverzinkt</t>
  </si>
  <si>
    <t>hot-dip galvanized</t>
  </si>
  <si>
    <t>feuerverzinkter Stahl</t>
  </si>
  <si>
    <t>hot-dip galvanized steel</t>
  </si>
  <si>
    <t>acier galvanisé à chaud</t>
  </si>
  <si>
    <t>Flächendichtung</t>
  </si>
  <si>
    <t>surface seal</t>
  </si>
  <si>
    <t>Flachprofil</t>
  </si>
  <si>
    <t>flat profile</t>
  </si>
  <si>
    <t>profil plat</t>
  </si>
  <si>
    <t>Flachprofil für Kaminhutstrebe</t>
  </si>
  <si>
    <t>flat profile for chimney cap leg</t>
  </si>
  <si>
    <t>Folie</t>
  </si>
  <si>
    <t>film</t>
  </si>
  <si>
    <t>FR-Kern</t>
  </si>
  <si>
    <t>FR core</t>
  </si>
  <si>
    <t>âme FR</t>
  </si>
  <si>
    <t>Froschmaulluke für Dachpaneel FX.12 (groß)</t>
  </si>
  <si>
    <t>frog-mouth vent for FX.12 roof panel (large)</t>
  </si>
  <si>
    <t>chatière pour panneau de toiture FX.12 (grand)</t>
  </si>
  <si>
    <t>Froschmaulluke für Dachpaneel FX.12 (klein)</t>
  </si>
  <si>
    <t>frog-mouth vent for FX.12 roof panel (small)</t>
  </si>
  <si>
    <t>Froschmaulluke für Dachplatte</t>
  </si>
  <si>
    <t>frog-mouth vent for roof tile</t>
  </si>
  <si>
    <t>chatière pour tuile</t>
  </si>
  <si>
    <t>Froschmaulluke für Dachplatte R.16</t>
  </si>
  <si>
    <t>frog-mouth vent for R.16 roof tile</t>
  </si>
  <si>
    <t>chatière pour R.16</t>
  </si>
  <si>
    <t>Froschmaulluke für Dachraute 29 x 29</t>
  </si>
  <si>
    <t>frog-mouth vent for rhomboid roof tile 29 x 29</t>
  </si>
  <si>
    <t>Froschmaulluke für Dachraute 44 x 44</t>
  </si>
  <si>
    <t>frog-mouth vent for rhomboid roof tile 44 x 44</t>
  </si>
  <si>
    <t>Froschmaulluke für Dachschindel</t>
  </si>
  <si>
    <t>frog-mouth vent for shingles</t>
  </si>
  <si>
    <t>chatière pour bardeau</t>
  </si>
  <si>
    <t>Froschmaulluke für Dachschindel DS.19</t>
  </si>
  <si>
    <t>frog-mouth vent for DS.19 shingle</t>
  </si>
  <si>
    <t>chatière pour bardeau DS.19</t>
  </si>
  <si>
    <t>für verdeckte Montage</t>
  </si>
  <si>
    <t>for concealed installation</t>
  </si>
  <si>
    <t>Fußteile</t>
  </si>
  <si>
    <t>mounts</t>
  </si>
  <si>
    <t>Fußteile mit Flächendichtung</t>
  </si>
  <si>
    <t>mounts with surface sealant</t>
  </si>
  <si>
    <t>Gaubenformen</t>
  </si>
  <si>
    <t>dormer shapes</t>
  </si>
  <si>
    <t>gebohrt und entgratet</t>
  </si>
  <si>
    <t>drilled and deburred</t>
  </si>
  <si>
    <t>percé et ébavuré</t>
  </si>
  <si>
    <t>Gebrauchsmuster</t>
  </si>
  <si>
    <t>utility model</t>
  </si>
  <si>
    <t>gefalzt</t>
  </si>
  <si>
    <t>welted</t>
  </si>
  <si>
    <t>gefräst</t>
  </si>
  <si>
    <t>milled</t>
  </si>
  <si>
    <t>fraisé</t>
  </si>
  <si>
    <t>gefräst und entgratet</t>
  </si>
  <si>
    <t>milled and deburred</t>
  </si>
  <si>
    <t>fraisé et ébavuré</t>
  </si>
  <si>
    <t>gelochter Bereich</t>
  </si>
  <si>
    <t>perforated surface</t>
  </si>
  <si>
    <t>genagelt</t>
  </si>
  <si>
    <t>nailed</t>
  </si>
  <si>
    <t>geprüft für die Sicherung von zwei Personen</t>
  </si>
  <si>
    <t>tested for securing of two persons</t>
  </si>
  <si>
    <t>sécurité approuvée pour deux personnes</t>
  </si>
  <si>
    <t>gesägt</t>
  </si>
  <si>
    <t>sawn</t>
  </si>
  <si>
    <t>scié</t>
  </si>
  <si>
    <t>gesägt und entgratet</t>
  </si>
  <si>
    <t>sawn and deburred</t>
  </si>
  <si>
    <t>scié et ébavuré</t>
  </si>
  <si>
    <t>Gesamthöhe</t>
  </si>
  <si>
    <t>total height</t>
  </si>
  <si>
    <t>hauteur totale</t>
  </si>
  <si>
    <t>Gesamtlänge</t>
  </si>
  <si>
    <t>total length</t>
  </si>
  <si>
    <t>geschraubt</t>
  </si>
  <si>
    <t>screwed</t>
  </si>
  <si>
    <t>gesenkt</t>
  </si>
  <si>
    <t>sunken</t>
  </si>
  <si>
    <t>gesenktes Schraubloch</t>
  </si>
  <si>
    <t>sunken screw hole</t>
  </si>
  <si>
    <t>Gewicht</t>
  </si>
  <si>
    <t>weight</t>
  </si>
  <si>
    <t>Gewicht pro Tafel</t>
  </si>
  <si>
    <t>weight per sheet</t>
  </si>
  <si>
    <t>poids d’une feuille</t>
  </si>
  <si>
    <t>Gewinde</t>
  </si>
  <si>
    <t>thread</t>
  </si>
  <si>
    <t>filetage</t>
  </si>
  <si>
    <t>Gewinde ohne Dorn</t>
  </si>
  <si>
    <t>thread without pin</t>
  </si>
  <si>
    <t>Ginstergelb</t>
  </si>
  <si>
    <t>broom yellow</t>
  </si>
  <si>
    <t>jaune genêt</t>
  </si>
  <si>
    <t>glatt mit Folie</t>
  </si>
  <si>
    <t>smooth with film coating</t>
  </si>
  <si>
    <t>lisse + feuille de protection</t>
  </si>
  <si>
    <t xml:space="preserve">Gleithaft </t>
  </si>
  <si>
    <t xml:space="preserve">sliding clip </t>
  </si>
  <si>
    <t>Gleithaft für Profilwelle und Zackenprofil</t>
  </si>
  <si>
    <t>sliding clip for ripple profile and serrated profile</t>
  </si>
  <si>
    <t>patte de fixation coulissante pour profil sinus et profil triangle</t>
  </si>
  <si>
    <t>Gleitpunkthülse</t>
  </si>
  <si>
    <t>sliding point bushing</t>
  </si>
  <si>
    <t>Gratreiter</t>
  </si>
  <si>
    <t>hip cap</t>
  </si>
  <si>
    <t>Gratreitervorkopf</t>
  </si>
  <si>
    <t>hip cap end cap</t>
  </si>
  <si>
    <t>about d’arêtier</t>
  </si>
  <si>
    <t>Graugrün</t>
  </si>
  <si>
    <t>grey-green</t>
  </si>
  <si>
    <t>vert pâle</t>
  </si>
  <si>
    <t xml:space="preserve">Grundprofil </t>
  </si>
  <si>
    <t>base profile</t>
  </si>
  <si>
    <t>Grundprofil 25</t>
  </si>
  <si>
    <t>base profile 25</t>
  </si>
  <si>
    <t>profil en applique 25</t>
  </si>
  <si>
    <t>Grundprofil 50</t>
  </si>
  <si>
    <t>base profile 50</t>
  </si>
  <si>
    <t>profil en applique 50</t>
  </si>
  <si>
    <t>Grundprofil 80</t>
  </si>
  <si>
    <t>base profile 80</t>
  </si>
  <si>
    <t>profil en applique 80</t>
  </si>
  <si>
    <t>Hafte für Stehfalzsysteme</t>
  </si>
  <si>
    <t>clips for standing seam systems</t>
  </si>
  <si>
    <t>Hafte geschraubt</t>
  </si>
  <si>
    <t>screwed clip</t>
  </si>
  <si>
    <t>Haftemagazin</t>
  </si>
  <si>
    <t>clip magazine</t>
  </si>
  <si>
    <t>chargeur de pattes de fixation</t>
  </si>
  <si>
    <t>Haftleiste</t>
  </si>
  <si>
    <t>nail strip</t>
  </si>
  <si>
    <t>Haftreiniger</t>
  </si>
  <si>
    <t>adhesive cleaner</t>
  </si>
  <si>
    <t>produit nettoyant</t>
  </si>
  <si>
    <t>Haken für Schneerechensystem</t>
  </si>
  <si>
    <t>bracket for pipe-style snow guard system</t>
  </si>
  <si>
    <t>crochet pour système pare-neige</t>
  </si>
  <si>
    <t>Haken XL für Schneerechensystem</t>
  </si>
  <si>
    <t>XL bracket for pipe-style snow guard system</t>
  </si>
  <si>
    <t>crochet XL pour système pare-neige</t>
  </si>
  <si>
    <t>Halterung für 6 Dammbalken</t>
  </si>
  <si>
    <t>bracket for 6 barrier panels</t>
  </si>
  <si>
    <t>console pour 6 batardeaux</t>
  </si>
  <si>
    <t>Hänge- und Kastenrinne</t>
  </si>
  <si>
    <t>half-round gutter and box gutter</t>
  </si>
  <si>
    <t>gouttière demi-ronde et carrée</t>
  </si>
  <si>
    <t>Hängerinne</t>
  </si>
  <si>
    <t>half-round gutter</t>
  </si>
  <si>
    <t>gouttière demi-ronde</t>
  </si>
  <si>
    <t>Hängerinne (3 m) mit Schutzfolie außen</t>
  </si>
  <si>
    <t>half-round gutter (3 m) with protective film on the outside</t>
  </si>
  <si>
    <t>gouttière demi-ronde (3 m) avec film de protection (face extérieure)</t>
  </si>
  <si>
    <t>Hängerinne (6 m) mit Schutzfolie außen</t>
  </si>
  <si>
    <t>half-round gutter (6 m) with protective film on the outside</t>
  </si>
  <si>
    <t>gouttière demi-ronde (6 m) avec film de protection (face extérieure)</t>
  </si>
  <si>
    <t>Hauerbuckel</t>
  </si>
  <si>
    <t>domed cap</t>
  </si>
  <si>
    <t>capuchon de protection</t>
  </si>
  <si>
    <t>Hellelfenbein</t>
  </si>
  <si>
    <t>light ivory</t>
  </si>
  <si>
    <t>ivoire clair</t>
  </si>
  <si>
    <t>Hellgrau</t>
  </si>
  <si>
    <t>light grey</t>
  </si>
  <si>
    <t>gris souris</t>
  </si>
  <si>
    <t>high durable coil coat</t>
  </si>
  <si>
    <t>Hochwasserschutz</t>
  </si>
  <si>
    <t>flood protection</t>
  </si>
  <si>
    <t>protection contre les crues</t>
  </si>
  <si>
    <t>Holzrahmen</t>
  </si>
  <si>
    <t>wooden frame</t>
  </si>
  <si>
    <t>châssis en bois</t>
  </si>
  <si>
    <t>Holzunterkonstruktion</t>
  </si>
  <si>
    <t>timber sub-structure framework</t>
  </si>
  <si>
    <t>sous-construction bois</t>
  </si>
  <si>
    <t>HT-Rohr</t>
  </si>
  <si>
    <t>high-temperature pipe</t>
  </si>
  <si>
    <t>HT-Rohr NW 110</t>
  </si>
  <si>
    <t>high-temperature pipe (nominal size 110)</t>
  </si>
  <si>
    <t>tuyaux HT (DN 110)</t>
  </si>
  <si>
    <t>HT-Rohr NW 125</t>
  </si>
  <si>
    <t>high-temperature pipe (nominal size 125)</t>
  </si>
  <si>
    <t>tuyaux HT (DN 125)</t>
  </si>
  <si>
    <t>HT-Rohr NW 75</t>
  </si>
  <si>
    <t>high-temperature pipe (nominal size 75)</t>
  </si>
  <si>
    <t>tuyaux HT (DN 75)</t>
  </si>
  <si>
    <t>in Falzqualität</t>
  </si>
  <si>
    <t>in fold quality</t>
  </si>
  <si>
    <t>in P.10 Qualität</t>
  </si>
  <si>
    <t>in P.10 quality</t>
  </si>
  <si>
    <t>dans la qualité de couleur P.10</t>
  </si>
  <si>
    <t>innen</t>
  </si>
  <si>
    <t>internal</t>
  </si>
  <si>
    <t>Innenecke (einteilig)</t>
  </si>
  <si>
    <t>internal corner (one-piece)</t>
  </si>
  <si>
    <t>Innenecke (mehrteilig)</t>
  </si>
  <si>
    <t>internal corner (in several parts)</t>
  </si>
  <si>
    <t>Innenumbug</t>
  </si>
  <si>
    <t>inner fold</t>
  </si>
  <si>
    <t>repli intérieur</t>
  </si>
  <si>
    <t>Jet-Lüfter-Vorkopf</t>
  </si>
  <si>
    <t>ridge vent end cap</t>
  </si>
  <si>
    <t>about de faîtière ventilée</t>
  </si>
  <si>
    <t>Kabelclip</t>
  </si>
  <si>
    <t>cable clip</t>
  </si>
  <si>
    <t>clip de passage de câbles</t>
  </si>
  <si>
    <t>Kaffeebraun</t>
  </si>
  <si>
    <t>coffee brown</t>
  </si>
  <si>
    <t>brun café</t>
  </si>
  <si>
    <t>Kaminhut</t>
  </si>
  <si>
    <t>chimney cap</t>
  </si>
  <si>
    <t>chapeau de cheminée</t>
  </si>
  <si>
    <t>Kaminhutstrebe (gebogen)</t>
  </si>
  <si>
    <t>chimney cap leg (bent)</t>
  </si>
  <si>
    <t>pied de chapeau de cheminée (incurvé)</t>
  </si>
  <si>
    <t>Karminrot</t>
  </si>
  <si>
    <t>crimson</t>
  </si>
  <si>
    <t>rouge carmin</t>
  </si>
  <si>
    <t>Kartusche</t>
  </si>
  <si>
    <t>cartridge</t>
  </si>
  <si>
    <t>Kastenrinne (3 m) mit Schutzfolie außen</t>
  </si>
  <si>
    <t>box gutter (3 m) with protective film on the outside</t>
  </si>
  <si>
    <t>gouttière carrée (3 m) avec film de protection (face extérieure)</t>
  </si>
  <si>
    <t>Kastenrinne (6 m) mit Schutzfolie außen</t>
  </si>
  <si>
    <t>box gutter (6 m) with protective film on the outside</t>
  </si>
  <si>
    <t>gouttière carrée (6 m) avec film de protection (face extérieure)</t>
  </si>
  <si>
    <t>Kastenrinne 250</t>
  </si>
  <si>
    <t>box gutter 250</t>
  </si>
  <si>
    <t>gouttière carrée 250</t>
  </si>
  <si>
    <t>Kastenrinne 333</t>
  </si>
  <si>
    <t>box gutter 333</t>
  </si>
  <si>
    <t>gouttière carrée 333</t>
  </si>
  <si>
    <t>Kastenrinnendila</t>
  </si>
  <si>
    <t>box gutter expansion joint</t>
  </si>
  <si>
    <t>joint de dilatation (gouttière carrée)</t>
  </si>
  <si>
    <t>Kastenrinnendila mit Wulst und Blende (Set)</t>
  </si>
  <si>
    <t>box gutter expansion joint with bead and cover plate (set)</t>
  </si>
  <si>
    <t>joint de dilatation (gouttière carrée) avec boudin et cache (jeu)</t>
  </si>
  <si>
    <t>Kastenrinnendila ohne Wulst und Blende</t>
  </si>
  <si>
    <t>box gutter expansion joint without bead and cover plate</t>
  </si>
  <si>
    <t>joint de dilatation sans boudin et cache (gouttière carrée)</t>
  </si>
  <si>
    <t>Kastenrinnenendboden 500</t>
  </si>
  <si>
    <t>box gutter end cap 500</t>
  </si>
  <si>
    <t>fond de gouttière carrée 500</t>
  </si>
  <si>
    <t>Kastenrinnenhaken</t>
  </si>
  <si>
    <t>box gutter bracket</t>
  </si>
  <si>
    <t>crochet de gouttière carrée</t>
  </si>
  <si>
    <t>Kastenrinnenwinkel</t>
  </si>
  <si>
    <t>box gutter corner</t>
  </si>
  <si>
    <t>équerre de gouttière carrée</t>
  </si>
  <si>
    <t>Kastenrinnenwinkel 90°</t>
  </si>
  <si>
    <t>box gutter corner 90°</t>
  </si>
  <si>
    <t>équerre de gouttière carrée 90°</t>
  </si>
  <si>
    <t>KG-Rohr</t>
  </si>
  <si>
    <t>KG pipe</t>
  </si>
  <si>
    <t>Klarlack</t>
  </si>
  <si>
    <t>clear varnish</t>
  </si>
  <si>
    <t>Klarlack abwitternd</t>
  </si>
  <si>
    <t>weathered clear varnish</t>
  </si>
  <si>
    <t>vernis transparent weatherproof</t>
  </si>
  <si>
    <t>Klebeeinfassung für Falzdächer</t>
  </si>
  <si>
    <t>bonded vent pipe cover for standing seam roofs</t>
  </si>
  <si>
    <t>raccordement de ventilation à coller pour toitures à joints debout</t>
  </si>
  <si>
    <t>Kleinformat und PREFALZ</t>
  </si>
  <si>
    <t>small format products and PREFALZ</t>
  </si>
  <si>
    <t>Kleinformate</t>
  </si>
  <si>
    <t>small format products</t>
  </si>
  <si>
    <t>Kleinformatprodukte</t>
  </si>
  <si>
    <t>produits petit format</t>
  </si>
  <si>
    <t>Klemmbereich</t>
  </si>
  <si>
    <t>clamping range</t>
  </si>
  <si>
    <t>épaisseur de serrage</t>
  </si>
  <si>
    <t>Klinge</t>
  </si>
  <si>
    <t>blade</t>
  </si>
  <si>
    <t>Klingen</t>
  </si>
  <si>
    <t>blades</t>
  </si>
  <si>
    <t>Kohlenschwarz</t>
  </si>
  <si>
    <t>carbon black</t>
  </si>
  <si>
    <t>noir charbon</t>
  </si>
  <si>
    <t>Kombinationsbeiwert</t>
  </si>
  <si>
    <t>combination coefficient</t>
  </si>
  <si>
    <t xml:space="preserve">coefficient de combinaison </t>
  </si>
  <si>
    <t>Kopfdurchmesser</t>
  </si>
  <si>
    <t>head diameter</t>
  </si>
  <si>
    <t>diamètre de la tête</t>
  </si>
  <si>
    <t>Kreuz- und Erdungsklemme</t>
  </si>
  <si>
    <t>earth/cross connector</t>
  </si>
  <si>
    <t>borne de terre</t>
  </si>
  <si>
    <t>Kreuzverbinder für Solarhalter</t>
  </si>
  <si>
    <t>cross connector for solar bracket</t>
  </si>
  <si>
    <t>connecteur pour supports solaire</t>
  </si>
  <si>
    <t>Kreuzverbinder für Solarhalter Vario und Fix, Sunny und Sunny Spezial</t>
  </si>
  <si>
    <t>cross connector for solar brackets Vario and Fix, Sunny and Sunny Special</t>
  </si>
  <si>
    <t>connecteur pour supports solaires Vario et Fix, Sunny et Sunny spécial</t>
  </si>
  <si>
    <t>Kunde</t>
  </si>
  <si>
    <t>customer</t>
  </si>
  <si>
    <t>Kundennummer</t>
  </si>
  <si>
    <t>reference number</t>
  </si>
  <si>
    <t xml:space="preserve">numéro de client </t>
  </si>
  <si>
    <t>Kunststoff</t>
  </si>
  <si>
    <t>plastic</t>
  </si>
  <si>
    <t>plastique</t>
  </si>
  <si>
    <t>Kupferbraun</t>
  </si>
  <si>
    <t>copper brown</t>
  </si>
  <si>
    <t>brun cuivré</t>
  </si>
  <si>
    <t>KVH</t>
  </si>
  <si>
    <t>construction timber</t>
  </si>
  <si>
    <t>Lackstift</t>
  </si>
  <si>
    <t>touch-up pen</t>
  </si>
  <si>
    <t>Laibung</t>
  </si>
  <si>
    <t>reveal</t>
  </si>
  <si>
    <t>Länge und Breite</t>
  </si>
  <si>
    <t>length and width</t>
  </si>
  <si>
    <t>Laubfänger</t>
  </si>
  <si>
    <t>strainer</t>
  </si>
  <si>
    <t>crapaudine</t>
  </si>
  <si>
    <t>Laufstegverbinder</t>
  </si>
  <si>
    <t>walkway connector</t>
  </si>
  <si>
    <t>élément d’assemblage pour chemin de circulation</t>
  </si>
  <si>
    <t>Lichtbronze</t>
  </si>
  <si>
    <t>light bronze</t>
  </si>
  <si>
    <t>bronze clair</t>
  </si>
  <si>
    <t xml:space="preserve">Lichteweite </t>
  </si>
  <si>
    <t>desired system length</t>
  </si>
  <si>
    <t xml:space="preserve">vide lumière </t>
  </si>
  <si>
    <t>Lichtgrau</t>
  </si>
  <si>
    <t>gris clair</t>
  </si>
  <si>
    <t>Lieferumfang</t>
  </si>
  <si>
    <t>scope of delivery</t>
  </si>
  <si>
    <t>Lieferung</t>
  </si>
  <si>
    <t>delivery</t>
  </si>
  <si>
    <t>Lieferzeit</t>
  </si>
  <si>
    <t>delivery time</t>
  </si>
  <si>
    <t>Lieferzeit auf Anfrage</t>
  </si>
  <si>
    <t>delivery time on request</t>
  </si>
  <si>
    <t>délai de livraison sur demande</t>
  </si>
  <si>
    <t>Löcheranzahl</t>
  </si>
  <si>
    <t>number of holes</t>
  </si>
  <si>
    <t>Löcheranzahl für Befestigung</t>
  </si>
  <si>
    <t>number of holes for fastening</t>
  </si>
  <si>
    <t>LT-XT TOOL TX 25</t>
  </si>
  <si>
    <t>Lüftungsquerschnitt</t>
  </si>
  <si>
    <t>air intake section</t>
  </si>
  <si>
    <t>section d’aération</t>
  </si>
  <si>
    <t>Lüftungsquerschnitt im gelochten Bereich</t>
  </si>
  <si>
    <t>air intake section of perforated surface</t>
  </si>
  <si>
    <t>section d’aération de la surface perforée</t>
  </si>
  <si>
    <t>M10 Gewinde</t>
  </si>
  <si>
    <t>M10 thread</t>
  </si>
  <si>
    <t>M10 Gewinde ohne Dorn</t>
  </si>
  <si>
    <t>M10 thread without pin</t>
  </si>
  <si>
    <t>magazinierte Schrauben</t>
  </si>
  <si>
    <t>magazined screws</t>
  </si>
  <si>
    <t>rail de vis</t>
  </si>
  <si>
    <t>Magazinschrauben</t>
  </si>
  <si>
    <t>magazine screws</t>
  </si>
  <si>
    <t>Magazinschrauber</t>
  </si>
  <si>
    <t>magazine screwdriver</t>
  </si>
  <si>
    <t>visseuse automatique</t>
  </si>
  <si>
    <t>Material</t>
  </si>
  <si>
    <t>material</t>
  </si>
  <si>
    <t>matériau</t>
  </si>
  <si>
    <t>Materialdaten</t>
  </si>
  <si>
    <t>material data</t>
  </si>
  <si>
    <t xml:space="preserve">informations relatives au matériau </t>
  </si>
  <si>
    <t>Materialstärke</t>
  </si>
  <si>
    <t>material thickness</t>
  </si>
  <si>
    <t>épaisseur du matériau</t>
  </si>
  <si>
    <t>Mattgraudunkel</t>
  </si>
  <si>
    <t>matt dark grey</t>
  </si>
  <si>
    <t>gris foncé mat</t>
  </si>
  <si>
    <t>Mattgrauhell</t>
  </si>
  <si>
    <t>matt light grey</t>
  </si>
  <si>
    <t>gris clair mat</t>
  </si>
  <si>
    <t>Matthellzink</t>
  </si>
  <si>
    <t>matt light zinc</t>
  </si>
  <si>
    <t>zinc clair mat</t>
  </si>
  <si>
    <t>Mayagold</t>
  </si>
  <si>
    <t>maya gold</t>
  </si>
  <si>
    <t>mayagold</t>
  </si>
  <si>
    <t>Metallunterkonstruktion</t>
  </si>
  <si>
    <t>metal sub-structure framework</t>
  </si>
  <si>
    <t>sous-construction métallique</t>
  </si>
  <si>
    <t>Mindestabnahmemenge</t>
  </si>
  <si>
    <t>minimum order</t>
  </si>
  <si>
    <t>commande minimum</t>
  </si>
  <si>
    <t>mit A2-Kern</t>
  </si>
  <si>
    <t>with A2 core</t>
  </si>
  <si>
    <t>avec âme A2</t>
  </si>
  <si>
    <t>mit Außenwulst und Innenumbug</t>
  </si>
  <si>
    <t>with outer bead and inner fold</t>
  </si>
  <si>
    <t>avec boudin extérieur et repli intérieur</t>
  </si>
  <si>
    <t>mit FR-Kern</t>
  </si>
  <si>
    <t>with FR core (fire retardant)</t>
  </si>
  <si>
    <t>avec âme FR</t>
  </si>
  <si>
    <t>mit Rundlochung</t>
  </si>
  <si>
    <t>with round perforations</t>
  </si>
  <si>
    <t>mit Schutzfolie</t>
  </si>
  <si>
    <t>with protective film</t>
  </si>
  <si>
    <t>mit Schutzfolie außen</t>
  </si>
  <si>
    <t>with protective film on the outside</t>
  </si>
  <si>
    <t>Mittelklemme</t>
  </si>
  <si>
    <t>middle clamp</t>
  </si>
  <si>
    <t>borne centrale</t>
  </si>
  <si>
    <t>Mittelklemme blank</t>
  </si>
  <si>
    <t>middle clamp uncoated</t>
  </si>
  <si>
    <t>borne centrale aluminium naturel</t>
  </si>
  <si>
    <t>Mittelklemme schwarz eloxiert</t>
  </si>
  <si>
    <t>middle clamp black anodised</t>
  </si>
  <si>
    <t>borne centrale anodisé noir</t>
  </si>
  <si>
    <t>Mittelsäule</t>
  </si>
  <si>
    <t>centre column</t>
  </si>
  <si>
    <t>poteau intermédiaire</t>
  </si>
  <si>
    <t>Mittelsäule (Rundprofil)</t>
  </si>
  <si>
    <t>centre column (round profile)</t>
  </si>
  <si>
    <t>poteau intermédiaire (profil rond)</t>
  </si>
  <si>
    <t>Modifikation Einfassungsplatten</t>
  </si>
  <si>
    <t>modification of cover trays</t>
  </si>
  <si>
    <t>modification des raccordements de ventilation</t>
  </si>
  <si>
    <t>Modulabsturzsicherung</t>
  </si>
  <si>
    <t>solar panel fall protection device</t>
  </si>
  <si>
    <t>vis de sécurité pour module</t>
  </si>
  <si>
    <t>Montage in der Laibung</t>
  </si>
  <si>
    <t>installation in the reveal</t>
  </si>
  <si>
    <t>Montage vor der Laibung</t>
  </si>
  <si>
    <t>installation in front of the reveal</t>
  </si>
  <si>
    <t>montage en applique</t>
  </si>
  <si>
    <t>Montagehilfe</t>
  </si>
  <si>
    <t>mounting aid</t>
  </si>
  <si>
    <t>cale d’espacement</t>
  </si>
  <si>
    <t>Montagehilfe für Sturmsicherungsclip</t>
  </si>
  <si>
    <t>storm-proof clip mounting aid</t>
  </si>
  <si>
    <t>cale d’espacement pour clip tempête</t>
  </si>
  <si>
    <t>Montagehilfe für Sturmsicherungsclip für Siding</t>
  </si>
  <si>
    <t>storm-proof clip mounting aid for siding</t>
  </si>
  <si>
    <t>Montagehilfe für Sturmsicherungsclip für Siding.x</t>
  </si>
  <si>
    <t>storm-proof clip mounting aid for siding.X</t>
  </si>
  <si>
    <t>Montagelochabdeckung</t>
  </si>
  <si>
    <t>mounting hole cover</t>
  </si>
  <si>
    <t>cache-trou</t>
  </si>
  <si>
    <t>Moosgrün</t>
  </si>
  <si>
    <t>moss green</t>
  </si>
  <si>
    <t>vert mousse</t>
  </si>
  <si>
    <t>Muffe</t>
  </si>
  <si>
    <t>sleeve</t>
  </si>
  <si>
    <t>manchon de jonction</t>
  </si>
  <si>
    <t>Mutter</t>
  </si>
  <si>
    <t>nut</t>
  </si>
  <si>
    <t>écrou</t>
  </si>
  <si>
    <t>Nachhaltigkeit</t>
  </si>
  <si>
    <t>sustainability</t>
  </si>
  <si>
    <t>Nagel</t>
  </si>
  <si>
    <t>nail</t>
  </si>
  <si>
    <t>clou</t>
  </si>
  <si>
    <t>Nagel 2,8/25</t>
  </si>
  <si>
    <t>nail 2.8/25</t>
  </si>
  <si>
    <t>clou 2,8/25</t>
  </si>
  <si>
    <t>Nagel 2,8/30</t>
  </si>
  <si>
    <t>nail 2.8/30</t>
  </si>
  <si>
    <t>clou 2,8/30</t>
  </si>
  <si>
    <t>Naturblank</t>
  </si>
  <si>
    <t>plain aluminium</t>
  </si>
  <si>
    <t>Naturblank AL 99,5 %</t>
  </si>
  <si>
    <t>plain aluminium AL 99.5 %</t>
  </si>
  <si>
    <t>Neukupfer</t>
  </si>
  <si>
    <t>new copper</t>
  </si>
  <si>
    <t>cuivre neuf</t>
  </si>
  <si>
    <t>nicht selbstklebend</t>
  </si>
  <si>
    <t>not self-adhesive</t>
  </si>
  <si>
    <t>Niederhalter</t>
  </si>
  <si>
    <t>retainer</t>
  </si>
  <si>
    <t>poteau intermédiaire de renfort</t>
  </si>
  <si>
    <t>Niete</t>
  </si>
  <si>
    <t>rivet</t>
  </si>
  <si>
    <t>Niro</t>
  </si>
  <si>
    <t>stainless steel</t>
  </si>
  <si>
    <t>Niro-Rillennagel</t>
  </si>
  <si>
    <t>stainless steel ring nail</t>
  </si>
  <si>
    <t>clou annelé en inox</t>
  </si>
  <si>
    <t>Niro-Rillennagel gebunden</t>
  </si>
  <si>
    <t>collated stainless steel ring nail</t>
  </si>
  <si>
    <t>clous annelés inoxydables en rouleau</t>
  </si>
  <si>
    <t>Niro-Schraube mit Dichtscheibe</t>
  </si>
  <si>
    <t>stainless steel screw with sealing washer</t>
  </si>
  <si>
    <t>vis inox avec rondelle d’étanchéité</t>
  </si>
  <si>
    <t>Niro-Winkellangschiebehaft</t>
  </si>
  <si>
    <t>stainless steel preformed long sliding clip</t>
  </si>
  <si>
    <t>patte longue coulissante inox</t>
  </si>
  <si>
    <t>Niro-Winkelschiebehaft</t>
  </si>
  <si>
    <t>stainless steel preformed sliding clip</t>
  </si>
  <si>
    <t>patte coulissante standard inox</t>
  </si>
  <si>
    <t>Normgraualuminium</t>
  </si>
  <si>
    <t>grey aluminium</t>
  </si>
  <si>
    <t>gris aluminium</t>
  </si>
  <si>
    <t>Normminzgrün</t>
  </si>
  <si>
    <t>mint green</t>
  </si>
  <si>
    <t>vert menthe</t>
  </si>
  <si>
    <t>Normquarzgrau</t>
  </si>
  <si>
    <t>quartz grey</t>
  </si>
  <si>
    <t>gris patine</t>
  </si>
  <si>
    <t>Normreinweiß</t>
  </si>
  <si>
    <t>standard pure white</t>
  </si>
  <si>
    <t>blanc pur</t>
  </si>
  <si>
    <t>Nussbraun</t>
  </si>
  <si>
    <t>nut brown</t>
  </si>
  <si>
    <t>brun noisette</t>
  </si>
  <si>
    <t>Oberfläche</t>
  </si>
  <si>
    <t>surface</t>
  </si>
  <si>
    <t>finition</t>
  </si>
  <si>
    <t>Oberfläche glatt</t>
  </si>
  <si>
    <t>smooth surface</t>
  </si>
  <si>
    <t>Oberfläche glatt auf Anfrage</t>
  </si>
  <si>
    <t>smooth surface on request</t>
  </si>
  <si>
    <t>finition lisse sur demande</t>
  </si>
  <si>
    <t>Oberflächen</t>
  </si>
  <si>
    <t>surfaces</t>
  </si>
  <si>
    <t>ohne Befestigungsmittel</t>
  </si>
  <si>
    <t>sans les fixations</t>
  </si>
  <si>
    <t>ohne Kreuzverbinder</t>
  </si>
  <si>
    <t>without cross connector</t>
  </si>
  <si>
    <t>sans connecteur</t>
  </si>
  <si>
    <t>ohne Schutzfolie</t>
  </si>
  <si>
    <t>without protective film</t>
  </si>
  <si>
    <t>sans film de protection</t>
  </si>
  <si>
    <t>ohne Wulst und Blende</t>
  </si>
  <si>
    <t>without bead or cover plate</t>
  </si>
  <si>
    <t>ohne Zubehör</t>
  </si>
  <si>
    <t>without accessories</t>
  </si>
  <si>
    <t>sans les accessoires</t>
  </si>
  <si>
    <t>Olivgrün</t>
  </si>
  <si>
    <t>olive green</t>
  </si>
  <si>
    <t>vert olive</t>
  </si>
  <si>
    <t>Opalgrün</t>
  </si>
  <si>
    <t>opal green</t>
  </si>
  <si>
    <t>vert opale</t>
  </si>
  <si>
    <t>Oxydrot</t>
  </si>
  <si>
    <t>oxide red</t>
  </si>
  <si>
    <t>rouge oxyde</t>
  </si>
  <si>
    <t>P.10</t>
  </si>
  <si>
    <t>P.10 Anthrazit</t>
  </si>
  <si>
    <t>P.10 anthracite</t>
  </si>
  <si>
    <t>P.10 anthracite</t>
  </si>
  <si>
    <t>P.10 Braun</t>
  </si>
  <si>
    <t>P.10 brown</t>
  </si>
  <si>
    <t>45 P.10 Bronze</t>
  </si>
  <si>
    <t>P.10 bronze</t>
  </si>
  <si>
    <t>P.10 bronze</t>
  </si>
  <si>
    <t>P.10 Bronze</t>
  </si>
  <si>
    <t>P.10 Dunkelgrau</t>
  </si>
  <si>
    <t>P.10 dark grey</t>
  </si>
  <si>
    <t>P.10 gris sombre</t>
  </si>
  <si>
    <t>P.10 Hellgrau</t>
  </si>
  <si>
    <t>P.10 light grey</t>
  </si>
  <si>
    <t>P.10 gris souris</t>
  </si>
  <si>
    <t>P.10 Moosgrün</t>
  </si>
  <si>
    <t>P.10 moss green</t>
  </si>
  <si>
    <t>P.10 Nussbraun</t>
  </si>
  <si>
    <t>P.10 nut brown</t>
  </si>
  <si>
    <t>P.10 Oxydrot</t>
  </si>
  <si>
    <t>P.10 oxide red</t>
  </si>
  <si>
    <t>P.10 Patinagrün</t>
  </si>
  <si>
    <t>P.10 patina green</t>
  </si>
  <si>
    <t>P.10 vert-de-gris</t>
  </si>
  <si>
    <t>P.10 Prefaweiß</t>
  </si>
  <si>
    <t>P.10 PREFA white</t>
  </si>
  <si>
    <t>P.10 blanc Prefa</t>
  </si>
  <si>
    <t>P.10 Qualität</t>
  </si>
  <si>
    <t>P.10 quality</t>
  </si>
  <si>
    <t>qualité de couleur P.10</t>
  </si>
  <si>
    <t>P.10 Rauchsilber</t>
  </si>
  <si>
    <t>P.10 smoke silver</t>
  </si>
  <si>
    <t>P.10 argent fumé</t>
  </si>
  <si>
    <t>P.10 Reinweiß</t>
  </si>
  <si>
    <t>P.10 pure white</t>
  </si>
  <si>
    <t>P.10 blanc pur</t>
  </si>
  <si>
    <t>P.10 Sandbraun</t>
  </si>
  <si>
    <t>P.10 sand brown</t>
  </si>
  <si>
    <t>P.10 brun sable</t>
  </si>
  <si>
    <t>P.10 Schwarz</t>
  </si>
  <si>
    <t>P.10 black</t>
  </si>
  <si>
    <t>P.10 noir</t>
  </si>
  <si>
    <t>P.10 Silbermetallic</t>
  </si>
  <si>
    <t>P.10 metallic silver</t>
  </si>
  <si>
    <t>P.10 argent métallisé</t>
  </si>
  <si>
    <t>P.10 Steingrau</t>
  </si>
  <si>
    <t>P.10 stone grey</t>
  </si>
  <si>
    <t>P.10 gris pierre</t>
  </si>
  <si>
    <t>P.10 Ziegelrot</t>
  </si>
  <si>
    <t>P.10 brick red</t>
  </si>
  <si>
    <t>P.10 rouge tuile</t>
  </si>
  <si>
    <t>P.10 Zinkgrau</t>
  </si>
  <si>
    <t>P.10 zinc grey</t>
  </si>
  <si>
    <t>P.10 gris de zinc</t>
  </si>
  <si>
    <t>passend für Ablaufrohr</t>
  </si>
  <si>
    <t>suitable for downpipe</t>
  </si>
  <si>
    <t>passend für HT/KG-Rohr</t>
  </si>
  <si>
    <t>suitable for high-temperature and foul drainage pipe</t>
  </si>
  <si>
    <t>compatible tuyaux HT et canalisations souterraines</t>
  </si>
  <si>
    <t>passend für HT/KG-Rohr NW 110</t>
  </si>
  <si>
    <t>suitable for high-temperature and foul drainage pipe (nominal size 110)</t>
  </si>
  <si>
    <t>compatible tuyaux HT et canalisations souterraines (DN 110)</t>
  </si>
  <si>
    <t>passend für HT/KG-Rohr NW 125</t>
  </si>
  <si>
    <t>suitable for high-temperature and foul drainage pipe (nominal size 125)</t>
  </si>
  <si>
    <t>passendes Sicherungssystem für Solaranlagen</t>
  </si>
  <si>
    <t>suitable safety system for solar systems</t>
  </si>
  <si>
    <t>système de sécurité adapté aux panneaux solaires</t>
  </si>
  <si>
    <t>Passschindel</t>
  </si>
  <si>
    <t>fitting shingle</t>
  </si>
  <si>
    <t>bardeau de raccord</t>
  </si>
  <si>
    <t>Pastelltürkis</t>
  </si>
  <si>
    <t>pastel turquoise</t>
  </si>
  <si>
    <t>turquoise pastel</t>
  </si>
  <si>
    <t>Patenthafte und Rillennägel</t>
  </si>
  <si>
    <t>patent clips and ring nails</t>
  </si>
  <si>
    <t>Patentniete für Sidingsergänzungsband</t>
  </si>
  <si>
    <t>patent rivet for siding complementary coil</t>
  </si>
  <si>
    <t>Patentschutz-Nr.</t>
  </si>
  <si>
    <t>patent protection no.</t>
  </si>
  <si>
    <t>N° de brevet</t>
  </si>
  <si>
    <t>Patinagrau</t>
  </si>
  <si>
    <t>patina grey</t>
  </si>
  <si>
    <t>gris quartz</t>
  </si>
  <si>
    <t>Patinagrün</t>
  </si>
  <si>
    <t>patina green</t>
  </si>
  <si>
    <t>vert-de-gris</t>
  </si>
  <si>
    <t>Perlweiß</t>
  </si>
  <si>
    <t>pearl white</t>
  </si>
  <si>
    <t>blanc perlé</t>
  </si>
  <si>
    <t>Planungsstunde</t>
  </si>
  <si>
    <t>planning session</t>
  </si>
  <si>
    <t>heure d’étude et conception</t>
  </si>
  <si>
    <t>Platte</t>
  </si>
  <si>
    <t>panel</t>
  </si>
  <si>
    <t>panneau</t>
  </si>
  <si>
    <t>Plattenmundstück</t>
  </si>
  <si>
    <t>rivet nosepiece</t>
  </si>
  <si>
    <t>embout de riveteuse</t>
  </si>
  <si>
    <t>Polyesterqualität</t>
  </si>
  <si>
    <t>polyester quality</t>
  </si>
  <si>
    <t>qualité polyester</t>
  </si>
  <si>
    <t>PREFA</t>
  </si>
  <si>
    <t>PREFA Ablaufrohr</t>
  </si>
  <si>
    <t>PREFA downpipe</t>
  </si>
  <si>
    <t>tuyaux de descente PREFA</t>
  </si>
  <si>
    <t>PREFA Ablaufrohr mit Schutzfolie</t>
  </si>
  <si>
    <t>PREFA downpipe with protective film</t>
  </si>
  <si>
    <t>PREFA Dach- und Fassadensysteme</t>
  </si>
  <si>
    <t>PREFA roof and façade systems</t>
  </si>
  <si>
    <t>PREFA Dachplatte</t>
  </si>
  <si>
    <t>PREFA roof tile</t>
  </si>
  <si>
    <t>PREFA Einfassung</t>
  </si>
  <si>
    <t>PREFA flashing</t>
  </si>
  <si>
    <t>PREFA Farben</t>
  </si>
  <si>
    <t>PREFA colours</t>
  </si>
  <si>
    <t>PREFA Farben und Oberflächen</t>
  </si>
  <si>
    <t>PREFA colours and surfaces</t>
  </si>
  <si>
    <t>couleurs et finitions PREFA</t>
  </si>
  <si>
    <t>PREFA Farbsortiment</t>
  </si>
  <si>
    <t>PREFA colour range</t>
  </si>
  <si>
    <t>la gamme de couleurs PREFA</t>
  </si>
  <si>
    <t>PREFA Fassadenergänzungsband</t>
  </si>
  <si>
    <t>PREFA complementary façade coil</t>
  </si>
  <si>
    <t>PREFA Fuge</t>
  </si>
  <si>
    <t>PREFA joint</t>
  </si>
  <si>
    <t>jointure PREFA</t>
  </si>
  <si>
    <t>PREFA Kleinformate</t>
  </si>
  <si>
    <t>PREFA small format products</t>
  </si>
  <si>
    <t>PREFA petits formats</t>
  </si>
  <si>
    <t>PREFA Produkttechnik</t>
  </si>
  <si>
    <t>PREFA Product Technology department</t>
  </si>
  <si>
    <t>service technologie produit de PREFA</t>
  </si>
  <si>
    <t>PREFA Profilschiene</t>
  </si>
  <si>
    <t>PREFA profile rail</t>
  </si>
  <si>
    <t>rail de support PREFA</t>
  </si>
  <si>
    <t>PREFA Spezialkleber</t>
  </si>
  <si>
    <t>PREFA special adhesive</t>
  </si>
  <si>
    <t>colle spéciale PREFA</t>
  </si>
  <si>
    <t>PREFABOND Aluminium Verbundplatte</t>
  </si>
  <si>
    <t>panneau composite en aluminium PREFABOND</t>
  </si>
  <si>
    <t>PREFABOND Aluminium Verbundplatte mit A2-Kern</t>
  </si>
  <si>
    <t>PREFABOND aluminium composite panel with A2 core</t>
  </si>
  <si>
    <t>panneau composite en aluminium PREFABOND avec âme A2</t>
  </si>
  <si>
    <t>PREFABOND Aluminium Verbundplatte mit FR-Kern</t>
  </si>
  <si>
    <t>PREFABOND aluminium composite panel with FR core</t>
  </si>
  <si>
    <t>panneau composite en aluminium PREFABOND avec âme FR</t>
  </si>
  <si>
    <t>PREFABOND mit FR-Kern</t>
  </si>
  <si>
    <t>PREFABOND panel with FR core</t>
  </si>
  <si>
    <t>panneaux PREFABOND avec âme FR</t>
  </si>
  <si>
    <t>PREFALZ Farbaluminiumband</t>
  </si>
  <si>
    <t>PREFALZ colour aluminium coil</t>
  </si>
  <si>
    <t>PREFALZ bande d’aluminium coloré</t>
  </si>
  <si>
    <t>PREFALZ Tafelblech</t>
  </si>
  <si>
    <t>PREFALZ metal sheet</t>
  </si>
  <si>
    <t>feuille d’aluminium PREFALZ</t>
  </si>
  <si>
    <t>PREFARENZEN</t>
  </si>
  <si>
    <t>Prefaweiß</t>
  </si>
  <si>
    <t>PREFA white</t>
  </si>
  <si>
    <t>blanc Prefa</t>
  </si>
  <si>
    <t>Preis auf Anfrage</t>
  </si>
  <si>
    <t>price upon request</t>
  </si>
  <si>
    <t>prix sur demande</t>
  </si>
  <si>
    <t>Preis und Lieferzeit auf Anfrage</t>
  </si>
  <si>
    <t>price and delivery time on request</t>
  </si>
  <si>
    <t>Preisliste</t>
  </si>
  <si>
    <t>price list</t>
  </si>
  <si>
    <t>Pressetext</t>
  </si>
  <si>
    <t>press release</t>
  </si>
  <si>
    <t>product</t>
  </si>
  <si>
    <t>produit</t>
  </si>
  <si>
    <t>Produktinformation</t>
  </si>
  <si>
    <t>product information</t>
  </si>
  <si>
    <t>informations produit</t>
  </si>
  <si>
    <t>Produktinnovationen</t>
  </si>
  <si>
    <t>new products</t>
  </si>
  <si>
    <t>les nouveautés PREFA</t>
  </si>
  <si>
    <t>Produktneuheit</t>
  </si>
  <si>
    <t>new product</t>
  </si>
  <si>
    <t>nouveauté</t>
  </si>
  <si>
    <t>Produktneuheit 2022</t>
  </si>
  <si>
    <t>new product in 2022</t>
  </si>
  <si>
    <t>Produktneuheit 2023</t>
  </si>
  <si>
    <t>new product in 2023</t>
  </si>
  <si>
    <t>Produktneuheit 2024</t>
  </si>
  <si>
    <t>new product in 2024</t>
  </si>
  <si>
    <t>nouveauté 2024</t>
  </si>
  <si>
    <t>Profil</t>
  </si>
  <si>
    <t>profile</t>
  </si>
  <si>
    <t>profil</t>
  </si>
  <si>
    <t>Profilschiene</t>
  </si>
  <si>
    <t>profile rail</t>
  </si>
  <si>
    <t>rail de support</t>
  </si>
  <si>
    <t>Profilschienenanbinder</t>
  </si>
  <si>
    <t>profile rail connector</t>
  </si>
  <si>
    <t>Profilstärke</t>
  </si>
  <si>
    <t>profile thickness</t>
  </si>
  <si>
    <t>Profiltiefe</t>
  </si>
  <si>
    <t>profile depth</t>
  </si>
  <si>
    <t>profondeur de profil</t>
  </si>
  <si>
    <t>Profilwelle</t>
  </si>
  <si>
    <t>ripple profile</t>
  </si>
  <si>
    <t>profil sinus</t>
  </si>
  <si>
    <t>Profilwelle und Zackenprofil</t>
  </si>
  <si>
    <t>ripple profile and serrated profile</t>
  </si>
  <si>
    <t>profil sinus et profil triangle</t>
  </si>
  <si>
    <t>Projektdaten</t>
  </si>
  <si>
    <t>project information</t>
  </si>
  <si>
    <t>données relatives au projet </t>
  </si>
  <si>
    <t>Pulverbeschichtung</t>
  </si>
  <si>
    <t>powder coating</t>
  </si>
  <si>
    <t>thermolaquage</t>
  </si>
  <si>
    <t>Quadratrohrblitzschutzklemme</t>
  </si>
  <si>
    <t>square downpipe lightning protection clamp</t>
  </si>
  <si>
    <t>agrafe parafoudre pour tuyau carré</t>
  </si>
  <si>
    <t>Quadratrohrhalteklemme</t>
  </si>
  <si>
    <t>square downpipe fastener</t>
  </si>
  <si>
    <t>clip de fixation carré</t>
  </si>
  <si>
    <t>Quadratrohrkessel</t>
  </si>
  <si>
    <t>square downpipe outlet</t>
  </si>
  <si>
    <t>naissance pour tuyau carré</t>
  </si>
  <si>
    <t>Quadratrohrmuffe 100</t>
  </si>
  <si>
    <t>square-to-round adapter 100</t>
  </si>
  <si>
    <t>manchon de jonction pour tuyau carré 100</t>
  </si>
  <si>
    <t>Quadratrohrmuffe 80</t>
  </si>
  <si>
    <t>square-to-round adapter 80</t>
  </si>
  <si>
    <t>manchon de jonction pour tuyau carré 80</t>
  </si>
  <si>
    <t>Quadratrohrwasserfangkasten</t>
  </si>
  <si>
    <t>square downpipe leader head</t>
  </si>
  <si>
    <t>boîte à eau pour tuyau carré</t>
  </si>
  <si>
    <t>Rabattgruppe</t>
  </si>
  <si>
    <t>discount group</t>
  </si>
  <si>
    <t>groupe de remise</t>
  </si>
  <si>
    <t>Rauchsilber</t>
  </si>
  <si>
    <t>smoke silver</t>
  </si>
  <si>
    <t>Raute</t>
  </si>
  <si>
    <t>rhomboid tile</t>
  </si>
  <si>
    <t>losange</t>
  </si>
  <si>
    <t>Raute klein</t>
  </si>
  <si>
    <t>small rhomboid tile</t>
  </si>
  <si>
    <t>petit losange</t>
  </si>
  <si>
    <t>Reinigungstuch</t>
  </si>
  <si>
    <t>cloth</t>
  </si>
  <si>
    <t>chiffon de nettoyage</t>
  </si>
  <si>
    <t>Reinweiß</t>
  </si>
  <si>
    <t>pure white</t>
  </si>
  <si>
    <t>Resedagrün</t>
  </si>
  <si>
    <t>reseda green</t>
  </si>
  <si>
    <t>vert réséda</t>
  </si>
  <si>
    <t>Rillennagel</t>
  </si>
  <si>
    <t>ring nail</t>
  </si>
  <si>
    <t>clou annelé</t>
  </si>
  <si>
    <t>Rillensickenmaschine</t>
  </si>
  <si>
    <t>crimping tool</t>
  </si>
  <si>
    <t>machine à moulurer</t>
  </si>
  <si>
    <t>Rinnenausführung</t>
  </si>
  <si>
    <t>gutter design</t>
  </si>
  <si>
    <t>conception de gouttières</t>
  </si>
  <si>
    <t>Rinnendila</t>
  </si>
  <si>
    <t>gutter expansion joint</t>
  </si>
  <si>
    <t>Rinnendila mit Wulst und Blende (Set)</t>
  </si>
  <si>
    <t>gutter expansion joint with bead and cover plate (set)</t>
  </si>
  <si>
    <t>Rinnendila ohne Wulst und Blende</t>
  </si>
  <si>
    <t>gutter expansion joint without bead and cover plate</t>
  </si>
  <si>
    <t>Rinnenhaken 250</t>
  </si>
  <si>
    <t>gutter bracket 250</t>
  </si>
  <si>
    <t>crochet de 250</t>
  </si>
  <si>
    <t>Rinnenhaken 280</t>
  </si>
  <si>
    <t>gutter bracket 280</t>
  </si>
  <si>
    <t>crochet de 280</t>
  </si>
  <si>
    <t>Rinnenhaken 333</t>
  </si>
  <si>
    <t>gutter bracket 333</t>
  </si>
  <si>
    <t>crochet de 333</t>
  </si>
  <si>
    <t>Rinnenhaken 400</t>
  </si>
  <si>
    <t>gutter bracket 400</t>
  </si>
  <si>
    <t>crochet de 400</t>
  </si>
  <si>
    <t>Rinnenhakenabmessungen</t>
  </si>
  <si>
    <t>gutter bracket dimensions</t>
  </si>
  <si>
    <t>dimensions des crochets de gouttière</t>
  </si>
  <si>
    <t>Rinnenhakennagel</t>
  </si>
  <si>
    <t>gutter bracket nail</t>
  </si>
  <si>
    <t>clou pour crochet de gouttière</t>
  </si>
  <si>
    <t>Rinnenkessel 250</t>
  </si>
  <si>
    <t>gutter outlet 250</t>
  </si>
  <si>
    <t>naissance 250</t>
  </si>
  <si>
    <t>Rinnenkessel 280</t>
  </si>
  <si>
    <t>gutter outlet 280</t>
  </si>
  <si>
    <t>naissance 280</t>
  </si>
  <si>
    <t>Rinnenkessel 333</t>
  </si>
  <si>
    <t>gutter outlet 333</t>
  </si>
  <si>
    <t>naissance 333</t>
  </si>
  <si>
    <t>Rinnenkessel 400</t>
  </si>
  <si>
    <t>gutter outlet 400</t>
  </si>
  <si>
    <t>naissance 400</t>
  </si>
  <si>
    <t>Rinnenwinkel</t>
  </si>
  <si>
    <t>gutter corner</t>
  </si>
  <si>
    <t>équerre de gouttière</t>
  </si>
  <si>
    <t>Rinnenwinkel 90°</t>
  </si>
  <si>
    <t>gutter corner 90°</t>
  </si>
  <si>
    <t>équerre de gouttière 90°</t>
  </si>
  <si>
    <t>Rohr gefalzt</t>
  </si>
  <si>
    <t>downpipe welted</t>
  </si>
  <si>
    <t>tuyau agrafé</t>
  </si>
  <si>
    <t>Rohrdurchführung</t>
  </si>
  <si>
    <t>pipe opening</t>
  </si>
  <si>
    <t>Rohreinmündung (konisch)</t>
  </si>
  <si>
    <t>Rohreinmündung ⌀ 100</t>
  </si>
  <si>
    <t>downpipe branch ⌀ 100</t>
  </si>
  <si>
    <t>embranchement ⌀ 100</t>
  </si>
  <si>
    <t>Rohreinmündung ⌀ 120</t>
  </si>
  <si>
    <t>downpipe branch ⌀ 120</t>
  </si>
  <si>
    <t>embranchement ⌀ 120</t>
  </si>
  <si>
    <t>Rohreinmündung ⌀ 80</t>
  </si>
  <si>
    <t>downpipe branch ⌀ 80</t>
  </si>
  <si>
    <t>embranchement ⌀ 80</t>
  </si>
  <si>
    <t>Rohrschelle</t>
  </si>
  <si>
    <t>pipe bracket</t>
  </si>
  <si>
    <t>Rohrschelle für Ablaufrohr</t>
  </si>
  <si>
    <t>pipe bracket for downpipe</t>
  </si>
  <si>
    <t>collier pour tuyau de descente</t>
  </si>
  <si>
    <t>Rohrschellendorn für WDVS-Rohrschellendübel</t>
  </si>
  <si>
    <t>pipe bracket bolt for ETICS pipe bracket plug</t>
  </si>
  <si>
    <t>Rohrverbinder (für Stärke: 1,6 mm)</t>
  </si>
  <si>
    <t>downpipe connector (for thickness: 1.6 mm)</t>
  </si>
  <si>
    <t>Rolleninnendurchmesser</t>
  </si>
  <si>
    <t>inside diameter of rolls</t>
  </si>
  <si>
    <t>diamètre intérieur d’une bobine</t>
  </si>
  <si>
    <t>Rundprofil 50</t>
  </si>
  <si>
    <t>round profile 50</t>
  </si>
  <si>
    <t>profil rond 50</t>
  </si>
  <si>
    <t>Rundprofil 50 (90°)</t>
  </si>
  <si>
    <t>round profile 50 (90°)</t>
  </si>
  <si>
    <t>Rundprofil 50 (Vario)</t>
  </si>
  <si>
    <t>round profile 50 (Vario)</t>
  </si>
  <si>
    <t>profil rond 50 (Vario)</t>
  </si>
  <si>
    <t>Rundprofil 80</t>
  </si>
  <si>
    <t>round profile 80</t>
  </si>
  <si>
    <t>profil rond 80</t>
  </si>
  <si>
    <t>Rundprofil 80 (90°)</t>
  </si>
  <si>
    <t>round profile 80 (90°)</t>
  </si>
  <si>
    <t>Rundprofil 80 (groß)</t>
  </si>
  <si>
    <t>round profile 80 (large)</t>
  </si>
  <si>
    <t>profil rond 80 (grand format)</t>
  </si>
  <si>
    <t>Rundprofil 80 (Vario)</t>
  </si>
  <si>
    <t>round profile 80 (Vario)</t>
  </si>
  <si>
    <t>profil rond 80 (Vario)</t>
  </si>
  <si>
    <t>Sailerklemme</t>
  </si>
  <si>
    <t>seam clamp</t>
  </si>
  <si>
    <t>bride</t>
  </si>
  <si>
    <t>Sailerklemme mit Langloch</t>
  </si>
  <si>
    <t>seam clamp with oblong hole</t>
  </si>
  <si>
    <t>bride avec trou oblong</t>
  </si>
  <si>
    <t>Saugnapf</t>
  </si>
  <si>
    <t>suction cup</t>
  </si>
  <si>
    <t>Saumrinnendila</t>
  </si>
  <si>
    <t>on-roof gutter expansion joint</t>
  </si>
  <si>
    <t>joint de dilatation pour gouttière havraise</t>
  </si>
  <si>
    <t>Saumstreifen gerillt</t>
  </si>
  <si>
    <t>starter strip (grooved)</t>
  </si>
  <si>
    <t>Saumstreifen und Abschlüsse</t>
  </si>
  <si>
    <t>starter strip and junctions</t>
  </si>
  <si>
    <t>bandes de départ et solins</t>
  </si>
  <si>
    <t>Savannenbeige</t>
  </si>
  <si>
    <t>savannah beige</t>
  </si>
  <si>
    <t>beige savane</t>
  </si>
  <si>
    <t>Scharenlänge</t>
  </si>
  <si>
    <t>tray length</t>
  </si>
  <si>
    <t>Schattenfuge</t>
  </si>
  <si>
    <t>shadow gap</t>
  </si>
  <si>
    <t>joint creux</t>
  </si>
  <si>
    <t>Schienenverbinder</t>
  </si>
  <si>
    <t>rail connector</t>
  </si>
  <si>
    <t>insert de jonction</t>
  </si>
  <si>
    <t>Schleifpapier</t>
  </si>
  <si>
    <t>sandpaper</t>
  </si>
  <si>
    <t>Schneeschutz</t>
  </si>
  <si>
    <t>snow guard system</t>
  </si>
  <si>
    <t>protection contre la neige</t>
  </si>
  <si>
    <t>Schneestopper für Dachplatte und Dachraute 29 × 29</t>
  </si>
  <si>
    <t>snow guard for roof tile and rhomboid roof tile 29 × 29</t>
  </si>
  <si>
    <t>Schneestopper für Dachraute 44 × 44</t>
  </si>
  <si>
    <t>snow guard for rhomboid roof tiles 44 × 44</t>
  </si>
  <si>
    <t>Schneestopper für R.16, FX.12 und DS.19</t>
  </si>
  <si>
    <t>snow guard for R.16, FX.12 and DS.19</t>
  </si>
  <si>
    <t>Schnittlochblende für Sidings mit Profiltiefe 22 mm</t>
  </si>
  <si>
    <t>perforated starter flashing for sidings with a profile depth of 22 mm</t>
  </si>
  <si>
    <t>cache de départ perforé pour Sidings avec profondeur de profil 22 mm</t>
  </si>
  <si>
    <t>Schnittlochblende für Sidings mit Profiltiefe 32 mm</t>
  </si>
  <si>
    <t>perforated starter flashing for sidings with a profile depth of 32 mm</t>
  </si>
  <si>
    <t>cache de départ perforé pour Sidings avec profondeur de profil 32 mm</t>
  </si>
  <si>
    <t>Schraube</t>
  </si>
  <si>
    <t>screw</t>
  </si>
  <si>
    <t>Schraubloch</t>
  </si>
  <si>
    <t>screw hole</t>
  </si>
  <si>
    <t>Schutzfolie</t>
  </si>
  <si>
    <t>protective film</t>
  </si>
  <si>
    <t>film de protection</t>
  </si>
  <si>
    <t>Schutzfolie außen</t>
  </si>
  <si>
    <t>protective film on the outside</t>
  </si>
  <si>
    <t>Schutzlack</t>
  </si>
  <si>
    <t>protective paint</t>
  </si>
  <si>
    <t>vernis de protection</t>
  </si>
  <si>
    <t>Schwarz</t>
  </si>
  <si>
    <t>black</t>
  </si>
  <si>
    <t>noir</t>
  </si>
  <si>
    <t>Schwarzgrau</t>
  </si>
  <si>
    <t>black grey</t>
  </si>
  <si>
    <t>gris noir</t>
  </si>
  <si>
    <t>Senkkopfschraube</t>
  </si>
  <si>
    <t>countersunk screw</t>
  </si>
  <si>
    <t>vis à tête fraisée</t>
  </si>
  <si>
    <t>Sicherheitsdachhaken nach EN 517-B SDH INDUSTRY 31</t>
  </si>
  <si>
    <t>roof anchor hook according to EN 517-B SDH INDUSTRY 31</t>
  </si>
  <si>
    <t>crochet de sécurité conforme à la norme EN 517-B SDH industry 31</t>
  </si>
  <si>
    <t>Sicherheitsdachhaken SDH 41</t>
  </si>
  <si>
    <t>roof anchor hook SDH 41</t>
  </si>
  <si>
    <t>Sicherungsschraube</t>
  </si>
  <si>
    <t>locking screw</t>
  </si>
  <si>
    <t>Sicherungssystem</t>
  </si>
  <si>
    <t>safety system</t>
  </si>
  <si>
    <t>Sichtfläche</t>
  </si>
  <si>
    <t>visible surface</t>
  </si>
  <si>
    <t>surface visible</t>
  </si>
  <si>
    <t>Sichtseite</t>
  </si>
  <si>
    <t>visible side</t>
  </si>
  <si>
    <t>face visible</t>
  </si>
  <si>
    <t>Siding perforiert</t>
  </si>
  <si>
    <t>perforated siding</t>
  </si>
  <si>
    <t>Siding perforé</t>
  </si>
  <si>
    <t>Siding perforiert mit Schattenfuge</t>
  </si>
  <si>
    <t>perforated siding with shadow gap</t>
  </si>
  <si>
    <t>Siding.X glatt mit X-Kantung</t>
  </si>
  <si>
    <t>siding.X smooth with X-fold</t>
  </si>
  <si>
    <t>Sidings perforiert</t>
  </si>
  <si>
    <t>perforated sidings</t>
  </si>
  <si>
    <t>Silbermetallic</t>
  </si>
  <si>
    <t>metallic silver</t>
  </si>
  <si>
    <t>argent métallisé</t>
  </si>
  <si>
    <t>Sockelknie</t>
  </si>
  <si>
    <t>swan neck</t>
  </si>
  <si>
    <t>coude étage</t>
  </si>
  <si>
    <t>Sockelknie Ausladung: 30 mm</t>
  </si>
  <si>
    <t>swan neck projection: 30 mm</t>
  </si>
  <si>
    <t>coude étage projection: 30 mm</t>
  </si>
  <si>
    <t>Sockelknie Ausladung: 60 mm</t>
  </si>
  <si>
    <t>swan neck projection: 60 mm</t>
  </si>
  <si>
    <t>coude étage projection: 60 mm</t>
  </si>
  <si>
    <t>Sockelprofil</t>
  </si>
  <si>
    <t>Solarhalter</t>
  </si>
  <si>
    <t>solar bracket</t>
  </si>
  <si>
    <t>support solaire</t>
  </si>
  <si>
    <t>Solarhalter Fix</t>
  </si>
  <si>
    <t>Fix solar bracket</t>
  </si>
  <si>
    <t>support solaire Fix</t>
  </si>
  <si>
    <t>Solarhalter Fix 120 auf Sparren ohne Kreuzverbinder</t>
  </si>
  <si>
    <t>Fix solar bracket 120 on rafters without cross connector</t>
  </si>
  <si>
    <t>support solaire Fix 120 sur chevrons sans connecteur</t>
  </si>
  <si>
    <t>Solarhalter Fix 220 auf Sparren ohne Kreuzverbinder</t>
  </si>
  <si>
    <t>Fix solar bracket 220 on rafters without cross connector</t>
  </si>
  <si>
    <t>support solaire Fix 220 sur chevrons sans connecteur</t>
  </si>
  <si>
    <t>Solarhalter Fix auf mind. 30 mm Schalung geschraubt ohne Kreuzverbinder</t>
  </si>
  <si>
    <t>Fix solar bracket on at least 30 mm screwed without cross connector</t>
  </si>
  <si>
    <t>support solaire Fix vissé sur voligeage de 30 mm min. sans connecteur</t>
  </si>
  <si>
    <t>Solarhalter mit Abdeckkappe</t>
  </si>
  <si>
    <t>solar bracket with protective cap</t>
  </si>
  <si>
    <t>support solaire avec cache</t>
  </si>
  <si>
    <t>Solarhalter Prefalz Vario ohne Kreuzverbinder</t>
  </si>
  <si>
    <t>Vario Prefalz solar bracket without cross connector</t>
  </si>
  <si>
    <t>support solaire PREFALZ Vario sans connecteur</t>
  </si>
  <si>
    <t>Solarhalter Sunny Spezial für Dachplattenrille</t>
  </si>
  <si>
    <t>Sunny Special solar bracket for overlap rib</t>
  </si>
  <si>
    <t>support solaire Sunny spécial pour onde de tuile</t>
  </si>
  <si>
    <t>Solarhalter Vario</t>
  </si>
  <si>
    <t>Vario solar bracket</t>
  </si>
  <si>
    <t>support solaire Vario</t>
  </si>
  <si>
    <t>Solarhalter Vario 120 auf Sparren ohne Kreuzverbinder</t>
  </si>
  <si>
    <t>Vario solar bracket 120 on rafters without cross connector</t>
  </si>
  <si>
    <t>support solaire Vario 120 sur chevrons sans connecteur</t>
  </si>
  <si>
    <t>Solarhalter Vario 220 auf Sparren ohne Kreuzverbinder</t>
  </si>
  <si>
    <t>Vario solar bracket 220 on rafters without cross connector</t>
  </si>
  <si>
    <t>support solaire Vario 220 sur chevrons sans connecteur</t>
  </si>
  <si>
    <t>Solarhalter Vario auf mind. 30 mm Schalung geschraubt ohne Kreuzverbinder</t>
  </si>
  <si>
    <t>Vario solar bracket on at least 30 mm screwed without cross connector</t>
  </si>
  <si>
    <t>support solaire Vario vissé sur voligeage de 30 mm min. sans connecteur</t>
  </si>
  <si>
    <t>Solarmontagesystem</t>
  </si>
  <si>
    <t>solar panel mounting system</t>
  </si>
  <si>
    <t>accessoires pour panneaux solaires</t>
  </si>
  <si>
    <t>Solarsystem</t>
  </si>
  <si>
    <t>solar panel system</t>
  </si>
  <si>
    <t>Sonderanfertigung Ausfräsungen Dammbalken</t>
  </si>
  <si>
    <t>special design of barrier panel cut-outs</t>
  </si>
  <si>
    <t>réalisations sur mesure du fraisage des batardeaux</t>
  </si>
  <si>
    <t>Sonderbaubreite</t>
  </si>
  <si>
    <t>special visible width</t>
  </si>
  <si>
    <t>Sonderrohreinmündung</t>
  </si>
  <si>
    <t>special downpipe branch</t>
  </si>
  <si>
    <t>Sonderwinkel</t>
  </si>
  <si>
    <t>special gutter corner</t>
  </si>
  <si>
    <t>angle spécial</t>
  </si>
  <si>
    <t>sonstige Materialien</t>
  </si>
  <si>
    <t>other materials</t>
  </si>
  <si>
    <t>autres matériaux</t>
  </si>
  <si>
    <t>Sonstiges</t>
  </si>
  <si>
    <t>other</t>
  </si>
  <si>
    <t>autres</t>
  </si>
  <si>
    <t>sonstiges Zubehör</t>
  </si>
  <si>
    <t>other accessories</t>
  </si>
  <si>
    <t>autres accessoires</t>
  </si>
  <si>
    <t>Sortimentsbereinigung</t>
  </si>
  <si>
    <t>adjustment of product range</t>
  </si>
  <si>
    <t>Spannstück mit Sechskantschraube (bündige Montage in der Laibung)</t>
  </si>
  <si>
    <t>compression clamp with hex-head screw (flush installation in the reveal)</t>
  </si>
  <si>
    <t>pièce de serrage avec vis à six pans (montage dans l’embrasure)</t>
  </si>
  <si>
    <t>Spannstück mit Sterngriff (bündige Montage in der Laibung)</t>
  </si>
  <si>
    <t>compression clamp with star-shaped handle (flush installation in the reveal)</t>
  </si>
  <si>
    <t>pièce de serrage à poignée étoile (montage dans l’embrasure)</t>
  </si>
  <si>
    <t>Spannung</t>
  </si>
  <si>
    <t>pressure</t>
  </si>
  <si>
    <t xml:space="preserve">tension </t>
  </si>
  <si>
    <t>Spezialbohrer</t>
  </si>
  <si>
    <t>special drill bit</t>
  </si>
  <si>
    <t>Spezialbohrer für Aluminiumunterkonstruktion</t>
  </si>
  <si>
    <t>special drill bit for aluminium supporting bracket and rail systems</t>
  </si>
  <si>
    <t>Spezialbohrer für Holzunterkonstruktion</t>
  </si>
  <si>
    <t>special drill bit for timber sub-structure framework</t>
  </si>
  <si>
    <t>foret spécial pour les sous-constructions bois</t>
  </si>
  <si>
    <t>Spezialschraube</t>
  </si>
  <si>
    <t>special screw</t>
  </si>
  <si>
    <t>vis spéciale</t>
  </si>
  <si>
    <t>Spezialschraube für Aluminiumunterkonstruktion</t>
  </si>
  <si>
    <t>special screw for aluminium sub-structure framework</t>
  </si>
  <si>
    <t>vis spéciale pour les sous-constructions en aluminium</t>
  </si>
  <si>
    <t>Spezialschraube für Holzunterkonstruktion</t>
  </si>
  <si>
    <t>vis spéciale pour les sous-constructions bois</t>
  </si>
  <si>
    <t>Spezialschraube für Stahlunterkonstruktion</t>
  </si>
  <si>
    <t>special screw for steel sub-structure framework</t>
  </si>
  <si>
    <t>vis spéciale pour les sous-constructions métalliques</t>
  </si>
  <si>
    <t>Spezialschraube M6×60 mm</t>
  </si>
  <si>
    <t>special screw M6×60 mm</t>
  </si>
  <si>
    <t>Spiralbohrer HSS</t>
  </si>
  <si>
    <t>twist drill HSS</t>
  </si>
  <si>
    <t>foret hélicoïdal HSS</t>
  </si>
  <si>
    <t>Spiralbohrer HSS Smart Step</t>
  </si>
  <si>
    <t>twist drill HSS Smart Step</t>
  </si>
  <si>
    <t>foret hélicoïdal HSS Smart Step</t>
  </si>
  <si>
    <t>Stahl</t>
  </si>
  <si>
    <t>steel</t>
  </si>
  <si>
    <t>acier</t>
  </si>
  <si>
    <t>Standrohr</t>
  </si>
  <si>
    <t>reinforced downpipe</t>
  </si>
  <si>
    <t>dauphin</t>
  </si>
  <si>
    <t>Startplatte</t>
  </si>
  <si>
    <t>leading plate</t>
  </si>
  <si>
    <t>Startplatte für Wandraute 20 × 20</t>
  </si>
  <si>
    <t>leading plate for rhomboid façade tile 20 × 20</t>
  </si>
  <si>
    <t>demi-losange de départ 20 × 20 (façade)</t>
  </si>
  <si>
    <t>Startplatte für Wandraute 29 × 29</t>
  </si>
  <si>
    <t>leading plate for rhomboid façade tile 29 × 29</t>
  </si>
  <si>
    <t>demi-losange de départ 29 × 29 (façade)</t>
  </si>
  <si>
    <t>Startprofil</t>
  </si>
  <si>
    <t>starter profile</t>
  </si>
  <si>
    <t>profil de départ</t>
  </si>
  <si>
    <t>Stecküberschubleiste</t>
  </si>
  <si>
    <t>insertable coulisseau</t>
  </si>
  <si>
    <t>coulisseau emboîtable </t>
  </si>
  <si>
    <t>Stehfalzsysteme</t>
  </si>
  <si>
    <t>standing seam systems</t>
  </si>
  <si>
    <t>joint debout</t>
  </si>
  <si>
    <t>Steingrau</t>
  </si>
  <si>
    <t>stone grey</t>
  </si>
  <si>
    <t>gris pierre</t>
  </si>
  <si>
    <t>fascia bracket</t>
  </si>
  <si>
    <t>crochet de larmier</t>
  </si>
  <si>
    <t>Stirnbretthaken für Kastenrinne</t>
  </si>
  <si>
    <t>fascia bracket for box gutter</t>
  </si>
  <si>
    <t>crochet de larmier pour gouttière carrée</t>
  </si>
  <si>
    <t>Stoßausbildung</t>
  </si>
  <si>
    <t>réalisation des joints </t>
  </si>
  <si>
    <t>Stoßverbindertafel</t>
  </si>
  <si>
    <t>joint connector plate</t>
  </si>
  <si>
    <t>Strangpressprofil</t>
  </si>
  <si>
    <t>extruded profile</t>
  </si>
  <si>
    <t>profil extrudé</t>
  </si>
  <si>
    <t>Stücklänge</t>
  </si>
  <si>
    <t>piece length</t>
  </si>
  <si>
    <t>longueur des éléments</t>
  </si>
  <si>
    <t>Stufenbohrer</t>
  </si>
  <si>
    <t>step drill bit</t>
  </si>
  <si>
    <t>foret étagé</t>
  </si>
  <si>
    <t>Sturmsicherungsclip für Siding 500 und 600</t>
  </si>
  <si>
    <t>storm-proof clip for siding 500 and 600</t>
  </si>
  <si>
    <t>clip tempête pour Siding 500 et 600</t>
  </si>
  <si>
    <t>Stutzen eingeschweißt</t>
  </si>
  <si>
    <t>outlet soldered</t>
  </si>
  <si>
    <t>supports soudés</t>
  </si>
  <si>
    <t>Stutzen mit Klebeflansch</t>
  </si>
  <si>
    <t>outlet with bonding flange</t>
  </si>
  <si>
    <t>moignon plat</t>
  </si>
  <si>
    <t>Symbolerklärung</t>
  </si>
  <si>
    <t>explanation of symbols</t>
  </si>
  <si>
    <t>System</t>
  </si>
  <si>
    <t>system</t>
  </si>
  <si>
    <t>système</t>
  </si>
  <si>
    <t>Tafel</t>
  </si>
  <si>
    <t>sheet</t>
  </si>
  <si>
    <t>Tafelblech</t>
  </si>
  <si>
    <t>feuille d’aluminium</t>
  </si>
  <si>
    <t>Tafellochblech in Polyesterqualität</t>
  </si>
  <si>
    <t>perforated sheet metal in polyester quality</t>
  </si>
  <si>
    <t>feuille d’aluminium perforée en qualité polyester</t>
  </si>
  <si>
    <t>Taschenprofil (Haltewinkel)</t>
  </si>
  <si>
    <t>channel profile (flashing strip)</t>
  </si>
  <si>
    <t>profil d’accrochage</t>
  </si>
  <si>
    <t>Taschenprofil für Profilwelle (gekantet)</t>
  </si>
  <si>
    <t>channel profile for ripple profile (canted)</t>
  </si>
  <si>
    <t>profil replié pour profil sinus</t>
  </si>
  <si>
    <t>Taschenprofile</t>
  </si>
  <si>
    <t>channel profiles</t>
  </si>
  <si>
    <t>Taubenblau</t>
  </si>
  <si>
    <t>dusty blue</t>
  </si>
  <si>
    <t>bleu pigeon</t>
  </si>
  <si>
    <t>TAURUS-BEF-10</t>
  </si>
  <si>
    <t>Taurus-Rail auf PREFA Kleinformaten</t>
  </si>
  <si>
    <t>Taurus rails on PREFA small format products</t>
  </si>
  <si>
    <t>technische Informationen</t>
  </si>
  <si>
    <t>technical information</t>
  </si>
  <si>
    <t>informations techniques</t>
  </si>
  <si>
    <t>Tiefe/Breite/Höhe</t>
  </si>
  <si>
    <t>depth/width/height</t>
  </si>
  <si>
    <t>profondeur/largeur/hauteur</t>
  </si>
  <si>
    <t>Tiefenanschlag</t>
  </si>
  <si>
    <t>depth stop</t>
  </si>
  <si>
    <t>Tiefenanschlag für Stufenbohrer</t>
  </si>
  <si>
    <t>step drill bit depth stop</t>
  </si>
  <si>
    <t>butée de profondeur pour foret étagé</t>
  </si>
  <si>
    <t>Türkisblau</t>
  </si>
  <si>
    <t>turquoise blue</t>
  </si>
  <si>
    <t>bleu turquoise</t>
  </si>
  <si>
    <t>Türmer &amp; Vordächer</t>
  </si>
  <si>
    <t>towers &amp; canopies</t>
  </si>
  <si>
    <t>TX 20</t>
  </si>
  <si>
    <t>Überbügel für Aluminiumdachrinne</t>
  </si>
  <si>
    <t>reinforcement hanger for aluminium gutter</t>
  </si>
  <si>
    <t>bride de renfort pour gouttières en aluminium</t>
  </si>
  <si>
    <t>Übergang von eckig auf rund</t>
  </si>
  <si>
    <t>transition from square to round</t>
  </si>
  <si>
    <t>transition de section carrée à section circulaire</t>
  </si>
  <si>
    <t>Überschubleiste</t>
  </si>
  <si>
    <t>coulisseau</t>
  </si>
  <si>
    <t xml:space="preserve">coulisseau </t>
  </si>
  <si>
    <t>unbearbeitet</t>
  </si>
  <si>
    <t>unprocessed</t>
  </si>
  <si>
    <t>non façonné </t>
  </si>
  <si>
    <t>Universaleinfassung</t>
  </si>
  <si>
    <t>universal vent pipe cover</t>
  </si>
  <si>
    <t>Universaleinfassung (2-teilig)</t>
  </si>
  <si>
    <t>universal vent pipe cover (two parts)</t>
  </si>
  <si>
    <t>Unterlagsplatte für DS.19 und Dachraute 44 × 44</t>
  </si>
  <si>
    <t>base plate for DS.19 and rhomboid roof tile 44 × 44</t>
  </si>
  <si>
    <t>U-Profil</t>
  </si>
  <si>
    <t>U-profile</t>
  </si>
  <si>
    <t>profil en U</t>
  </si>
  <si>
    <t>U-Profil 25</t>
  </si>
  <si>
    <t>U-profile 25</t>
  </si>
  <si>
    <t>profil en U 25</t>
  </si>
  <si>
    <t>U-Profil 50</t>
  </si>
  <si>
    <t>U-profile 50</t>
  </si>
  <si>
    <t>profil en U 50</t>
  </si>
  <si>
    <t>U-Profil 80</t>
  </si>
  <si>
    <t>U-profile 80</t>
  </si>
  <si>
    <t>profil en U 80</t>
  </si>
  <si>
    <t>Velux</t>
  </si>
  <si>
    <t>Verbundplatte</t>
  </si>
  <si>
    <t>composite panel</t>
  </si>
  <si>
    <t>panneau composite</t>
  </si>
  <si>
    <t>Verbundplatten</t>
  </si>
  <si>
    <t>composite panels</t>
  </si>
  <si>
    <t>panneaux composites</t>
  </si>
  <si>
    <t>verdeckte Montage</t>
  </si>
  <si>
    <t>concealed installation</t>
  </si>
  <si>
    <t>montage invisible</t>
  </si>
  <si>
    <t>verkleidet</t>
  </si>
  <si>
    <t>clad</t>
  </si>
  <si>
    <t>Verpackungseinheit</t>
  </si>
  <si>
    <t>packing unit</t>
  </si>
  <si>
    <t>unité d’emballage</t>
  </si>
  <si>
    <t>Verrechnungseinheit</t>
  </si>
  <si>
    <t>unit</t>
  </si>
  <si>
    <t>Verschnitt</t>
  </si>
  <si>
    <t>offcuts</t>
  </si>
  <si>
    <t>déchets de coupe </t>
  </si>
  <si>
    <t>verzinkt</t>
  </si>
  <si>
    <t>galvanised</t>
  </si>
  <si>
    <t>verzinkter Stahl</t>
  </si>
  <si>
    <t>galvanised steel</t>
  </si>
  <si>
    <t>acier galvanisé</t>
  </si>
  <si>
    <t>Vogelschutzgitter</t>
  </si>
  <si>
    <t>bird screen</t>
  </si>
  <si>
    <t>grille anti-insectes</t>
  </si>
  <si>
    <t>Vollschalung</t>
  </si>
  <si>
    <t>fully supported substrate</t>
  </si>
  <si>
    <t>vorbohren</t>
  </si>
  <si>
    <t>pre-drill</t>
  </si>
  <si>
    <t>Vorderseite</t>
  </si>
  <si>
    <t>front</t>
  </si>
  <si>
    <t>face endroit</t>
  </si>
  <si>
    <t>vormontierte Modulklemme</t>
  </si>
  <si>
    <t>pre-mounted solar panel clamp</t>
  </si>
  <si>
    <t>fixation de module préinstallée</t>
  </si>
  <si>
    <t>Walnuss braun </t>
  </si>
  <si>
    <t>walnut</t>
  </si>
  <si>
    <t>Wandhalterung</t>
  </si>
  <si>
    <t>console murale</t>
  </si>
  <si>
    <t>Wandprofil</t>
  </si>
  <si>
    <t>wall profile</t>
  </si>
  <si>
    <t>profil mural</t>
  </si>
  <si>
    <t>Wandraute 29 × 29</t>
  </si>
  <si>
    <t>rhomboid façade tile 29 × 29</t>
  </si>
  <si>
    <t>losange de façade 29 × 29</t>
  </si>
  <si>
    <t>Wandschindel XL</t>
  </si>
  <si>
    <t>XL façade shingle</t>
  </si>
  <si>
    <t>bardeau de façade XL</t>
  </si>
  <si>
    <t>Wärmedämmung</t>
  </si>
  <si>
    <t>thermal insulation</t>
  </si>
  <si>
    <t>isolation thermique</t>
  </si>
  <si>
    <t>Wassersammler für Quadratrohr</t>
  </si>
  <si>
    <t>square downpipe water collector</t>
  </si>
  <si>
    <t>WDVS-Rohrschellendübel</t>
  </si>
  <si>
    <t>ETICS pipe bracket plug</t>
  </si>
  <si>
    <t>cheville d’isolation pour collier (ite)</t>
  </si>
  <si>
    <t>Winkelschiebehaft</t>
  </si>
  <si>
    <t>preformed sliding clip</t>
  </si>
  <si>
    <t>Winkelstehfalzhaft</t>
  </si>
  <si>
    <t>preformed fixed clip</t>
  </si>
  <si>
    <t>Wulst</t>
  </si>
  <si>
    <t>bead</t>
  </si>
  <si>
    <t>boudin</t>
  </si>
  <si>
    <t>Wulst und Blende</t>
  </si>
  <si>
    <t>bead and cover plate</t>
  </si>
  <si>
    <t>boudin et cache</t>
  </si>
  <si>
    <t>Zackenprofil</t>
  </si>
  <si>
    <t>serrated profile</t>
  </si>
  <si>
    <t>profil triangle</t>
  </si>
  <si>
    <t>Ziegelrot</t>
  </si>
  <si>
    <t>brick red</t>
  </si>
  <si>
    <t>rouge tuile</t>
  </si>
  <si>
    <t>Zinkgrau</t>
  </si>
  <si>
    <t>zinc grey</t>
  </si>
  <si>
    <t>gris de zinc</t>
  </si>
  <si>
    <t>Zinngrau</t>
  </si>
  <si>
    <t>tin grey</t>
  </si>
  <si>
    <t>gris trafic</t>
  </si>
  <si>
    <t>zur Befestigung von Taurus-Rail auf PREFA Kleinformaten</t>
  </si>
  <si>
    <t>for fastening Taurus rails on PREFA small format products</t>
  </si>
  <si>
    <t>pour la fixation du rail Taurus sur les produits petits formats de PREFA</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</si>
  <si>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</si>
  <si>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</si>
  <si>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</si>
  <si>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</si>
  <si>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</si>
  <si>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</si>
  <si>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</si>
  <si>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</si>
  <si>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</si>
  <si>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</si>
  <si>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</si>
  <si>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</si>
  <si>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</si>
  <si>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</si>
  <si>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</si>
  <si>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</si>
  <si>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</si>
  <si>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</si>
  <si>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</si>
  <si>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</si>
  <si>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</si>
  <si>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</si>
  <si>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</si>
  <si>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</si>
  <si>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</si>
  <si>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</si>
  <si>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</si>
  <si>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</si>
  <si>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</si>
  <si>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</si>
  <si>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</si>
  <si>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</si>
  <si>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</si>
  <si>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</si>
  <si>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</si>
  <si>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</si>
  <si>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</si>
  <si>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</si>
  <si>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</si>
  <si>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</si>
  <si>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</si>
  <si>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</si>
  <si>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</si>
  <si>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</si>
  <si>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</si>
  <si>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</si>
  <si>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</si>
  <si>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</si>
  <si>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</si>
  <si>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</si>
  <si>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</si>
  <si>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</si>
  <si>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</si>
  <si>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</si>
  <si>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</si>
  <si>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</si>
  <si>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</si>
  <si>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</si>
  <si>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</si>
  <si>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</si>
  <si>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</si>
  <si>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</si>
  <si>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</si>
  <si>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</si>
  <si>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</si>
  <si>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</si>
  <si>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</si>
  <si>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</si>
  <si>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</si>
  <si>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</si>
  <si>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</si>
  <si>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</si>
  <si>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</si>
  <si>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</si>
  <si>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</si>
  <si>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</si>
  <si>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</si>
  <si>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</si>
  <si>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</si>
  <si>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</si>
  <si>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</si>
  <si>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</si>
  <si>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</si>
  <si>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</si>
  <si>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</si>
  <si>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</si>
  <si>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</si>
  <si>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</si>
  <si>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</si>
  <si>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</si>
  <si>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</si>
  <si>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</si>
  <si>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</si>
  <si>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</si>
  <si>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</si>
  <si>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</si>
  <si>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</si>
  <si>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</si>
  <si>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</si>
  <si>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</si>
  <si>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</si>
  <si>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</si>
  <si>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</si>
  <si>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</si>
  <si>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</si>
  <si>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Dachplatte R.16 und FX.12; Stucco; ⌀ 80–125 mm</t>
  </si>
  <si>
    <t>vent pipe cover for R.16 roof tile and FX.12, stucco, ⌀ 80–125 mm</t>
  </si>
  <si>
    <t>raccordement de ventilation pour R.16 et FX.12 ; Stucco ; ⌀ 80-125 mm</t>
  </si>
  <si>
    <t>Conversa per Tegola R.16 e FX.12, goffrata, Ø 80 - 125 mm</t>
  </si>
  <si>
    <t>Prostup pro panely R.16 a FX.12, Stucco, Ø 80 - 125 mm</t>
  </si>
  <si>
    <t>Element wentylacyjny dla Dachówka R.16 i FX.12, stucco, ⌀ 80–125 mm</t>
  </si>
  <si>
    <t>kivezető elem R.16 tetőfedő elemhez és FX.12 panelhez, stukkó, Ø 80 - 125 mm</t>
  </si>
  <si>
    <t>prestupový prvok pre strešný panel R.16 a stešný panel FX.12, Stucco, Ø 80 - 125 mm</t>
  </si>
  <si>
    <t>inwerkplaat voor dakplaat R.16 en FX.12, stucco, ⌀ 80 – 125 mm</t>
  </si>
  <si>
    <t>prehodna plošča za strešno ploščo R.16 in FX.12, stucco, Ø 80-125 mm</t>
  </si>
  <si>
    <t>infattningsplatta för takplatta R.16 och FX.12, stuckatur, ⌀ 80-125 mm</t>
  </si>
  <si>
    <t>indfatningsplade til tagplade R.16 og FX.12, stucco, ⌀ 80–125 mm</t>
  </si>
  <si>
    <t>innfatningsplate for takplate R.16 og FX.12, stucco, ⌀ 80–125 mm</t>
  </si>
  <si>
    <t>Podložna ploča za krovnu ploču R.16 i FX.12; stucco, ⌀ 80-125 mm</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</si>
  <si>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</si>
  <si>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</si>
  <si>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</si>
  <si>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</si>
  <si>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</si>
  <si>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</si>
  <si>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</si>
  <si>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</si>
  <si>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</si>
  <si>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</si>
  <si>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</si>
  <si>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</si>
  <si>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</si>
  <si>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</si>
  <si>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inkl. Akkus und Ladegerät</t>
  </si>
  <si>
    <t>including batteries and charger</t>
  </si>
  <si>
    <t>incluant les piles et le chargeur</t>
  </si>
  <si>
    <t>incluse batterie e caricabatterie</t>
  </si>
  <si>
    <t>včetně baterií a nabíječky</t>
  </si>
  <si>
    <t>w tym baterie i ładowarka</t>
  </si>
  <si>
    <t>akkumulátorokkal és töltővel együtt</t>
  </si>
  <si>
    <t>vrátane batérií a nabíjačky</t>
  </si>
  <si>
    <t>inclusief batterijen en oplader</t>
  </si>
  <si>
    <t>vključno z baterijami in polnilnikom</t>
  </si>
  <si>
    <t>inklusive batterier och laddare</t>
  </si>
  <si>
    <t>inklusive batterier og oplader</t>
  </si>
  <si>
    <t>inkludert batterier og lader</t>
  </si>
  <si>
    <t>uključujući baterije i punjač</t>
  </si>
  <si>
    <t>exkl. Akkus und Ladegerät</t>
  </si>
  <si>
    <t>excluding batteries and charger</t>
  </si>
  <si>
    <t>excluant les piles et le chargeur</t>
  </si>
  <si>
    <t>escluse batterie e caricabatterie</t>
  </si>
  <si>
    <t>bez baterií a nabíječky</t>
  </si>
  <si>
    <t>bez baterii i ładowarki</t>
  </si>
  <si>
    <t>akkumulátorok és töltő nélkül</t>
  </si>
  <si>
    <t>bez batérií a nabíjačky</t>
  </si>
  <si>
    <t>exclusief batterijen en oplader</t>
  </si>
  <si>
    <t>brez baterij in polnilnika</t>
  </si>
  <si>
    <t>exklusive batterier och laddare</t>
  </si>
  <si>
    <t>eksklusive batterier og oplader</t>
  </si>
  <si>
    <t>uten batterier og lader</t>
  </si>
  <si>
    <t>bez baterija i punjača</t>
  </si>
  <si>
    <t>nur in 45 Bronze verfügbar</t>
  </si>
  <si>
    <t>only available in 45 Bronze</t>
  </si>
  <si>
    <t>disponible uniquement en 45 Bronze</t>
  </si>
  <si>
    <t>disponibile solo in 45 Bronzo</t>
  </si>
  <si>
    <t>k dispozici pouze v 45 bronzové</t>
  </si>
  <si>
    <t>dostępny tylko w kolorze 45 Brązu</t>
  </si>
  <si>
    <t>csak 45 bronzban elérhető</t>
  </si>
  <si>
    <t>k dispozícii iba v 45 bronzovej</t>
  </si>
  <si>
    <t>alleen beschikbaar in 45 brons</t>
  </si>
  <si>
    <t>na voljo samo v 45 bronasti</t>
  </si>
  <si>
    <t>endast tillgänglig i 45 brons</t>
  </si>
  <si>
    <t>kun tilgængelig i 45 bronze</t>
  </si>
  <si>
    <t>kun tilgjengelig i 45 bronse</t>
  </si>
  <si>
    <t>dostupno samo u 45 bronci</t>
  </si>
  <si>
    <t>Gummidichtung passend für HT/KG (NW 125 mm)</t>
  </si>
  <si>
    <t>suitable for high-temperature and foul drainage pipe (nominal size 125 mm)</t>
  </si>
  <si>
    <t>joint en caoutchouc compatible tuyaux HT et canalisations souterraines (DN 125 mm)</t>
  </si>
  <si>
    <t>Guarnizione in gomma per raccordi al tubo HT/KG NW 125 mm</t>
  </si>
  <si>
    <t>Gumové těsnění pro zaústění do HT/KG DN 125 mm</t>
  </si>
  <si>
    <t>do rury wywiewnej kanalizacji  (średnica nominalna  125 mm) ????</t>
  </si>
  <si>
    <t>gumitömítés 125 mm-es PVC csőhöz</t>
  </si>
  <si>
    <t>gumové tesnenie sedí pre PVC DN 125 mm</t>
  </si>
  <si>
    <t>rubberdichting geschikt voor HT/KG (NW 125 mm)</t>
  </si>
  <si>
    <t>gumijasto tesnilo za HAT/KG NW 125 mm</t>
  </si>
  <si>
    <t>gummitätning lämplig för HT/KG (NV 125 mm)</t>
  </si>
  <si>
    <t>gummitætning passer til HT/KG (NW 125 mm)</t>
  </si>
  <si>
    <t>gummitetning passer til HT/KG (NW 125 mm)</t>
  </si>
  <si>
    <t>Gumena brtva prikladna za HT/KG (NW 125 mm)</t>
  </si>
  <si>
    <t>80 mm</t>
  </si>
  <si>
    <t>Gummidichtung passend für HT/KG</t>
  </si>
  <si>
    <t>joint en caoutchouc compatible tuyaux HT et canalisations souterraines</t>
  </si>
  <si>
    <t>Guarnizione in gomma per raccordi al tubo HT/KG</t>
  </si>
  <si>
    <t>Gumové těsnění pro zaústění do HT/KG</t>
  </si>
  <si>
    <t>do rury wywiewnej kanalizacji</t>
  </si>
  <si>
    <t>gumové tesnenie sedí pre PVC</t>
  </si>
  <si>
    <t>rubberdichting geschikt voor HT/KG</t>
  </si>
  <si>
    <t>gumijasto tesnilo za HAT/KG</t>
  </si>
  <si>
    <t>gummitätning lämplig för HT/KG</t>
  </si>
  <si>
    <t>gummitætning passer til HT/KG</t>
  </si>
  <si>
    <t xml:space="preserve">gummitetning passer til HT/KG </t>
  </si>
  <si>
    <t>Gumena brtva prikladna za HT/KG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</si>
</sst>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58">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12"/>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1"/>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1"/>
      <color rgb="FF000000"/>
      <name val="Calibri"/>
      <family val="2"/>
      <scheme val="minor"/>
    </font>
    <font>
      <sz val="10"/>
      <color rgb="FF000000"/>
      <name val="Menlo"/>
      <family val="2"/>
    </font>
    <font>
      <sz val="10"/>
      <color rgb="FF000000"/>
      <name val="Calibri"/>
      <family val="2"/>
      <scheme val="minor"/>
    </font>
    <font>
      <sz val="11"/>
      <color theme="1"/>
      <name val="Aptos Narrow"/>
      <family val="2"/>
    </font>
    <font>
      <sz val="13"/>
      <color theme="1"/>
      <name val="Aptos Narrow"/>
      <family val="2"/>
    </font>
    <font>
      <sz val="13"/>
      <color theme="1"/>
      <name val="Calibri"/>
      <family val="2"/>
    </font>
  </fonts>
  <fills count="34">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tint="0.499984740745262"/>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theme="0"/>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right style="medium">
        <color auto="1"/>
      </right>
      <top style="medium">
        <color indexed="64"/>
      </top>
      <bottom/>
      <diagonal/>
    </border>
    <border>
      <left/>
      <right style="medium">
        <color auto="1"/>
      </right>
      <top/>
      <bottom style="medium">
        <color auto="1"/>
      </bottom>
      <diagonal/>
    </border>
    <border>
      <left style="thick">
        <color indexed="64"/>
      </left>
      <right/>
      <top style="medium">
        <color indexed="64"/>
      </top>
      <bottom/>
      <diagonal/>
    </border>
    <border>
      <left style="thick">
        <color indexed="64"/>
      </left>
      <right/>
      <top/>
      <bottom style="medium">
        <color auto="1"/>
      </bottom>
      <diagonal/>
    </border>
  </borders>
  <cellStyleXfs count="2">
    <xf numFmtId="0" fontId="0" fillId="0" borderId="0"/>
    <xf numFmtId="44" fontId="42" fillId="0" borderId="0" applyFont="0" applyFill="0" applyBorder="0" applyAlignment="0" applyProtection="0"/>
  </cellStyleXfs>
  <cellXfs count="718">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4" xfId="0" applyFont="1" applyBorder="1" applyAlignment="1">
      <alignment vertical="center"/>
    </xf>
    <xf numFmtId="0" fontId="1" fillId="0" borderId="55" xfId="0" applyFont="1" applyBorder="1" applyAlignment="1">
      <alignment vertical="center"/>
    </xf>
    <xf numFmtId="0" fontId="0" fillId="0" borderId="56" xfId="0" applyBorder="1"/>
    <xf numFmtId="0" fontId="0" fillId="0" borderId="54" xfId="0" applyBorder="1"/>
    <xf numFmtId="0" fontId="0" fillId="0" borderId="55"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165" fontId="0" fillId="0" borderId="28" xfId="0" applyNumberFormat="1" applyBorder="1"/>
    <xf numFmtId="165" fontId="0" fillId="0" borderId="41" xfId="0" applyNumberFormat="1" applyBorder="1"/>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3" borderId="1" xfId="0" applyFont="1" applyFill="1" applyBorder="1" applyAlignment="1">
      <alignment vertical="center"/>
    </xf>
    <xf numFmtId="0" fontId="0" fillId="5" borderId="1" xfId="0" applyFill="1" applyBorder="1"/>
    <xf numFmtId="0" fontId="0" fillId="0" borderId="1" xfId="0" applyBorder="1"/>
    <xf numFmtId="0" fontId="1" fillId="7" borderId="1" xfId="0" applyFont="1" applyFill="1" applyBorder="1" applyAlignment="1">
      <alignment vertical="center"/>
    </xf>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applyAlignment="1">
      <alignment vertical="center" wrapText="1"/>
    </xf>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17" fillId="0" borderId="48" xfId="0" applyFont="1" applyBorder="1" applyAlignment="1">
      <alignment horizontal="right" vertical="center" wrapText="1"/>
    </xf>
    <xf numFmtId="0" fontId="17" fillId="0" borderId="48" xfId="0" applyFont="1" applyBorder="1" applyAlignment="1" applyProtection="1">
      <alignment horizontal="left" vertical="center" wrapText="1"/>
      <protection locked="0"/>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1" xfId="0" applyFont="1" applyBorder="1" applyAlignment="1">
      <alignment vertical="center"/>
    </xf>
    <xf numFmtId="0" fontId="17" fillId="0" borderId="49"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7" xfId="0" applyBorder="1"/>
    <xf numFmtId="0" fontId="0" fillId="0" borderId="58" xfId="0" applyBorder="1"/>
    <xf numFmtId="0" fontId="0" fillId="0" borderId="59"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6" xfId="0" applyFont="1" applyBorder="1"/>
    <xf numFmtId="0" fontId="24" fillId="0" borderId="59" xfId="0" applyFont="1" applyBorder="1"/>
    <xf numFmtId="165" fontId="0" fillId="0" borderId="47" xfId="0" applyNumberForma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26" fillId="0" borderId="48" xfId="0" applyFont="1" applyBorder="1" applyAlignment="1">
      <alignment horizontal="right" vertical="center" wrapText="1"/>
    </xf>
    <xf numFmtId="0" fontId="26" fillId="0" borderId="48" xfId="0" applyFont="1" applyBorder="1" applyAlignment="1" applyProtection="1">
      <alignment horizontal="left" vertical="center" wrapText="1"/>
      <protection locked="0"/>
    </xf>
    <xf numFmtId="0" fontId="26" fillId="0" borderId="12" xfId="0" applyFont="1" applyBorder="1" applyAlignment="1">
      <alignment horizontal="right" vertical="center" wrapText="1"/>
    </xf>
    <xf numFmtId="0" fontId="1" fillId="0" borderId="38" xfId="0" applyFont="1" applyBorder="1" applyAlignment="1">
      <alignment vertical="center"/>
    </xf>
    <xf numFmtId="0" fontId="5" fillId="0" borderId="61" xfId="0" applyFont="1" applyBorder="1" applyAlignment="1">
      <alignment horizontal="center" vertical="center" wrapText="1"/>
    </xf>
    <xf numFmtId="0" fontId="13" fillId="0" borderId="61"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1"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7"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8"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30" fillId="0" borderId="0" xfId="0" applyFont="1" applyAlignment="1">
      <alignment vertical="center"/>
    </xf>
    <xf numFmtId="0" fontId="30"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19" fillId="0" borderId="48" xfId="0" applyFont="1" applyBorder="1" applyAlignment="1" applyProtection="1">
      <alignment horizontal="left" vertical="center" wrapText="1"/>
      <protection locked="0"/>
    </xf>
    <xf numFmtId="0" fontId="3" fillId="0" borderId="0" xfId="0" applyFont="1" applyAlignment="1">
      <alignment horizontal="left" vertical="center"/>
    </xf>
    <xf numFmtId="165" fontId="0" fillId="0" borderId="40" xfId="0" applyNumberFormat="1" applyBorder="1"/>
    <xf numFmtId="165" fontId="0" fillId="0" borderId="2" xfId="0" applyNumberFormat="1" applyBorder="1"/>
    <xf numFmtId="165" fontId="0" fillId="8" borderId="2" xfId="0" applyNumberFormat="1" applyFill="1" applyBorder="1"/>
    <xf numFmtId="0" fontId="0" fillId="5" borderId="0" xfId="0" applyFill="1"/>
    <xf numFmtId="0" fontId="31" fillId="0" borderId="0" xfId="0" applyFont="1" applyAlignment="1" applyProtection="1">
      <alignment vertical="center"/>
      <protection locked="0"/>
    </xf>
    <xf numFmtId="0" fontId="17" fillId="0" borderId="0" xfId="0" applyFont="1" applyAlignment="1">
      <alignment horizontal="left" vertical="center" indent="2"/>
    </xf>
    <xf numFmtId="0" fontId="12" fillId="0" borderId="0" xfId="0" applyFont="1"/>
    <xf numFmtId="165" fontId="0" fillId="5" borderId="1" xfId="0" applyNumberFormat="1" applyFill="1" applyBorder="1"/>
    <xf numFmtId="0" fontId="32" fillId="0" borderId="0" xfId="0" applyFont="1" applyProtection="1">
      <protection locked="0"/>
    </xf>
    <xf numFmtId="14" fontId="3" fillId="0" borderId="4" xfId="0" applyNumberFormat="1" applyFont="1" applyBorder="1" applyAlignment="1">
      <alignment horizontal="left" vertical="center"/>
    </xf>
    <xf numFmtId="0" fontId="33" fillId="0" borderId="0" xfId="0" applyFont="1" applyAlignment="1">
      <alignment horizontal="right" vertical="center"/>
    </xf>
    <xf numFmtId="0" fontId="27" fillId="0" borderId="61" xfId="0" applyFont="1" applyBorder="1" applyAlignment="1">
      <alignment horizontal="center" vertical="center" wrapText="1"/>
    </xf>
    <xf numFmtId="0" fontId="34" fillId="0" borderId="0" xfId="0" applyFont="1" applyAlignment="1">
      <alignment horizontal="right" vertical="center"/>
    </xf>
    <xf numFmtId="0" fontId="1" fillId="5" borderId="0" xfId="0" applyFont="1" applyFill="1" applyAlignment="1">
      <alignmen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1" fillId="0" borderId="0" xfId="0" quotePrefix="1" applyFont="1" applyAlignment="1">
      <alignment horizontal="left" vertical="center"/>
    </xf>
    <xf numFmtId="0" fontId="1" fillId="0" borderId="0" xfId="0" applyFont="1" applyAlignment="1">
      <alignment horizontal="left" vertical="top" wrapText="1"/>
    </xf>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7" fillId="9" borderId="0" xfId="0" applyFont="1" applyFill="1" applyAlignment="1">
      <alignment vertical="center"/>
    </xf>
    <xf numFmtId="0" fontId="0" fillId="9" borderId="0" xfId="0" applyFill="1"/>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5" borderId="1" xfId="0" applyFont="1" applyFill="1" applyBorder="1" applyAlignment="1" applyProtection="1">
      <alignment horizontal="center" vertical="center"/>
      <protection locked="0"/>
    </xf>
    <xf numFmtId="0" fontId="17" fillId="5" borderId="0" xfId="0" applyFont="1" applyFill="1" applyAlignment="1">
      <alignment horizontal="center" vertical="center"/>
    </xf>
    <xf numFmtId="0" fontId="17" fillId="0" borderId="0" xfId="0" applyFont="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6" fillId="10" borderId="0" xfId="0" applyFont="1" applyFill="1" applyAlignment="1" applyProtection="1">
      <alignment vertical="center"/>
      <protection locked="0"/>
    </xf>
    <xf numFmtId="0" fontId="5" fillId="0" borderId="47" xfId="0" applyFont="1" applyBorder="1" applyAlignment="1">
      <alignment horizontal="center" vertical="center"/>
    </xf>
    <xf numFmtId="0" fontId="43"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4" xfId="0" applyFont="1" applyBorder="1" applyAlignment="1">
      <alignment horizontal="center" vertical="center"/>
    </xf>
    <xf numFmtId="0" fontId="6" fillId="0" borderId="64"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7" fillId="0" borderId="17" xfId="0" applyFont="1" applyBorder="1" applyAlignment="1">
      <alignment horizontal="center" vertical="center"/>
    </xf>
    <xf numFmtId="0" fontId="17" fillId="0" borderId="67"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7" fillId="5" borderId="61" xfId="0" applyFont="1" applyFill="1" applyBorder="1" applyAlignment="1">
      <alignment horizontal="center" vertical="center"/>
    </xf>
    <xf numFmtId="0" fontId="0" fillId="0" borderId="47" xfId="0" applyBorder="1" applyAlignment="1">
      <alignment horizontal="center" vertical="center"/>
    </xf>
    <xf numFmtId="0" fontId="11" fillId="11" borderId="0" xfId="0" applyFont="1" applyFill="1" applyAlignment="1">
      <alignment vertical="center"/>
    </xf>
    <xf numFmtId="0" fontId="11" fillId="12"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1" borderId="1" xfId="0" applyFont="1" applyFill="1" applyBorder="1" applyAlignment="1" applyProtection="1">
      <alignment horizontal="center" vertical="center"/>
      <protection locked="0"/>
    </xf>
    <xf numFmtId="0" fontId="19" fillId="12"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3"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3" borderId="71"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2" borderId="32" xfId="0" applyFont="1" applyFill="1" applyBorder="1" applyAlignment="1">
      <alignment horizontal="center" vertical="center"/>
    </xf>
    <xf numFmtId="0" fontId="19" fillId="12"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2"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3" xfId="0" applyFont="1" applyBorder="1"/>
    <xf numFmtId="0" fontId="19" fillId="13" borderId="73" xfId="0" applyFont="1" applyFill="1" applyBorder="1" applyAlignment="1">
      <alignment horizontal="center" vertical="center"/>
    </xf>
    <xf numFmtId="0" fontId="19" fillId="13" borderId="74" xfId="0" applyFont="1" applyFill="1" applyBorder="1" applyAlignment="1">
      <alignment horizontal="center" vertical="center"/>
    </xf>
    <xf numFmtId="0" fontId="19" fillId="11"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1" borderId="14" xfId="0" applyFont="1" applyFill="1" applyBorder="1" applyAlignment="1" applyProtection="1">
      <alignment horizontal="center" vertical="center"/>
      <protection locked="0"/>
    </xf>
    <xf numFmtId="0" fontId="12" fillId="0" borderId="27" xfId="0" applyFont="1" applyBorder="1"/>
    <xf numFmtId="0" fontId="19" fillId="11" borderId="28" xfId="0" applyFont="1" applyFill="1" applyBorder="1" applyAlignment="1" applyProtection="1">
      <alignment horizontal="center" vertical="center"/>
      <protection locked="0"/>
    </xf>
    <xf numFmtId="0" fontId="12" fillId="0" borderId="29" xfId="0" applyFont="1" applyBorder="1"/>
    <xf numFmtId="0" fontId="19" fillId="12"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3" borderId="76" xfId="0" applyFont="1" applyFill="1" applyBorder="1" applyAlignment="1">
      <alignment horizontal="center" vertical="center"/>
    </xf>
    <xf numFmtId="0" fontId="12" fillId="0" borderId="68" xfId="0" applyFont="1" applyBorder="1" applyAlignment="1">
      <alignment horizontal="center" vertical="center"/>
    </xf>
    <xf numFmtId="0" fontId="45" fillId="0" borderId="0" xfId="0" applyFont="1" applyAlignment="1">
      <alignment vertical="center"/>
    </xf>
    <xf numFmtId="0" fontId="45" fillId="14" borderId="75" xfId="0" applyFont="1" applyFill="1" applyBorder="1" applyAlignment="1">
      <alignment vertical="center"/>
    </xf>
    <xf numFmtId="0" fontId="19" fillId="11"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1"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3" borderId="44" xfId="0" applyFont="1" applyFill="1" applyBorder="1" applyAlignment="1">
      <alignment horizontal="center" vertical="center"/>
    </xf>
    <xf numFmtId="0" fontId="19" fillId="13" borderId="46" xfId="0" applyFont="1" applyFill="1" applyBorder="1" applyAlignment="1">
      <alignment horizontal="center" vertical="center"/>
    </xf>
    <xf numFmtId="0" fontId="19" fillId="12"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3"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6" fillId="0" borderId="0" xfId="0" applyFont="1" applyAlignment="1">
      <alignment vertical="center"/>
    </xf>
    <xf numFmtId="0" fontId="47" fillId="0" borderId="0" xfId="0" applyFont="1" applyAlignment="1">
      <alignment vertical="center"/>
    </xf>
    <xf numFmtId="0" fontId="23" fillId="0" borderId="0" xfId="0" applyFont="1" applyAlignment="1">
      <alignment vertical="center"/>
    </xf>
    <xf numFmtId="0" fontId="19" fillId="13"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5" xfId="0" applyFont="1" applyBorder="1"/>
    <xf numFmtId="0" fontId="12" fillId="0" borderId="47" xfId="0" applyFont="1" applyBorder="1"/>
    <xf numFmtId="0" fontId="12" fillId="0" borderId="79" xfId="0" applyFont="1" applyBorder="1"/>
    <xf numFmtId="0" fontId="12" fillId="0" borderId="28" xfId="0" applyFont="1" applyBorder="1"/>
    <xf numFmtId="0" fontId="1" fillId="0" borderId="4" xfId="0" applyFont="1" applyBorder="1" applyAlignment="1">
      <alignment horizontal="center" vertical="center"/>
    </xf>
    <xf numFmtId="0" fontId="19" fillId="3" borderId="80"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79" xfId="0" applyFont="1" applyFill="1" applyBorder="1" applyAlignment="1" applyProtection="1">
      <alignment horizontal="center" vertical="center"/>
      <protection locked="0"/>
    </xf>
    <xf numFmtId="0" fontId="1" fillId="0" borderId="65"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6"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5" borderId="0" xfId="0" applyFont="1" applyFill="1" applyAlignment="1">
      <alignment vertical="center"/>
    </xf>
    <xf numFmtId="0" fontId="1" fillId="16" borderId="0" xfId="0" applyFont="1" applyFill="1" applyAlignment="1">
      <alignment vertical="center"/>
    </xf>
    <xf numFmtId="0" fontId="1" fillId="17" borderId="0" xfId="0" applyFont="1" applyFill="1" applyAlignment="1">
      <alignment vertical="center"/>
    </xf>
    <xf numFmtId="0" fontId="1" fillId="0" borderId="75" xfId="0" applyFont="1" applyBorder="1" applyAlignment="1">
      <alignment horizontal="center" vertical="center"/>
    </xf>
    <xf numFmtId="0" fontId="1" fillId="18" borderId="1" xfId="0" applyFont="1" applyFill="1" applyBorder="1" applyAlignment="1">
      <alignment horizontal="center" vertical="center"/>
    </xf>
    <xf numFmtId="0" fontId="1" fillId="17" borderId="1" xfId="0" applyFont="1" applyFill="1" applyBorder="1" applyAlignment="1">
      <alignment horizontal="center" vertical="center"/>
    </xf>
    <xf numFmtId="0" fontId="1" fillId="19" borderId="1" xfId="0" applyFont="1" applyFill="1" applyBorder="1" applyAlignment="1">
      <alignment horizontal="center" vertical="center"/>
    </xf>
    <xf numFmtId="0" fontId="11" fillId="19" borderId="1" xfId="0" applyFont="1" applyFill="1" applyBorder="1" applyAlignment="1">
      <alignment horizontal="center" vertical="center"/>
    </xf>
    <xf numFmtId="0" fontId="11" fillId="0" borderId="1" xfId="0" applyFont="1" applyBorder="1" applyAlignment="1">
      <alignment horizontal="center" vertical="center"/>
    </xf>
    <xf numFmtId="0" fontId="17" fillId="20" borderId="0" xfId="0" applyFont="1" applyFill="1" applyAlignment="1">
      <alignment horizontal="center" vertical="center"/>
    </xf>
    <xf numFmtId="0" fontId="19" fillId="0" borderId="3" xfId="0" applyFont="1" applyBorder="1" applyAlignment="1">
      <alignment horizontal="right" vertical="center" wrapText="1"/>
    </xf>
    <xf numFmtId="0" fontId="19" fillId="0" borderId="28" xfId="0" applyFont="1" applyBorder="1" applyAlignment="1" applyProtection="1">
      <alignment horizontal="center" vertical="center"/>
      <protection locked="0"/>
    </xf>
    <xf numFmtId="0" fontId="1" fillId="13" borderId="0" xfId="0" applyFont="1" applyFill="1" applyAlignment="1">
      <alignment vertical="center"/>
    </xf>
    <xf numFmtId="0" fontId="1" fillId="9" borderId="0" xfId="0" applyFont="1" applyFill="1" applyAlignment="1">
      <alignment vertical="center"/>
    </xf>
    <xf numFmtId="0" fontId="1" fillId="12" borderId="0" xfId="0" applyFont="1" applyFill="1" applyAlignment="1">
      <alignment vertical="center"/>
    </xf>
    <xf numFmtId="0" fontId="1" fillId="11" borderId="0" xfId="0" applyFont="1" applyFill="1" applyAlignment="1">
      <alignment vertical="center"/>
    </xf>
    <xf numFmtId="0" fontId="1" fillId="14" borderId="0" xfId="0" applyFont="1" applyFill="1" applyAlignment="1">
      <alignment vertical="center"/>
    </xf>
    <xf numFmtId="0" fontId="11" fillId="0" borderId="68"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3" borderId="0" xfId="0" applyFont="1" applyFill="1" applyAlignment="1">
      <alignment vertical="center"/>
    </xf>
    <xf numFmtId="0" fontId="11" fillId="21" borderId="0" xfId="0" applyFont="1" applyFill="1" applyAlignment="1">
      <alignment vertical="center"/>
    </xf>
    <xf numFmtId="0" fontId="11" fillId="14"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2" xfId="0" applyFont="1" applyBorder="1" applyAlignment="1">
      <alignment horizontal="center" vertical="center"/>
    </xf>
    <xf numFmtId="0" fontId="11" fillId="0" borderId="83" xfId="0" applyFont="1" applyBorder="1" applyAlignment="1">
      <alignment horizontal="center" vertical="center"/>
    </xf>
    <xf numFmtId="0" fontId="11" fillId="0" borderId="77" xfId="0" applyFont="1" applyBorder="1" applyAlignment="1">
      <alignment horizontal="center" vertical="center"/>
    </xf>
    <xf numFmtId="0" fontId="11" fillId="0" borderId="89" xfId="0" applyFont="1" applyBorder="1" applyAlignment="1">
      <alignment horizontal="center" vertical="center"/>
    </xf>
    <xf numFmtId="0" fontId="11" fillId="0" borderId="90" xfId="0" applyFont="1" applyBorder="1" applyAlignment="1">
      <alignment horizontal="center" vertical="center"/>
    </xf>
    <xf numFmtId="0" fontId="11" fillId="0" borderId="91"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0" borderId="96" xfId="0" applyFont="1" applyBorder="1" applyAlignment="1">
      <alignment horizontal="center" vertical="center"/>
    </xf>
    <xf numFmtId="0" fontId="11" fillId="0" borderId="97" xfId="0" applyFont="1" applyBorder="1" applyAlignment="1">
      <alignment horizontal="center" vertical="center"/>
    </xf>
    <xf numFmtId="0" fontId="11" fillId="11" borderId="92" xfId="0" applyFont="1" applyFill="1" applyBorder="1" applyAlignment="1">
      <alignment horizontal="center" vertical="center"/>
    </xf>
    <xf numFmtId="0" fontId="11" fillId="11" borderId="44"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94"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4"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1" xfId="0" applyFont="1" applyFill="1" applyBorder="1" applyAlignment="1">
      <alignment horizontal="center" vertical="center"/>
    </xf>
    <xf numFmtId="0" fontId="11" fillId="12"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3" borderId="43" xfId="0" applyFont="1" applyFill="1" applyBorder="1" applyAlignment="1">
      <alignment horizontal="center" vertical="center"/>
    </xf>
    <xf numFmtId="0" fontId="11" fillId="13" borderId="44" xfId="0" applyFont="1" applyFill="1" applyBorder="1" applyAlignment="1">
      <alignment horizontal="center" vertical="center"/>
    </xf>
    <xf numFmtId="0" fontId="11" fillId="13" borderId="46" xfId="0" applyFont="1" applyFill="1" applyBorder="1" applyAlignment="1">
      <alignment horizontal="center" vertical="center"/>
    </xf>
    <xf numFmtId="0" fontId="11" fillId="13" borderId="32" xfId="0" applyFont="1" applyFill="1" applyBorder="1" applyAlignment="1">
      <alignment horizontal="center" vertical="center"/>
    </xf>
    <xf numFmtId="0" fontId="11" fillId="13" borderId="1" xfId="0" applyFont="1" applyFill="1" applyBorder="1" applyAlignment="1">
      <alignment horizontal="center" vertical="center"/>
    </xf>
    <xf numFmtId="0" fontId="11" fillId="13" borderId="33" xfId="0" applyFont="1" applyFill="1" applyBorder="1" applyAlignment="1">
      <alignment horizontal="center" vertical="center"/>
    </xf>
    <xf numFmtId="0" fontId="11" fillId="11" borderId="32" xfId="0" applyFont="1" applyFill="1" applyBorder="1" applyAlignment="1">
      <alignment horizontal="center" vertical="center"/>
    </xf>
    <xf numFmtId="0" fontId="11" fillId="3" borderId="94" xfId="0" applyFont="1" applyFill="1" applyBorder="1" applyAlignment="1">
      <alignment horizontal="center" vertical="center"/>
    </xf>
    <xf numFmtId="0" fontId="11" fillId="9" borderId="94" xfId="0" applyFont="1" applyFill="1" applyBorder="1" applyAlignment="1">
      <alignment horizontal="center" vertical="center"/>
    </xf>
    <xf numFmtId="0" fontId="11" fillId="3" borderId="1" xfId="0" applyFont="1" applyFill="1" applyBorder="1" applyAlignment="1">
      <alignment horizontal="center" vertical="center"/>
    </xf>
    <xf numFmtId="0" fontId="11" fillId="11" borderId="2" xfId="0" applyFont="1" applyFill="1" applyBorder="1" applyAlignment="1">
      <alignment horizontal="center" vertical="center"/>
    </xf>
    <xf numFmtId="0" fontId="1" fillId="13" borderId="95" xfId="0" applyFont="1" applyFill="1" applyBorder="1" applyAlignment="1">
      <alignment vertical="center"/>
    </xf>
    <xf numFmtId="0" fontId="11" fillId="22" borderId="32" xfId="0" applyFont="1" applyFill="1" applyBorder="1" applyAlignment="1">
      <alignment horizontal="center" vertical="center"/>
    </xf>
    <xf numFmtId="0" fontId="11" fillId="22"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3" borderId="95" xfId="0" applyFont="1" applyFill="1" applyBorder="1" applyAlignment="1">
      <alignment horizontal="center" vertical="center"/>
    </xf>
    <xf numFmtId="0" fontId="11" fillId="23" borderId="1" xfId="0" applyFont="1" applyFill="1" applyBorder="1" applyAlignment="1">
      <alignment horizontal="center" vertical="center"/>
    </xf>
    <xf numFmtId="0" fontId="11" fillId="23" borderId="32" xfId="0" applyFont="1" applyFill="1" applyBorder="1" applyAlignment="1">
      <alignment horizontal="center" vertical="center"/>
    </xf>
    <xf numFmtId="0" fontId="11" fillId="18" borderId="33" xfId="0" applyFont="1" applyFill="1" applyBorder="1" applyAlignment="1">
      <alignment horizontal="center" vertical="center"/>
    </xf>
    <xf numFmtId="0" fontId="11" fillId="18" borderId="1" xfId="0" applyFont="1" applyFill="1" applyBorder="1" applyAlignment="1">
      <alignment horizontal="center" vertical="center"/>
    </xf>
    <xf numFmtId="0" fontId="11" fillId="18" borderId="32" xfId="0" applyFont="1" applyFill="1" applyBorder="1" applyAlignment="1">
      <alignment horizontal="center" vertical="center"/>
    </xf>
    <xf numFmtId="0" fontId="11" fillId="24" borderId="33" xfId="0" applyFont="1" applyFill="1" applyBorder="1" applyAlignment="1">
      <alignment horizontal="center" vertical="center"/>
    </xf>
    <xf numFmtId="0" fontId="11" fillId="24" borderId="1" xfId="0" applyFont="1" applyFill="1" applyBorder="1" applyAlignment="1">
      <alignment horizontal="center" vertical="center"/>
    </xf>
    <xf numFmtId="0" fontId="11" fillId="25" borderId="32" xfId="0" applyFont="1" applyFill="1" applyBorder="1" applyAlignment="1">
      <alignment horizontal="center" vertical="center"/>
    </xf>
    <xf numFmtId="0" fontId="6" fillId="21" borderId="32" xfId="0" applyFont="1" applyFill="1" applyBorder="1" applyAlignment="1">
      <alignment horizontal="center" vertical="center"/>
    </xf>
    <xf numFmtId="0" fontId="6" fillId="21"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6" borderId="32" xfId="0" applyFont="1" applyFill="1" applyBorder="1" applyAlignment="1">
      <alignment horizontal="center" vertical="center"/>
    </xf>
    <xf numFmtId="0" fontId="11" fillId="0" borderId="94"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5" borderId="1" xfId="0" applyFont="1" applyFill="1" applyBorder="1" applyAlignment="1">
      <alignment horizontal="center" vertical="center"/>
    </xf>
    <xf numFmtId="0" fontId="1" fillId="16" borderId="1" xfId="0" applyFont="1" applyFill="1" applyBorder="1" applyAlignment="1">
      <alignment horizontal="center" vertical="center"/>
    </xf>
    <xf numFmtId="0" fontId="1" fillId="17" borderId="0" xfId="0" applyFont="1" applyFill="1" applyAlignment="1">
      <alignment horizontal="center" vertical="center"/>
    </xf>
    <xf numFmtId="0" fontId="11" fillId="27" borderId="1" xfId="0" applyFont="1" applyFill="1" applyBorder="1" applyAlignment="1">
      <alignment horizontal="center" vertical="center"/>
    </xf>
    <xf numFmtId="0" fontId="11" fillId="28" borderId="4" xfId="0" applyFont="1" applyFill="1" applyBorder="1" applyAlignment="1">
      <alignment horizontal="center" vertical="center"/>
    </xf>
    <xf numFmtId="0" fontId="11" fillId="0" borderId="66" xfId="0" applyFont="1" applyBorder="1" applyAlignment="1">
      <alignment vertical="center"/>
    </xf>
    <xf numFmtId="0" fontId="11" fillId="20" borderId="95" xfId="0" applyFont="1" applyFill="1" applyBorder="1" applyAlignment="1">
      <alignment horizontal="center" vertical="center"/>
    </xf>
    <xf numFmtId="0" fontId="11" fillId="20" borderId="33" xfId="0" applyFont="1" applyFill="1" applyBorder="1" applyAlignment="1">
      <alignment horizontal="center" vertical="center"/>
    </xf>
    <xf numFmtId="0" fontId="1" fillId="17" borderId="2" xfId="0" applyFont="1" applyFill="1" applyBorder="1" applyAlignment="1">
      <alignment horizontal="center" vertical="center"/>
    </xf>
    <xf numFmtId="0" fontId="11" fillId="29" borderId="33" xfId="0" applyFont="1" applyFill="1" applyBorder="1" applyAlignment="1">
      <alignment horizontal="center" vertical="center"/>
    </xf>
    <xf numFmtId="0" fontId="1" fillId="16" borderId="2" xfId="0" applyFont="1" applyFill="1" applyBorder="1" applyAlignment="1">
      <alignment horizontal="center" vertical="center"/>
    </xf>
    <xf numFmtId="0" fontId="1" fillId="16" borderId="4" xfId="0" applyFont="1" applyFill="1" applyBorder="1" applyAlignment="1">
      <alignment horizontal="center" vertical="center"/>
    </xf>
    <xf numFmtId="0" fontId="11" fillId="17" borderId="2" xfId="0" applyFont="1" applyFill="1" applyBorder="1" applyAlignment="1">
      <alignment horizontal="center" vertical="center"/>
    </xf>
    <xf numFmtId="0" fontId="1" fillId="27" borderId="0" xfId="0" applyFont="1" applyFill="1" applyAlignment="1">
      <alignment vertical="center"/>
    </xf>
    <xf numFmtId="0" fontId="1" fillId="28" borderId="0" xfId="0" applyFont="1" applyFill="1" applyAlignment="1">
      <alignment vertical="center"/>
    </xf>
    <xf numFmtId="0" fontId="11" fillId="27" borderId="0" xfId="0" applyFont="1" applyFill="1" applyAlignment="1">
      <alignment horizontal="center" vertical="center"/>
    </xf>
    <xf numFmtId="0" fontId="11" fillId="29" borderId="32" xfId="0" applyFont="1" applyFill="1" applyBorder="1" applyAlignment="1">
      <alignment horizontal="center" vertical="center"/>
    </xf>
    <xf numFmtId="0" fontId="1" fillId="2" borderId="0" xfId="0" applyFont="1" applyFill="1" applyAlignment="1">
      <alignment vertical="center"/>
    </xf>
    <xf numFmtId="0" fontId="1" fillId="30" borderId="0" xfId="0" applyFont="1" applyFill="1" applyAlignment="1">
      <alignment vertical="center"/>
    </xf>
    <xf numFmtId="0" fontId="1" fillId="12" borderId="0" xfId="0" applyFont="1" applyFill="1" applyAlignment="1">
      <alignment horizontal="center" vertical="center"/>
    </xf>
    <xf numFmtId="0" fontId="11" fillId="0" borderId="0" xfId="0" applyFont="1" applyAlignment="1">
      <alignment horizontal="left" vertical="center"/>
    </xf>
    <xf numFmtId="0" fontId="1" fillId="8" borderId="0" xfId="0" applyFont="1" applyFill="1" applyAlignment="1">
      <alignment horizontal="left" vertical="center"/>
    </xf>
    <xf numFmtId="0" fontId="17" fillId="0" borderId="50"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50" xfId="0" applyFont="1" applyBorder="1" applyAlignment="1">
      <alignment horizontal="center" vertical="center" wrapText="1"/>
    </xf>
    <xf numFmtId="0" fontId="17" fillId="0" borderId="3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8" xfId="0" applyFont="1" applyBorder="1" applyAlignment="1">
      <alignment horizontal="center" vertical="center" wrapText="1"/>
    </xf>
    <xf numFmtId="0" fontId="17" fillId="0" borderId="101"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3"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07" xfId="0" applyBorder="1"/>
    <xf numFmtId="0" fontId="0" fillId="0" borderId="109" xfId="0" applyBorder="1"/>
    <xf numFmtId="0" fontId="0" fillId="0" borderId="111" xfId="0" applyBorder="1"/>
    <xf numFmtId="0" fontId="0" fillId="0" borderId="113" xfId="0" applyBorder="1"/>
    <xf numFmtId="0" fontId="0" fillId="0" borderId="106" xfId="0" applyBorder="1" applyAlignment="1">
      <alignment horizontal="center"/>
    </xf>
    <xf numFmtId="0" fontId="0" fillId="0" borderId="104" xfId="0" applyBorder="1" applyAlignment="1">
      <alignment horizontal="center"/>
    </xf>
    <xf numFmtId="0" fontId="0" fillId="0" borderId="112" xfId="0" applyBorder="1" applyAlignment="1">
      <alignment horizontal="center"/>
    </xf>
    <xf numFmtId="0" fontId="0" fillId="0" borderId="108" xfId="0" applyBorder="1" applyAlignment="1">
      <alignment horizontal="center"/>
    </xf>
    <xf numFmtId="0" fontId="0" fillId="0" borderId="105" xfId="0" applyBorder="1" applyAlignment="1">
      <alignment horizontal="center"/>
    </xf>
    <xf numFmtId="0" fontId="0" fillId="0" borderId="110" xfId="0" applyBorder="1" applyAlignment="1">
      <alignment horizontal="center"/>
    </xf>
    <xf numFmtId="0" fontId="0" fillId="0" borderId="114" xfId="0" applyBorder="1" applyAlignment="1">
      <alignment horizontal="center"/>
    </xf>
    <xf numFmtId="0" fontId="0" fillId="0" borderId="115" xfId="0" applyBorder="1" applyAlignment="1">
      <alignment horizontal="center"/>
    </xf>
    <xf numFmtId="0" fontId="0" fillId="2" borderId="1" xfId="0" applyFill="1" applyBorder="1"/>
    <xf numFmtId="0" fontId="0" fillId="0" borderId="0" xfId="0" applyAlignment="1">
      <alignment horizontal="left" vertical="center"/>
    </xf>
    <xf numFmtId="0" fontId="1" fillId="4" borderId="1" xfId="0" applyFont="1" applyFill="1" applyBorder="1" applyAlignment="1">
      <alignment horizontal="center" vertical="center"/>
    </xf>
    <xf numFmtId="0" fontId="0" fillId="7" borderId="1" xfId="0" applyFill="1" applyBorder="1" applyAlignment="1">
      <alignment horizontal="right"/>
    </xf>
    <xf numFmtId="0" fontId="0" fillId="31" borderId="1" xfId="0" applyFill="1" applyBorder="1" applyAlignment="1">
      <alignment horizontal="right"/>
    </xf>
    <xf numFmtId="0" fontId="29"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0" fillId="7" borderId="47" xfId="0" applyFill="1" applyBorder="1" applyAlignment="1">
      <alignment horizontal="right"/>
    </xf>
    <xf numFmtId="165" fontId="0" fillId="0" borderId="38" xfId="0" applyNumberFormat="1" applyBorder="1"/>
    <xf numFmtId="0" fontId="1" fillId="26" borderId="0" xfId="0" applyFont="1" applyFill="1" applyAlignment="1">
      <alignment vertical="center"/>
    </xf>
    <xf numFmtId="165" fontId="0" fillId="26" borderId="1" xfId="0" applyNumberFormat="1" applyFill="1" applyBorder="1"/>
    <xf numFmtId="165" fontId="0" fillId="26" borderId="40" xfId="0" applyNumberFormat="1" applyFill="1" applyBorder="1"/>
    <xf numFmtId="0" fontId="1" fillId="19" borderId="0" xfId="0" applyFont="1" applyFill="1" applyAlignment="1">
      <alignment vertical="center"/>
    </xf>
    <xf numFmtId="165" fontId="0" fillId="19" borderId="40" xfId="0" applyNumberFormat="1" applyFill="1" applyBorder="1"/>
    <xf numFmtId="165" fontId="0" fillId="2" borderId="1" xfId="0" applyNumberFormat="1" applyFill="1" applyBorder="1"/>
    <xf numFmtId="165" fontId="0" fillId="2" borderId="40" xfId="0" applyNumberFormat="1" applyFill="1" applyBorder="1"/>
    <xf numFmtId="165" fontId="0" fillId="19" borderId="28" xfId="0" applyNumberFormat="1" applyFill="1" applyBorder="1"/>
    <xf numFmtId="0" fontId="1" fillId="20" borderId="0" xfId="0" applyFont="1" applyFill="1" applyAlignment="1">
      <alignment vertical="center"/>
    </xf>
    <xf numFmtId="165" fontId="0" fillId="20" borderId="1" xfId="0" applyNumberFormat="1" applyFill="1" applyBorder="1"/>
    <xf numFmtId="0" fontId="1" fillId="32" borderId="0" xfId="0" applyFont="1" applyFill="1" applyAlignment="1">
      <alignment vertical="center"/>
    </xf>
    <xf numFmtId="165" fontId="0" fillId="32" borderId="1" xfId="0" applyNumberFormat="1" applyFill="1" applyBorder="1"/>
    <xf numFmtId="165" fontId="0" fillId="32" borderId="40" xfId="0" applyNumberFormat="1" applyFill="1" applyBorder="1"/>
    <xf numFmtId="165" fontId="0" fillId="32" borderId="2" xfId="0" applyNumberFormat="1" applyFill="1" applyBorder="1"/>
    <xf numFmtId="165" fontId="0" fillId="20" borderId="2" xfId="0" applyNumberFormat="1" applyFill="1" applyBorder="1"/>
    <xf numFmtId="165" fontId="0" fillId="27" borderId="1" xfId="0" applyNumberFormat="1" applyFill="1" applyBorder="1"/>
    <xf numFmtId="165" fontId="0" fillId="27" borderId="2" xfId="0" applyNumberFormat="1" applyFill="1" applyBorder="1"/>
    <xf numFmtId="165" fontId="0" fillId="16" borderId="1" xfId="0" applyNumberFormat="1" applyFill="1" applyBorder="1"/>
    <xf numFmtId="165" fontId="0" fillId="16" borderId="2" xfId="0" applyNumberFormat="1" applyFill="1" applyBorder="1"/>
    <xf numFmtId="0" fontId="3" fillId="0" borderId="0" xfId="0" applyFont="1" applyAlignment="1">
      <alignment vertical="center"/>
    </xf>
    <xf numFmtId="0" fontId="0" fillId="33" borderId="0" xfId="0" applyFill="1"/>
    <xf numFmtId="0" fontId="0" fillId="33" borderId="1" xfId="0" applyFill="1" applyBorder="1" applyAlignment="1">
      <alignment vertical="center"/>
    </xf>
    <xf numFmtId="0" fontId="0" fillId="0" borderId="2" xfId="0" applyBorder="1" applyAlignment="1">
      <alignment horizontal="right"/>
    </xf>
    <xf numFmtId="0" fontId="0" fillId="0" borderId="2" xfId="0" applyBorder="1" applyAlignment="1">
      <alignment vertical="center"/>
    </xf>
    <xf numFmtId="0" fontId="0" fillId="0" borderId="94" xfId="0" applyBorder="1" applyAlignment="1">
      <alignment horizontal="right"/>
    </xf>
    <xf numFmtId="0" fontId="0" fillId="0" borderId="94" xfId="0" applyBorder="1" applyAlignment="1">
      <alignment vertical="center"/>
    </xf>
    <xf numFmtId="0" fontId="17" fillId="0" borderId="50" xfId="0" applyFont="1" applyBorder="1" applyAlignment="1">
      <alignment horizontal="center" vertical="center"/>
    </xf>
    <xf numFmtId="0" fontId="17" fillId="33" borderId="1" xfId="0" applyFont="1" applyFill="1" applyBorder="1" applyAlignment="1" applyProtection="1">
      <alignment horizontal="center" vertical="center"/>
      <protection locked="0"/>
    </xf>
    <xf numFmtId="0" fontId="17" fillId="33" borderId="1" xfId="0" applyFont="1" applyFill="1" applyBorder="1" applyAlignment="1">
      <alignment horizontal="center" vertical="center"/>
    </xf>
    <xf numFmtId="0" fontId="1" fillId="4" borderId="0" xfId="0" applyFont="1" applyFill="1" applyAlignment="1">
      <alignment horizontal="left" vertical="center"/>
    </xf>
    <xf numFmtId="0" fontId="6" fillId="0" borderId="0" xfId="0" applyFont="1" applyAlignment="1">
      <alignment horizontal="left" vertical="center"/>
    </xf>
    <xf numFmtId="0" fontId="1" fillId="4" borderId="8" xfId="0" applyFont="1" applyFill="1" applyBorder="1" applyAlignment="1">
      <alignment horizontal="left" vertical="center"/>
    </xf>
    <xf numFmtId="0" fontId="1" fillId="4" borderId="9" xfId="0" applyFont="1" applyFill="1" applyBorder="1" applyAlignment="1">
      <alignment horizontal="left" vertical="center"/>
    </xf>
    <xf numFmtId="0" fontId="1" fillId="4" borderId="10" xfId="0" applyFont="1" applyFill="1" applyBorder="1" applyAlignment="1">
      <alignment horizontal="left" vertical="center"/>
    </xf>
    <xf numFmtId="0" fontId="1" fillId="6" borderId="8" xfId="0" applyFont="1" applyFill="1" applyBorder="1" applyAlignment="1">
      <alignment horizontal="left" vertical="center"/>
    </xf>
    <xf numFmtId="0" fontId="1" fillId="6" borderId="9" xfId="0" applyFont="1" applyFill="1" applyBorder="1" applyAlignment="1">
      <alignment horizontal="left" vertical="center"/>
    </xf>
    <xf numFmtId="0" fontId="1" fillId="6" borderId="10" xfId="0" applyFont="1" applyFill="1" applyBorder="1" applyAlignment="1">
      <alignment horizontal="left" vertical="center"/>
    </xf>
    <xf numFmtId="0" fontId="1" fillId="3" borderId="1" xfId="0" applyFont="1" applyFill="1" applyBorder="1" applyAlignment="1">
      <alignment horizontal="left" vertical="center"/>
    </xf>
    <xf numFmtId="0" fontId="0" fillId="6" borderId="1" xfId="0" applyFill="1" applyBorder="1" applyAlignment="1">
      <alignment horizontal="left"/>
    </xf>
    <xf numFmtId="0" fontId="3" fillId="0" borderId="0" xfId="0" applyFont="1" applyAlignment="1">
      <alignment horizontal="left" vertical="center" wrapText="1"/>
    </xf>
    <xf numFmtId="0" fontId="0" fillId="0" borderId="1" xfId="0" applyBorder="1" applyAlignment="1">
      <alignment horizontal="left" vertical="center"/>
    </xf>
    <xf numFmtId="0" fontId="1" fillId="3" borderId="0" xfId="0" applyFont="1" applyFill="1" applyAlignment="1">
      <alignment horizontal="left" vertical="center"/>
    </xf>
    <xf numFmtId="49" fontId="0" fillId="0" borderId="0" xfId="0" applyNumberFormat="1" applyAlignment="1">
      <alignment horizontal="left"/>
    </xf>
    <xf numFmtId="49" fontId="0" fillId="6" borderId="1" xfId="0" applyNumberFormat="1" applyFill="1" applyBorder="1" applyAlignment="1">
      <alignment horizontal="left"/>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49" fontId="0" fillId="0" borderId="0" xfId="0" applyNumberFormat="1"/>
    <xf numFmtId="0" fontId="0" fillId="6" borderId="1" xfId="0" applyFill="1" applyBorder="1"/>
    <xf numFmtId="0" fontId="1" fillId="4" borderId="1" xfId="0" applyFont="1" applyFill="1" applyBorder="1" applyAlignment="1">
      <alignment vertical="center"/>
    </xf>
    <xf numFmtId="165" fontId="0" fillId="33" borderId="1" xfId="0" applyNumberFormat="1" applyFill="1" applyBorder="1"/>
    <xf numFmtId="0" fontId="1" fillId="0" borderId="1" xfId="0" applyFont="1" applyBorder="1" applyAlignment="1">
      <alignment vertical="center"/>
    </xf>
    <xf numFmtId="0" fontId="1" fillId="0" borderId="0" xfId="0" applyFont="1" applyAlignment="1">
      <alignment horizontal="center" vertical="center" wrapText="1"/>
    </xf>
    <xf numFmtId="0" fontId="1" fillId="3" borderId="47" xfId="0" applyFont="1" applyFill="1" applyBorder="1" applyAlignment="1">
      <alignment horizontal="center" vertical="center"/>
    </xf>
    <xf numFmtId="0" fontId="1" fillId="3" borderId="28" xfId="0" applyFont="1" applyFill="1" applyBorder="1" applyAlignment="1">
      <alignment horizontal="center" vertical="center"/>
    </xf>
    <xf numFmtId="0" fontId="1" fillId="7" borderId="28" xfId="0" applyFont="1" applyFill="1" applyBorder="1" applyAlignment="1">
      <alignment vertical="center"/>
    </xf>
    <xf numFmtId="0" fontId="3" fillId="3" borderId="28"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9" xfId="0" applyFont="1" applyBorder="1" applyAlignment="1">
      <alignment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1" fillId="0" borderId="98" xfId="0" applyFont="1" applyBorder="1" applyAlignment="1">
      <alignment horizontal="center" vertical="center"/>
    </xf>
    <xf numFmtId="0" fontId="11" fillId="0" borderId="3" xfId="0" applyFont="1" applyBorder="1" applyAlignment="1">
      <alignment horizontal="center" vertical="center"/>
    </xf>
    <xf numFmtId="0" fontId="11" fillId="0" borderId="66" xfId="0" applyFont="1" applyBorder="1" applyAlignment="1">
      <alignment horizontal="center" vertical="center"/>
    </xf>
    <xf numFmtId="0" fontId="11" fillId="0" borderId="71" xfId="0" applyFont="1" applyBorder="1" applyAlignment="1">
      <alignment horizontal="center" vertical="center"/>
    </xf>
    <xf numFmtId="0" fontId="11" fillId="3"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wrapText="1"/>
    </xf>
    <xf numFmtId="0" fontId="1" fillId="0" borderId="1" xfId="0" applyFont="1" applyBorder="1" applyAlignment="1">
      <alignment vertical="center" wrapText="1"/>
    </xf>
    <xf numFmtId="0" fontId="1" fillId="3" borderId="28" xfId="0" applyFont="1" applyFill="1" applyBorder="1" applyAlignment="1">
      <alignment vertical="center"/>
    </xf>
    <xf numFmtId="0" fontId="1" fillId="3" borderId="2" xfId="0" applyFont="1" applyFill="1" applyBorder="1" applyAlignment="1">
      <alignment vertical="center"/>
    </xf>
    <xf numFmtId="0" fontId="0" fillId="0" borderId="47" xfId="0" applyBorder="1"/>
    <xf numFmtId="14" fontId="17" fillId="0" borderId="103" xfId="0" applyNumberFormat="1" applyFont="1" applyBorder="1" applyAlignment="1" applyProtection="1">
      <alignment vertical="center"/>
      <protection locked="0"/>
    </xf>
    <xf numFmtId="0" fontId="17" fillId="0" borderId="3" xfId="0" applyFont="1" applyBorder="1" applyAlignment="1">
      <alignment vertical="center"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4" xfId="0" applyFont="1" applyBorder="1" applyAlignment="1">
      <alignment horizontal="center" vertical="top"/>
    </xf>
    <xf numFmtId="0" fontId="1" fillId="0" borderId="55" xfId="0" applyFont="1" applyBorder="1" applyAlignment="1">
      <alignment horizontal="center" vertical="top"/>
    </xf>
    <xf numFmtId="0" fontId="1" fillId="0" borderId="56" xfId="0" applyFont="1" applyBorder="1" applyAlignment="1">
      <alignment horizontal="center" vertical="top"/>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3" xfId="0" applyFont="1" applyBorder="1" applyAlignment="1">
      <alignment horizontal="center" vertical="center"/>
    </xf>
    <xf numFmtId="0" fontId="17" fillId="0" borderId="30" xfId="0" applyFont="1" applyBorder="1" applyAlignment="1">
      <alignment horizontal="left" vertical="center" wrapText="1"/>
    </xf>
    <xf numFmtId="0" fontId="17" fillId="0" borderId="31" xfId="0" applyFont="1" applyBorder="1" applyAlignment="1">
      <alignment horizontal="left" vertical="center" wrapText="1"/>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25" fillId="0" borderId="60" xfId="0" applyFont="1" applyBorder="1" applyAlignment="1">
      <alignment horizontal="right" vertical="center" textRotation="9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9" fillId="0" borderId="1"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20" fillId="0" borderId="26" xfId="0" applyFont="1" applyBorder="1" applyAlignment="1" applyProtection="1">
      <alignment horizontal="left" vertical="center"/>
      <protection hidden="1"/>
    </xf>
    <xf numFmtId="0" fontId="17" fillId="0" borderId="1" xfId="0" applyFont="1" applyBorder="1" applyAlignment="1">
      <alignment horizontal="left" vertical="center" wrapText="1"/>
    </xf>
    <xf numFmtId="0" fontId="17" fillId="0" borderId="50" xfId="0" applyFont="1" applyBorder="1" applyAlignment="1">
      <alignment horizontal="left" vertical="center" wrapText="1"/>
    </xf>
    <xf numFmtId="0" fontId="17" fillId="0" borderId="25" xfId="0" applyFont="1" applyBorder="1" applyAlignment="1">
      <alignment horizontal="left" vertical="center" wrapText="1"/>
    </xf>
    <xf numFmtId="0" fontId="17" fillId="0" borderId="51" xfId="0" applyFont="1" applyBorder="1" applyAlignment="1">
      <alignment horizontal="left" vertical="center" wrapText="1"/>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17" fillId="0" borderId="1" xfId="0" applyFont="1" applyBorder="1" applyAlignment="1" applyProtection="1">
      <alignment horizontal="left" vertical="center"/>
      <protection locked="0"/>
    </xf>
    <xf numFmtId="0" fontId="17" fillId="0" borderId="1" xfId="0" applyFont="1" applyBorder="1" applyAlignment="1" applyProtection="1">
      <alignment horizontal="left" vertical="center" wrapText="1"/>
      <protection locked="0"/>
    </xf>
    <xf numFmtId="0" fontId="17" fillId="0" borderId="50" xfId="0" applyFont="1" applyBorder="1" applyAlignment="1">
      <alignment horizontal="center" vertical="center"/>
    </xf>
    <xf numFmtId="0" fontId="17" fillId="0" borderId="25" xfId="0" applyFont="1" applyBorder="1" applyAlignment="1">
      <alignment horizontal="center" vertical="center"/>
    </xf>
    <xf numFmtId="0" fontId="17" fillId="0" borderId="51" xfId="0" applyFont="1" applyBorder="1" applyAlignment="1">
      <alignment horizontal="center" vertical="center"/>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9" fillId="33" borderId="3" xfId="0" applyFont="1" applyFill="1" applyBorder="1" applyAlignment="1">
      <alignment horizontal="center" vertical="center" wrapText="1"/>
    </xf>
    <xf numFmtId="0" fontId="19" fillId="33" borderId="4" xfId="0" applyFont="1" applyFill="1" applyBorder="1" applyAlignment="1">
      <alignment horizontal="center" vertical="center" wrapText="1"/>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102"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 fillId="17" borderId="43" xfId="0" applyFont="1" applyFill="1" applyBorder="1" applyAlignment="1">
      <alignment horizontal="center" vertical="center"/>
    </xf>
    <xf numFmtId="0" fontId="1" fillId="17" borderId="44" xfId="0" applyFont="1" applyFill="1" applyBorder="1" applyAlignment="1">
      <alignment horizontal="center" vertical="center"/>
    </xf>
    <xf numFmtId="0" fontId="1" fillId="17" borderId="46" xfId="0" applyFont="1" applyFill="1" applyBorder="1" applyAlignment="1">
      <alignment horizontal="center" vertical="center"/>
    </xf>
    <xf numFmtId="0" fontId="1" fillId="16" borderId="69" xfId="0" applyFont="1" applyFill="1" applyBorder="1" applyAlignment="1">
      <alignment horizontal="center" vertical="center"/>
    </xf>
    <xf numFmtId="0" fontId="1" fillId="16" borderId="35" xfId="0" applyFont="1" applyFill="1" applyBorder="1" applyAlignment="1">
      <alignment horizontal="center" vertical="center"/>
    </xf>
    <xf numFmtId="0" fontId="1" fillId="16" borderId="70"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2" xfId="0" applyFont="1" applyBorder="1" applyAlignment="1">
      <alignment horizontal="left" vertical="center" wrapText="1"/>
    </xf>
    <xf numFmtId="0" fontId="17" fillId="0" borderId="3" xfId="0" applyFont="1" applyBorder="1" applyAlignment="1" applyProtection="1">
      <alignment horizontal="center" vertical="center" wrapText="1"/>
      <protection locked="0"/>
    </xf>
    <xf numFmtId="0" fontId="1" fillId="15" borderId="43" xfId="0" applyFont="1" applyFill="1" applyBorder="1" applyAlignment="1">
      <alignment horizontal="center" vertical="center"/>
    </xf>
    <xf numFmtId="0" fontId="1" fillId="15" borderId="34" xfId="0" applyFont="1" applyFill="1" applyBorder="1" applyAlignment="1">
      <alignment horizontal="center" vertical="center"/>
    </xf>
    <xf numFmtId="0" fontId="19" fillId="0" borderId="99"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2" fillId="0" borderId="68" xfId="0" applyFont="1" applyBorder="1" applyAlignment="1">
      <alignment horizontal="center" vertical="center"/>
    </xf>
    <xf numFmtId="0" fontId="12" fillId="0" borderId="77" xfId="0" applyFont="1" applyBorder="1" applyAlignment="1">
      <alignment horizontal="center" vertical="center"/>
    </xf>
    <xf numFmtId="0" fontId="12" fillId="0" borderId="20" xfId="0" applyFont="1" applyBorder="1" applyAlignment="1">
      <alignment horizontal="center" vertical="center"/>
    </xf>
    <xf numFmtId="0" fontId="12" fillId="0" borderId="78" xfId="0" applyFont="1" applyBorder="1" applyAlignment="1">
      <alignment horizontal="center" vertical="center"/>
    </xf>
    <xf numFmtId="0" fontId="12" fillId="0" borderId="69" xfId="0" applyFont="1" applyBorder="1" applyAlignment="1">
      <alignment horizontal="center"/>
    </xf>
    <xf numFmtId="0" fontId="12" fillId="0" borderId="35" xfId="0" applyFont="1" applyBorder="1" applyAlignment="1">
      <alignment horizontal="center"/>
    </xf>
    <xf numFmtId="0" fontId="12" fillId="0" borderId="70" xfId="0" applyFont="1" applyBorder="1" applyAlignment="1">
      <alignment horizontal="center"/>
    </xf>
    <xf numFmtId="0" fontId="12" fillId="0" borderId="72" xfId="0" applyFont="1" applyBorder="1" applyAlignment="1">
      <alignment horizontal="center"/>
    </xf>
    <xf numFmtId="0" fontId="12" fillId="0" borderId="17" xfId="0" applyFont="1" applyBorder="1" applyAlignment="1">
      <alignment horizontal="center"/>
    </xf>
    <xf numFmtId="0" fontId="12" fillId="0" borderId="67" xfId="0" applyFont="1" applyBorder="1" applyAlignment="1">
      <alignment horizont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1"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1" xfId="0" applyFont="1" applyBorder="1" applyAlignment="1">
      <alignment horizontal="center" vertical="center"/>
    </xf>
    <xf numFmtId="0" fontId="19" fillId="0" borderId="4" xfId="0" applyFont="1" applyBorder="1" applyAlignment="1">
      <alignment horizontal="center" vertical="center"/>
    </xf>
    <xf numFmtId="0" fontId="1" fillId="0" borderId="43" xfId="0" applyFont="1" applyBorder="1" applyAlignment="1">
      <alignment horizontal="center" vertical="center"/>
    </xf>
    <xf numFmtId="0" fontId="17" fillId="0" borderId="25" xfId="0" applyFont="1" applyBorder="1" applyAlignment="1">
      <alignment horizontal="right" vertical="center" wrapText="1"/>
    </xf>
    <xf numFmtId="0" fontId="17" fillId="0" borderId="63" xfId="0" applyFont="1" applyBorder="1" applyAlignment="1">
      <alignment horizontal="right" vertical="center" wrapText="1"/>
    </xf>
    <xf numFmtId="0" fontId="17" fillId="0" borderId="100"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7" fillId="33" borderId="3" xfId="0" applyFont="1" applyFill="1" applyBorder="1" applyAlignment="1">
      <alignment horizontal="center" vertical="center" wrapText="1"/>
    </xf>
    <xf numFmtId="0" fontId="17" fillId="33" borderId="4" xfId="0" applyFont="1" applyFill="1" applyBorder="1" applyAlignment="1">
      <alignment horizontal="center" vertical="center" wrapText="1"/>
    </xf>
    <xf numFmtId="0" fontId="11" fillId="2" borderId="71"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66" xfId="0" applyFont="1" applyFill="1" applyBorder="1" applyAlignment="1">
      <alignment horizontal="center" vertical="center"/>
    </xf>
    <xf numFmtId="0" fontId="11" fillId="30" borderId="71" xfId="0" applyFont="1" applyFill="1" applyBorder="1" applyAlignment="1">
      <alignment horizontal="center" vertical="center"/>
    </xf>
    <xf numFmtId="0" fontId="11" fillId="30" borderId="3" xfId="0" applyFont="1" applyFill="1" applyBorder="1" applyAlignment="1">
      <alignment horizontal="center" vertical="center"/>
    </xf>
    <xf numFmtId="0" fontId="11" fillId="30" borderId="66" xfId="0" applyFont="1" applyFill="1" applyBorder="1" applyAlignment="1">
      <alignment horizontal="center" vertical="center"/>
    </xf>
    <xf numFmtId="0" fontId="17" fillId="0" borderId="53" xfId="0" applyFont="1" applyBorder="1" applyAlignment="1">
      <alignment horizontal="left" vertical="center" wrapText="1"/>
    </xf>
    <xf numFmtId="0" fontId="17" fillId="0" borderId="62" xfId="0" applyFont="1" applyBorder="1" applyAlignment="1">
      <alignment horizontal="left" vertical="center" wrapText="1"/>
    </xf>
    <xf numFmtId="0" fontId="17" fillId="0" borderId="99" xfId="0" applyFont="1" applyBorder="1" applyAlignment="1">
      <alignment horizontal="center" vertical="center" wrapText="1"/>
    </xf>
    <xf numFmtId="0" fontId="17" fillId="0" borderId="36" xfId="0" applyFont="1" applyBorder="1" applyAlignment="1">
      <alignment horizontal="center" vertical="center" wrapText="1"/>
    </xf>
    <xf numFmtId="14" fontId="17" fillId="0" borderId="5" xfId="0" applyNumberFormat="1" applyFont="1" applyBorder="1" applyAlignment="1" applyProtection="1">
      <alignment horizontal="left" vertical="center"/>
      <protection locked="0"/>
    </xf>
    <xf numFmtId="0" fontId="11" fillId="21" borderId="85" xfId="0" applyFont="1" applyFill="1" applyBorder="1" applyAlignment="1">
      <alignment horizontal="center" vertical="center"/>
    </xf>
    <xf numFmtId="0" fontId="11" fillId="21" borderId="86" xfId="0" applyFont="1" applyFill="1" applyBorder="1" applyAlignment="1">
      <alignment horizontal="center" vertical="center"/>
    </xf>
    <xf numFmtId="0" fontId="11" fillId="21" borderId="81" xfId="0" applyFont="1" applyFill="1" applyBorder="1" applyAlignment="1">
      <alignment horizontal="center" vertical="center"/>
    </xf>
    <xf numFmtId="0" fontId="11" fillId="21" borderId="88" xfId="0" applyFont="1" applyFill="1" applyBorder="1" applyAlignment="1">
      <alignment horizontal="center" vertical="center"/>
    </xf>
    <xf numFmtId="0" fontId="11" fillId="0" borderId="98" xfId="0" applyFont="1" applyBorder="1" applyAlignment="1">
      <alignment horizontal="center" vertical="center"/>
    </xf>
    <xf numFmtId="0" fontId="11" fillId="0" borderId="3" xfId="0" applyFont="1" applyBorder="1" applyAlignment="1">
      <alignment horizontal="center" vertical="center"/>
    </xf>
    <xf numFmtId="0" fontId="11" fillId="0" borderId="66" xfId="0" applyFont="1" applyBorder="1" applyAlignment="1">
      <alignment horizontal="center" vertical="center"/>
    </xf>
    <xf numFmtId="0" fontId="11" fillId="0" borderId="71" xfId="0" applyFont="1" applyBorder="1" applyAlignment="1">
      <alignment horizontal="center" vertical="center"/>
    </xf>
    <xf numFmtId="0" fontId="11" fillId="9" borderId="85" xfId="0" applyFont="1" applyFill="1" applyBorder="1" applyAlignment="1">
      <alignment horizontal="center" vertical="center"/>
    </xf>
    <xf numFmtId="0" fontId="11" fillId="9" borderId="81" xfId="0" applyFont="1" applyFill="1" applyBorder="1" applyAlignment="1">
      <alignment horizontal="center" vertical="center"/>
    </xf>
    <xf numFmtId="0" fontId="11" fillId="13" borderId="85" xfId="0" applyFont="1" applyFill="1" applyBorder="1" applyAlignment="1">
      <alignment horizontal="center" vertical="center"/>
    </xf>
    <xf numFmtId="0" fontId="11" fillId="13" borderId="81" xfId="0" applyFont="1" applyFill="1" applyBorder="1" applyAlignment="1">
      <alignment horizontal="center" vertical="center"/>
    </xf>
    <xf numFmtId="0" fontId="11" fillId="11" borderId="84"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7" xfId="0" applyFont="1" applyFill="1" applyBorder="1" applyAlignment="1">
      <alignment horizontal="center" vertical="center"/>
    </xf>
    <xf numFmtId="0" fontId="11" fillId="11" borderId="81" xfId="0" applyFont="1" applyFill="1" applyBorder="1" applyAlignment="1">
      <alignment horizontal="center" vertical="center"/>
    </xf>
    <xf numFmtId="0" fontId="11" fillId="12" borderId="85" xfId="0" applyFont="1" applyFill="1" applyBorder="1" applyAlignment="1">
      <alignment horizontal="center" vertical="center"/>
    </xf>
    <xf numFmtId="0" fontId="11" fillId="12" borderId="81" xfId="0" applyFont="1" applyFill="1" applyBorder="1" applyAlignment="1">
      <alignment horizontal="center" vertical="center"/>
    </xf>
    <xf numFmtId="0" fontId="11" fillId="0" borderId="122" xfId="0" applyFont="1" applyBorder="1" applyAlignment="1">
      <alignment horizontal="center" vertical="center"/>
    </xf>
    <xf numFmtId="0" fontId="11" fillId="0" borderId="25"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11" fillId="0" borderId="26" xfId="0" applyFont="1" applyBorder="1" applyAlignment="1">
      <alignment horizontal="center" vertical="center"/>
    </xf>
    <xf numFmtId="0" fontId="11" fillId="0" borderId="121" xfId="0" applyFont="1" applyBorder="1" applyAlignment="1">
      <alignment horizontal="center" vertical="center"/>
    </xf>
    <xf numFmtId="0" fontId="11" fillId="0" borderId="116" xfId="0" applyFont="1" applyBorder="1" applyAlignment="1">
      <alignment horizontal="center" vertical="center"/>
    </xf>
    <xf numFmtId="0" fontId="11" fillId="0" borderId="118" xfId="0" applyFont="1" applyBorder="1" applyAlignment="1">
      <alignment horizontal="center" vertical="center"/>
    </xf>
    <xf numFmtId="0" fontId="11" fillId="0" borderId="117" xfId="0" applyFont="1" applyBorder="1" applyAlignment="1">
      <alignment horizontal="center" vertical="center"/>
    </xf>
    <xf numFmtId="0" fontId="11" fillId="0" borderId="119" xfId="0" applyFont="1" applyBorder="1" applyAlignment="1">
      <alignment horizontal="center" vertical="center"/>
    </xf>
    <xf numFmtId="0" fontId="17" fillId="0" borderId="3" xfId="0" applyFont="1" applyBorder="1" applyAlignment="1">
      <alignment horizontal="center" vertical="center" wrapText="1"/>
    </xf>
    <xf numFmtId="0" fontId="17" fillId="0" borderId="99"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57" fillId="0" borderId="3" xfId="0" applyFont="1" applyBorder="1" applyAlignment="1">
      <alignment horizontal="center" vertical="center" wrapText="1"/>
    </xf>
    <xf numFmtId="0" fontId="17"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center"/>
    </xf>
  </cellXfs>
  <cellStyles count="2">
    <cellStyle name="Standard" xfId="0" builtinId="0"/>
    <cellStyle name="Währung" xfId="1" builtinId="4"/>
  </cellStyles>
  <dxfs count="2223">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4.9989318521683403E-2"/>
        </patternFill>
      </fill>
    </dxf>
    <dxf>
      <fill>
        <patternFill>
          <bgColor theme="0" tint="-4.9989318521683403E-2"/>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color theme="0" tint="-0.34998626667073579"/>
      </font>
    </dxf>
    <dxf>
      <font>
        <b/>
        <i val="0"/>
      </font>
    </dxf>
    <dxf>
      <font>
        <color theme="1"/>
      </font>
      <fill>
        <patternFill patternType="solid">
          <bgColor theme="0" tint="-0.14996795556505021"/>
        </patternFill>
      </fill>
      <border>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ont>
        <color theme="0" tint="-0.34998626667073579"/>
      </font>
    </dxf>
    <dxf>
      <font>
        <b/>
        <i val="0"/>
      </font>
    </dxf>
    <dxf>
      <fill>
        <patternFill>
          <bgColor theme="0" tint="-0.14996795556505021"/>
        </patternFill>
      </fill>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lor theme="0" tint="-0.14996795556505021"/>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ill>
        <patternFill>
          <bgColor theme="0" tint="-0.14996795556505021"/>
        </patternFill>
      </fill>
    </dxf>
    <dxf>
      <font>
        <b/>
        <i val="0"/>
      </font>
    </dxf>
    <dxf>
      <font>
        <color theme="0" tint="-0.34998626667073579"/>
      </font>
    </dxf>
    <dxf>
      <font>
        <color auto="1"/>
      </font>
      <fill>
        <patternFill patternType="none">
          <bgColor auto="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ont>
        <color theme="1"/>
      </font>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4.9989318521683403E-2"/>
        </patternFill>
      </fill>
      <border>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4.9989318521683403E-2"/>
        </patternFill>
      </fill>
      <border>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4.9989318521683403E-2"/>
        </patternFill>
      </fill>
      <border>
        <bottom style="thin">
          <color auto="1"/>
        </bottom>
        <vertical/>
        <horizontal/>
      </border>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s>
  <tableStyles count="0" defaultTableStyle="TableStyleMedium2" defaultPivotStyle="PivotStyleMedium9"/>
  <colors>
    <mruColors>
      <color rgb="FFFF5B5B"/>
      <color rgb="FFFE62D5"/>
      <color rgb="FFB07BD7"/>
      <color rgb="FFFFD5FF"/>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Radio" firstButton="1" fmlaLink="$O$6"/>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P$21"/>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Radio"/>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Radio"/>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P$9"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le>

<file path=xl/ctrlProps/ctrlProp116.xml><?xml version="1.0" encoding="utf-8"?>
<formControlPr xmlns="http://schemas.microsoft.com/office/spreadsheetml/2009/9/main" objectType="Radio"/>
</file>

<file path=xl/ctrlProps/ctrlProp117.xml><?xml version="1.0" encoding="utf-8"?>
<formControlPr xmlns="http://schemas.microsoft.com/office/spreadsheetml/2009/9/main" objectType="Radio" firstButton="1" fmlaLink="$P$13"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rstButton="1" fmlaLink="$P$11"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P$21"/>
</file>

<file path=xl/ctrlProps/ctrlProp125.xml><?xml version="1.0" encoding="utf-8"?>
<formControlPr xmlns="http://schemas.microsoft.com/office/spreadsheetml/2009/9/main" objectType="Radio"/>
</file>

<file path=xl/ctrlProps/ctrlProp126.xml><?xml version="1.0" encoding="utf-8"?>
<formControlPr xmlns="http://schemas.microsoft.com/office/spreadsheetml/2009/9/main" objectType="Radio"/>
</file>

<file path=xl/ctrlProps/ctrlProp127.xml><?xml version="1.0" encoding="utf-8"?>
<formControlPr xmlns="http://schemas.microsoft.com/office/spreadsheetml/2009/9/main" objectType="Radio"/>
</file>

<file path=xl/ctrlProps/ctrlProp128.xml><?xml version="1.0" encoding="utf-8"?>
<formControlPr xmlns="http://schemas.microsoft.com/office/spreadsheetml/2009/9/main" objectType="Radio"/>
</file>

<file path=xl/ctrlProps/ctrlProp129.xml><?xml version="1.0" encoding="utf-8"?>
<formControlPr xmlns="http://schemas.microsoft.com/office/spreadsheetml/2009/9/main" objectType="Radio"/>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file>

<file path=xl/ctrlProps/ctrlProp131.xml><?xml version="1.0" encoding="utf-8"?>
<formControlPr xmlns="http://schemas.microsoft.com/office/spreadsheetml/2009/9/main" objectType="Radio"/>
</file>

<file path=xl/ctrlProps/ctrlProp132.xml><?xml version="1.0" encoding="utf-8"?>
<formControlPr xmlns="http://schemas.microsoft.com/office/spreadsheetml/2009/9/main" objectType="Radio"/>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P$9"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le>

<file path=xl/ctrlProps/ctrlProp137.xml><?xml version="1.0" encoding="utf-8"?>
<formControlPr xmlns="http://schemas.microsoft.com/office/spreadsheetml/2009/9/main" objectType="Radio"/>
</file>

<file path=xl/ctrlProps/ctrlProp138.xml><?xml version="1.0" encoding="utf-8"?>
<formControlPr xmlns="http://schemas.microsoft.com/office/spreadsheetml/2009/9/main" objectType="Radio" firstButton="1" fmlaLink="$P$13"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P$11"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Z$21"/>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Radio"/>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checked="Checked" firstButton="1" fmlaLink="$Z$9" lockText="1"/>
</file>

<file path=xl/ctrlProps/ctrlProp156.xml><?xml version="1.0" encoding="utf-8"?>
<formControlPr xmlns="http://schemas.microsoft.com/office/spreadsheetml/2009/9/main" objectType="Radio"/>
</file>

<file path=xl/ctrlProps/ctrlProp157.xml><?xml version="1.0" encoding="utf-8"?>
<formControlPr xmlns="http://schemas.microsoft.com/office/spreadsheetml/2009/9/main" objectType="Radio"/>
</file>

<file path=xl/ctrlProps/ctrlProp158.xml><?xml version="1.0" encoding="utf-8"?>
<formControlPr xmlns="http://schemas.microsoft.com/office/spreadsheetml/2009/9/main" objectType="Radio" firstButton="1" fmlaLink="$Z$13" lockText="1"/>
</file>

<file path=xl/ctrlProps/ctrlProp159.xml><?xml version="1.0" encoding="utf-8"?>
<formControlPr xmlns="http://schemas.microsoft.com/office/spreadsheetml/2009/9/main" objectType="Radio"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Z$11"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O$9"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firstButton="1" fmlaLink="$O$21"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Radio" firstButton="1" fmlaLink="$P$13"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O$13"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fmlaLink="$O$9" lockText="1"/>
</file>

<file path=xl/ctrlProps/ctrlProp197.xml><?xml version="1.0" encoding="utf-8"?>
<formControlPr xmlns="http://schemas.microsoft.com/office/spreadsheetml/2009/9/main" objectType="Radio" firstButton="1" fmlaLink="$O$16"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17" lockText="1"/>
</file>

<file path=xl/ctrlProps/ctrlProp202.xml><?xml version="1.0" encoding="utf-8"?>
<formControlPr xmlns="http://schemas.microsoft.com/office/spreadsheetml/2009/9/main" objectType="Radio" firstButton="1" fmlaLink="$O$18"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firstButton="1" fmlaLink="$O$13" lockText="1"/>
</file>

<file path=xl/ctrlProps/ctrlProp209.xml><?xml version="1.0" encoding="utf-8"?>
<formControlPr xmlns="http://schemas.microsoft.com/office/spreadsheetml/2009/9/main" objectType="Radio" lockText="1"/>
</file>

<file path=xl/ctrlProps/ctrlProp21.xml><?xml version="1.0" encoding="utf-8"?>
<formControlPr xmlns="http://schemas.microsoft.com/office/spreadsheetml/2009/9/main" objectType="Radio" firstButton="1" fmlaLink="$P$9" lockText="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O$11"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Radio" firstButton="1" fmlaLink="$O$9" lockText="1"/>
</file>

<file path=xl/ctrlProps/ctrlProp225.xml><?xml version="1.0" encoding="utf-8"?>
<formControlPr xmlns="http://schemas.microsoft.com/office/spreadsheetml/2009/9/main" objectType="Radio" firstButton="1" fmlaLink="$O$21"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Radio" firstButton="1" fmlaLink="$O$13"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firstButton="1" fmlaLink="$O$11"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lockText="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P$11" lockText="1"/>
</file>

<file path=xl/ctrlProps/ctrlProp240.xml><?xml version="1.0" encoding="utf-8"?>
<formControlPr xmlns="http://schemas.microsoft.com/office/spreadsheetml/2009/9/main" objectType="Radio" firstButton="1" fmlaLink="$O$9" lockText="1"/>
</file>

<file path=xl/ctrlProps/ctrlProp241.xml><?xml version="1.0" encoding="utf-8"?>
<formControlPr xmlns="http://schemas.microsoft.com/office/spreadsheetml/2009/9/main" objectType="Radio" firstButton="1" fmlaLink="$O$21"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Radio" lockText="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O$24" lockText="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O$25"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firstButton="1" fmlaLink="$O$13"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fmlaLink="$O$11"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P$2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O$9" lockText="1"/>
</file>

<file path=xl/ctrlProps/ctrlProp272.xml><?xml version="1.0" encoding="utf-8"?>
<formControlPr xmlns="http://schemas.microsoft.com/office/spreadsheetml/2009/9/main" objectType="Radio" firstButton="1" fmlaLink="$O$21"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Radio" firstButton="1" fmlaLink="$O$13" lockText="1"/>
</file>

<file path=xl/ctrlProps/ctrlProp278.xml><?xml version="1.0" encoding="utf-8"?>
<formControlPr xmlns="http://schemas.microsoft.com/office/spreadsheetml/2009/9/main" objectType="Radio" lockText="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le>

<file path=xl/ctrlProps/ctrlProp280.xml><?xml version="1.0" encoding="utf-8"?>
<formControlPr xmlns="http://schemas.microsoft.com/office/spreadsheetml/2009/9/main" objectType="Radio" firstButton="1" fmlaLink="$O$11" lockText="1"/>
</file>

<file path=xl/ctrlProps/ctrlProp281.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30.xml><?xml version="1.0" encoding="utf-8"?>
<formControlPr xmlns="http://schemas.microsoft.com/office/spreadsheetml/2009/9/main" objectType="Radio"/>
</file>

<file path=xl/ctrlProps/ctrlProp31.xml><?xml version="1.0" encoding="utf-8"?>
<formControlPr xmlns="http://schemas.microsoft.com/office/spreadsheetml/2009/9/main" objectType="Radio"/>
</file>

<file path=xl/ctrlProps/ctrlProp32.xml><?xml version="1.0" encoding="utf-8"?>
<formControlPr xmlns="http://schemas.microsoft.com/office/spreadsheetml/2009/9/main" objectType="Radio"/>
</file>

<file path=xl/ctrlProps/ctrlProp33.xml><?xml version="1.0" encoding="utf-8"?>
<formControlPr xmlns="http://schemas.microsoft.com/office/spreadsheetml/2009/9/main" objectType="Radio"/>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Radio"/>
</file>

<file path=xl/ctrlProps/ctrlProp36.xml><?xml version="1.0" encoding="utf-8"?>
<formControlPr xmlns="http://schemas.microsoft.com/office/spreadsheetml/2009/9/main" objectType="Radio" noThreeD="1"/>
</file>

<file path=xl/ctrlProps/ctrlProp37.xml><?xml version="1.0" encoding="utf-8"?>
<formControlPr xmlns="http://schemas.microsoft.com/office/spreadsheetml/2009/9/main" objectType="Radio"/>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O$21"/>
</file>

<file path=xl/ctrlProps/ctrlProp49.xml><?xml version="1.0" encoding="utf-8"?>
<formControlPr xmlns="http://schemas.microsoft.com/office/spreadsheetml/2009/9/main" objectType="Radio"/>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file>

<file path=xl/ctrlProps/ctrlProp51.xml><?xml version="1.0" encoding="utf-8"?>
<formControlPr xmlns="http://schemas.microsoft.com/office/spreadsheetml/2009/9/main" objectType="Radio"/>
</file>

<file path=xl/ctrlProps/ctrlProp52.xml><?xml version="1.0" encoding="utf-8"?>
<formControlPr xmlns="http://schemas.microsoft.com/office/spreadsheetml/2009/9/main" objectType="Radio"/>
</file>

<file path=xl/ctrlProps/ctrlProp53.xml><?xml version="1.0" encoding="utf-8"?>
<formControlPr xmlns="http://schemas.microsoft.com/office/spreadsheetml/2009/9/main" objectType="Radio"/>
</file>

<file path=xl/ctrlProps/ctrlProp54.xml><?xml version="1.0" encoding="utf-8"?>
<formControlPr xmlns="http://schemas.microsoft.com/office/spreadsheetml/2009/9/main" objectType="Radio"/>
</file>

<file path=xl/ctrlProps/ctrlProp55.xml><?xml version="1.0" encoding="utf-8"?>
<formControlPr xmlns="http://schemas.microsoft.com/office/spreadsheetml/2009/9/main" objectType="Radio"/>
</file>

<file path=xl/ctrlProps/ctrlProp56.xml><?xml version="1.0" encoding="utf-8"?>
<formControlPr xmlns="http://schemas.microsoft.com/office/spreadsheetml/2009/9/main" objectType="Radio"/>
</file>

<file path=xl/ctrlProps/ctrlProp57.xml><?xml version="1.0" encoding="utf-8"?>
<formControlPr xmlns="http://schemas.microsoft.com/office/spreadsheetml/2009/9/main" objectType="Radio"/>
</file>

<file path=xl/ctrlProps/ctrlProp58.xml><?xml version="1.0" encoding="utf-8"?>
<formControlPr xmlns="http://schemas.microsoft.com/office/spreadsheetml/2009/9/main" objectType="Radio"/>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O$13"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firstButton="1" fmlaLink="$O$9"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O$11"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O$21"/>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Radio"/>
</file>

<file path=xl/ctrlProps/ctrlProp71.xml><?xml version="1.0" encoding="utf-8"?>
<formControlPr xmlns="http://schemas.microsoft.com/office/spreadsheetml/2009/9/main" objectType="Radio"/>
</file>

<file path=xl/ctrlProps/ctrlProp72.xml><?xml version="1.0" encoding="utf-8"?>
<formControlPr xmlns="http://schemas.microsoft.com/office/spreadsheetml/2009/9/main" objectType="Radio"/>
</file>

<file path=xl/ctrlProps/ctrlProp73.xml><?xml version="1.0" encoding="utf-8"?>
<formControlPr xmlns="http://schemas.microsoft.com/office/spreadsheetml/2009/9/main" objectType="Radio"/>
</file>

<file path=xl/ctrlProps/ctrlProp74.xml><?xml version="1.0" encoding="utf-8"?>
<formControlPr xmlns="http://schemas.microsoft.com/office/spreadsheetml/2009/9/main" objectType="Radio"/>
</file>

<file path=xl/ctrlProps/ctrlProp75.xml><?xml version="1.0" encoding="utf-8"?>
<formControlPr xmlns="http://schemas.microsoft.com/office/spreadsheetml/2009/9/main" objectType="Radio"/>
</file>

<file path=xl/ctrlProps/ctrlProp76.xml><?xml version="1.0" encoding="utf-8"?>
<formControlPr xmlns="http://schemas.microsoft.com/office/spreadsheetml/2009/9/main" objectType="Radio"/>
</file>

<file path=xl/ctrlProps/ctrlProp77.xml><?xml version="1.0" encoding="utf-8"?>
<formControlPr xmlns="http://schemas.microsoft.com/office/spreadsheetml/2009/9/main" objectType="Radio"/>
</file>

<file path=xl/ctrlProps/ctrlProp78.xml><?xml version="1.0" encoding="utf-8"?>
<formControlPr xmlns="http://schemas.microsoft.com/office/spreadsheetml/2009/9/main" objectType="Radio"/>
</file>

<file path=xl/ctrlProps/ctrlProp79.xml><?xml version="1.0" encoding="utf-8"?>
<formControlPr xmlns="http://schemas.microsoft.com/office/spreadsheetml/2009/9/main" objectType="Radio"/>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firstButton="1" fmlaLink="$P$21"/>
</file>

<file path=xl/ctrlProps/ctrlProp83.xml><?xml version="1.0" encoding="utf-8"?>
<formControlPr xmlns="http://schemas.microsoft.com/office/spreadsheetml/2009/9/main" objectType="Radio"/>
</file>

<file path=xl/ctrlProps/ctrlProp84.xml><?xml version="1.0" encoding="utf-8"?>
<formControlPr xmlns="http://schemas.microsoft.com/office/spreadsheetml/2009/9/main" objectType="Radio"/>
</file>

<file path=xl/ctrlProps/ctrlProp85.xml><?xml version="1.0" encoding="utf-8"?>
<formControlPr xmlns="http://schemas.microsoft.com/office/spreadsheetml/2009/9/main" objectType="Radio"/>
</file>

<file path=xl/ctrlProps/ctrlProp86.xml><?xml version="1.0" encoding="utf-8"?>
<formControlPr xmlns="http://schemas.microsoft.com/office/spreadsheetml/2009/9/main" objectType="Radio"/>
</file>

<file path=xl/ctrlProps/ctrlProp87.xml><?xml version="1.0" encoding="utf-8"?>
<formControlPr xmlns="http://schemas.microsoft.com/office/spreadsheetml/2009/9/main" objectType="Radio"/>
</file>

<file path=xl/ctrlProps/ctrlProp88.xml><?xml version="1.0" encoding="utf-8"?>
<formControlPr xmlns="http://schemas.microsoft.com/office/spreadsheetml/2009/9/main" objectType="Radio"/>
</file>

<file path=xl/ctrlProps/ctrlProp89.xml><?xml version="1.0" encoding="utf-8"?>
<formControlPr xmlns="http://schemas.microsoft.com/office/spreadsheetml/2009/9/main" objectType="Radio"/>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Radio"/>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P$9"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le>

<file path=xl/ctrlProps/ctrlProp95.xml><?xml version="1.0" encoding="utf-8"?>
<formControlPr xmlns="http://schemas.microsoft.com/office/spreadsheetml/2009/9/main" objectType="Radio"/>
</file>

<file path=xl/ctrlProps/ctrlProp96.xml><?xml version="1.0" encoding="utf-8"?>
<formControlPr xmlns="http://schemas.microsoft.com/office/spreadsheetml/2009/9/main" objectType="Radio" firstButton="1" fmlaLink="$P$13"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firstButton="1" fmlaLink="$P$11"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178.emf"/><Relationship Id="rId21" Type="http://schemas.openxmlformats.org/officeDocument/2006/relationships/image" Target="../media/image173.emf"/><Relationship Id="rId42" Type="http://schemas.openxmlformats.org/officeDocument/2006/relationships/image" Target="../media/image194.emf"/><Relationship Id="rId47" Type="http://schemas.openxmlformats.org/officeDocument/2006/relationships/image" Target="../media/image30.jpeg"/><Relationship Id="rId63" Type="http://schemas.openxmlformats.org/officeDocument/2006/relationships/image" Target="../media/image214.png"/><Relationship Id="rId68" Type="http://schemas.openxmlformats.org/officeDocument/2006/relationships/image" Target="../media/image75.png"/><Relationship Id="rId7" Type="http://schemas.openxmlformats.org/officeDocument/2006/relationships/image" Target="../media/image159.jpeg"/><Relationship Id="rId71" Type="http://schemas.openxmlformats.org/officeDocument/2006/relationships/image" Target="../media/image28.emf"/><Relationship Id="rId2" Type="http://schemas.openxmlformats.org/officeDocument/2006/relationships/image" Target="../media/image154.emf"/><Relationship Id="rId16" Type="http://schemas.openxmlformats.org/officeDocument/2006/relationships/image" Target="../media/image168.emf"/><Relationship Id="rId29" Type="http://schemas.openxmlformats.org/officeDocument/2006/relationships/image" Target="../media/image181.emf"/><Relationship Id="rId11" Type="http://schemas.openxmlformats.org/officeDocument/2006/relationships/image" Target="../media/image163.emf"/><Relationship Id="rId24" Type="http://schemas.openxmlformats.org/officeDocument/2006/relationships/image" Target="../media/image176.jpeg"/><Relationship Id="rId32" Type="http://schemas.openxmlformats.org/officeDocument/2006/relationships/image" Target="../media/image184.emf"/><Relationship Id="rId37" Type="http://schemas.openxmlformats.org/officeDocument/2006/relationships/image" Target="../media/image189.emf"/><Relationship Id="rId40" Type="http://schemas.openxmlformats.org/officeDocument/2006/relationships/image" Target="../media/image192.emf"/><Relationship Id="rId45" Type="http://schemas.openxmlformats.org/officeDocument/2006/relationships/image" Target="../media/image197.emf"/><Relationship Id="rId53" Type="http://schemas.openxmlformats.org/officeDocument/2006/relationships/image" Target="../media/image204.png"/><Relationship Id="rId58" Type="http://schemas.openxmlformats.org/officeDocument/2006/relationships/image" Target="../media/image209.jpeg"/><Relationship Id="rId66" Type="http://schemas.openxmlformats.org/officeDocument/2006/relationships/image" Target="../media/image217.png"/><Relationship Id="rId5" Type="http://schemas.openxmlformats.org/officeDocument/2006/relationships/image" Target="../media/image157.emf"/><Relationship Id="rId61" Type="http://schemas.openxmlformats.org/officeDocument/2006/relationships/image" Target="../media/image212.png"/><Relationship Id="rId19" Type="http://schemas.openxmlformats.org/officeDocument/2006/relationships/image" Target="../media/image171.emf"/><Relationship Id="rId14" Type="http://schemas.openxmlformats.org/officeDocument/2006/relationships/image" Target="../media/image166.emf"/><Relationship Id="rId22" Type="http://schemas.openxmlformats.org/officeDocument/2006/relationships/image" Target="../media/image174.emf"/><Relationship Id="rId27" Type="http://schemas.openxmlformats.org/officeDocument/2006/relationships/image" Target="../media/image179.emf"/><Relationship Id="rId30" Type="http://schemas.openxmlformats.org/officeDocument/2006/relationships/image" Target="../media/image182.emf"/><Relationship Id="rId35" Type="http://schemas.openxmlformats.org/officeDocument/2006/relationships/image" Target="../media/image187.emf"/><Relationship Id="rId43" Type="http://schemas.openxmlformats.org/officeDocument/2006/relationships/image" Target="../media/image195.emf"/><Relationship Id="rId48" Type="http://schemas.openxmlformats.org/officeDocument/2006/relationships/image" Target="../media/image199.jpeg"/><Relationship Id="rId56" Type="http://schemas.openxmlformats.org/officeDocument/2006/relationships/image" Target="../media/image207.png"/><Relationship Id="rId64" Type="http://schemas.openxmlformats.org/officeDocument/2006/relationships/image" Target="../media/image215.png"/><Relationship Id="rId69" Type="http://schemas.openxmlformats.org/officeDocument/2006/relationships/image" Target="../media/image218.png"/><Relationship Id="rId8" Type="http://schemas.openxmlformats.org/officeDocument/2006/relationships/image" Target="../media/image160.emf"/><Relationship Id="rId51" Type="http://schemas.openxmlformats.org/officeDocument/2006/relationships/image" Target="../media/image202.png"/><Relationship Id="rId3" Type="http://schemas.openxmlformats.org/officeDocument/2006/relationships/image" Target="../media/image155.emf"/><Relationship Id="rId12" Type="http://schemas.openxmlformats.org/officeDocument/2006/relationships/image" Target="../media/image164.emf"/><Relationship Id="rId17" Type="http://schemas.openxmlformats.org/officeDocument/2006/relationships/image" Target="../media/image169.emf"/><Relationship Id="rId25" Type="http://schemas.openxmlformats.org/officeDocument/2006/relationships/image" Target="../media/image177.jpeg"/><Relationship Id="rId33" Type="http://schemas.openxmlformats.org/officeDocument/2006/relationships/image" Target="../media/image185.jpeg"/><Relationship Id="rId38" Type="http://schemas.openxmlformats.org/officeDocument/2006/relationships/image" Target="../media/image190.emf"/><Relationship Id="rId46" Type="http://schemas.openxmlformats.org/officeDocument/2006/relationships/image" Target="../media/image198.emf"/><Relationship Id="rId59" Type="http://schemas.openxmlformats.org/officeDocument/2006/relationships/image" Target="../media/image210.emf"/><Relationship Id="rId67" Type="http://schemas.openxmlformats.org/officeDocument/2006/relationships/image" Target="../media/image74.png"/><Relationship Id="rId20" Type="http://schemas.openxmlformats.org/officeDocument/2006/relationships/image" Target="../media/image172.emf"/><Relationship Id="rId41" Type="http://schemas.openxmlformats.org/officeDocument/2006/relationships/image" Target="../media/image193.jpeg"/><Relationship Id="rId54" Type="http://schemas.openxmlformats.org/officeDocument/2006/relationships/image" Target="../media/image205.jpeg"/><Relationship Id="rId62" Type="http://schemas.openxmlformats.org/officeDocument/2006/relationships/image" Target="../media/image213.jpeg"/><Relationship Id="rId70" Type="http://schemas.openxmlformats.org/officeDocument/2006/relationships/image" Target="../media/image219.png"/><Relationship Id="rId1" Type="http://schemas.openxmlformats.org/officeDocument/2006/relationships/image" Target="../media/image153.emf"/><Relationship Id="rId6" Type="http://schemas.openxmlformats.org/officeDocument/2006/relationships/image" Target="../media/image158.emf"/><Relationship Id="rId15" Type="http://schemas.openxmlformats.org/officeDocument/2006/relationships/image" Target="../media/image167.emf"/><Relationship Id="rId23" Type="http://schemas.openxmlformats.org/officeDocument/2006/relationships/image" Target="../media/image175.jpeg"/><Relationship Id="rId28" Type="http://schemas.openxmlformats.org/officeDocument/2006/relationships/image" Target="../media/image180.emf"/><Relationship Id="rId36" Type="http://schemas.openxmlformats.org/officeDocument/2006/relationships/image" Target="../media/image188.jpeg"/><Relationship Id="rId49" Type="http://schemas.openxmlformats.org/officeDocument/2006/relationships/image" Target="../media/image200.jpeg"/><Relationship Id="rId57" Type="http://schemas.openxmlformats.org/officeDocument/2006/relationships/image" Target="../media/image208.jpeg"/><Relationship Id="rId10" Type="http://schemas.openxmlformats.org/officeDocument/2006/relationships/image" Target="../media/image162.emf"/><Relationship Id="rId31" Type="http://schemas.openxmlformats.org/officeDocument/2006/relationships/image" Target="../media/image183.emf"/><Relationship Id="rId44" Type="http://schemas.openxmlformats.org/officeDocument/2006/relationships/image" Target="../media/image196.emf"/><Relationship Id="rId52" Type="http://schemas.openxmlformats.org/officeDocument/2006/relationships/image" Target="../media/image203.png"/><Relationship Id="rId60" Type="http://schemas.openxmlformats.org/officeDocument/2006/relationships/image" Target="../media/image211.emf"/><Relationship Id="rId65" Type="http://schemas.openxmlformats.org/officeDocument/2006/relationships/image" Target="../media/image216.png"/><Relationship Id="rId4" Type="http://schemas.openxmlformats.org/officeDocument/2006/relationships/image" Target="../media/image156.emf"/><Relationship Id="rId9" Type="http://schemas.openxmlformats.org/officeDocument/2006/relationships/image" Target="../media/image161.emf"/><Relationship Id="rId13" Type="http://schemas.openxmlformats.org/officeDocument/2006/relationships/image" Target="../media/image165.emf"/><Relationship Id="rId18" Type="http://schemas.openxmlformats.org/officeDocument/2006/relationships/image" Target="../media/image170.emf"/><Relationship Id="rId39" Type="http://schemas.openxmlformats.org/officeDocument/2006/relationships/image" Target="../media/image191.emf"/><Relationship Id="rId34" Type="http://schemas.openxmlformats.org/officeDocument/2006/relationships/image" Target="../media/image186.emf"/><Relationship Id="rId50" Type="http://schemas.openxmlformats.org/officeDocument/2006/relationships/image" Target="../media/image201.jpeg"/><Relationship Id="rId55" Type="http://schemas.openxmlformats.org/officeDocument/2006/relationships/image" Target="../media/image20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27.jpeg"/><Relationship Id="rId13" Type="http://schemas.openxmlformats.org/officeDocument/2006/relationships/image" Target="../media/image180.emf"/><Relationship Id="rId18" Type="http://schemas.openxmlformats.org/officeDocument/2006/relationships/image" Target="../media/image95.png"/><Relationship Id="rId26" Type="http://schemas.openxmlformats.org/officeDocument/2006/relationships/image" Target="../media/image219.png"/><Relationship Id="rId3" Type="http://schemas.openxmlformats.org/officeDocument/2006/relationships/image" Target="../media/image222.jpeg"/><Relationship Id="rId21" Type="http://schemas.openxmlformats.org/officeDocument/2006/relationships/image" Target="../media/image233.png"/><Relationship Id="rId7" Type="http://schemas.openxmlformats.org/officeDocument/2006/relationships/image" Target="../media/image226.jpeg"/><Relationship Id="rId12" Type="http://schemas.openxmlformats.org/officeDocument/2006/relationships/image" Target="../media/image179.emf"/><Relationship Id="rId17" Type="http://schemas.openxmlformats.org/officeDocument/2006/relationships/image" Target="../media/image230.jpeg"/><Relationship Id="rId25" Type="http://schemas.openxmlformats.org/officeDocument/2006/relationships/image" Target="../media/image218.png"/><Relationship Id="rId2" Type="http://schemas.openxmlformats.org/officeDocument/2006/relationships/image" Target="../media/image221.jpeg"/><Relationship Id="rId16" Type="http://schemas.openxmlformats.org/officeDocument/2006/relationships/image" Target="../media/image202.png"/><Relationship Id="rId20" Type="http://schemas.openxmlformats.org/officeDocument/2006/relationships/image" Target="../media/image232.png"/><Relationship Id="rId29" Type="http://schemas.openxmlformats.org/officeDocument/2006/relationships/image" Target="../media/image75.png"/><Relationship Id="rId1" Type="http://schemas.openxmlformats.org/officeDocument/2006/relationships/image" Target="../media/image220.jpeg"/><Relationship Id="rId6" Type="http://schemas.openxmlformats.org/officeDocument/2006/relationships/image" Target="../media/image225.jpeg"/><Relationship Id="rId11" Type="http://schemas.openxmlformats.org/officeDocument/2006/relationships/image" Target="../media/image178.emf"/><Relationship Id="rId24" Type="http://schemas.openxmlformats.org/officeDocument/2006/relationships/image" Target="../media/image206.png"/><Relationship Id="rId5" Type="http://schemas.openxmlformats.org/officeDocument/2006/relationships/image" Target="../media/image224.jpeg"/><Relationship Id="rId15" Type="http://schemas.openxmlformats.org/officeDocument/2006/relationships/image" Target="../media/image201.jpeg"/><Relationship Id="rId23" Type="http://schemas.openxmlformats.org/officeDocument/2006/relationships/image" Target="../media/image198.emf"/><Relationship Id="rId28" Type="http://schemas.openxmlformats.org/officeDocument/2006/relationships/image" Target="../media/image74.png"/><Relationship Id="rId10" Type="http://schemas.openxmlformats.org/officeDocument/2006/relationships/image" Target="../media/image203.png"/><Relationship Id="rId19" Type="http://schemas.openxmlformats.org/officeDocument/2006/relationships/image" Target="../media/image231.png"/><Relationship Id="rId4" Type="http://schemas.openxmlformats.org/officeDocument/2006/relationships/image" Target="../media/image223.jpeg"/><Relationship Id="rId9" Type="http://schemas.openxmlformats.org/officeDocument/2006/relationships/image" Target="../media/image228.jpeg"/><Relationship Id="rId14" Type="http://schemas.openxmlformats.org/officeDocument/2006/relationships/image" Target="../media/image229.emf"/><Relationship Id="rId22" Type="http://schemas.openxmlformats.org/officeDocument/2006/relationships/image" Target="../media/image210.emf"/><Relationship Id="rId27" Type="http://schemas.openxmlformats.org/officeDocument/2006/relationships/image" Target="../media/image217.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177.jpeg"/><Relationship Id="rId21" Type="http://schemas.openxmlformats.org/officeDocument/2006/relationships/image" Target="../media/image172.emf"/><Relationship Id="rId42" Type="http://schemas.openxmlformats.org/officeDocument/2006/relationships/image" Target="../media/image192.emf"/><Relationship Id="rId47" Type="http://schemas.openxmlformats.org/officeDocument/2006/relationships/image" Target="../media/image195.emf"/><Relationship Id="rId63" Type="http://schemas.openxmlformats.org/officeDocument/2006/relationships/image" Target="../media/image68.png"/><Relationship Id="rId68" Type="http://schemas.openxmlformats.org/officeDocument/2006/relationships/image" Target="../media/image216.png"/><Relationship Id="rId2" Type="http://schemas.openxmlformats.org/officeDocument/2006/relationships/image" Target="../media/image154.emf"/><Relationship Id="rId16" Type="http://schemas.openxmlformats.org/officeDocument/2006/relationships/image" Target="../media/image167.emf"/><Relationship Id="rId29" Type="http://schemas.openxmlformats.org/officeDocument/2006/relationships/image" Target="../media/image180.emf"/><Relationship Id="rId11" Type="http://schemas.openxmlformats.org/officeDocument/2006/relationships/image" Target="../media/image163.emf"/><Relationship Id="rId24" Type="http://schemas.openxmlformats.org/officeDocument/2006/relationships/image" Target="../media/image175.jpeg"/><Relationship Id="rId32" Type="http://schemas.openxmlformats.org/officeDocument/2006/relationships/image" Target="../media/image183.emf"/><Relationship Id="rId37" Type="http://schemas.openxmlformats.org/officeDocument/2006/relationships/image" Target="../media/image188.jpeg"/><Relationship Id="rId40" Type="http://schemas.openxmlformats.org/officeDocument/2006/relationships/image" Target="../media/image191.emf"/><Relationship Id="rId45" Type="http://schemas.openxmlformats.org/officeDocument/2006/relationships/image" Target="../media/image211.emf"/><Relationship Id="rId53" Type="http://schemas.openxmlformats.org/officeDocument/2006/relationships/image" Target="../media/image200.jpeg"/><Relationship Id="rId58" Type="http://schemas.openxmlformats.org/officeDocument/2006/relationships/image" Target="../media/image205.jpeg"/><Relationship Id="rId66" Type="http://schemas.openxmlformats.org/officeDocument/2006/relationships/image" Target="../media/image237.png"/><Relationship Id="rId5" Type="http://schemas.openxmlformats.org/officeDocument/2006/relationships/image" Target="../media/image157.emf"/><Relationship Id="rId61" Type="http://schemas.openxmlformats.org/officeDocument/2006/relationships/image" Target="../media/image209.jpeg"/><Relationship Id="rId19" Type="http://schemas.openxmlformats.org/officeDocument/2006/relationships/image" Target="../media/image170.emf"/><Relationship Id="rId14" Type="http://schemas.openxmlformats.org/officeDocument/2006/relationships/image" Target="../media/image165.emf"/><Relationship Id="rId22" Type="http://schemas.openxmlformats.org/officeDocument/2006/relationships/image" Target="../media/image173.emf"/><Relationship Id="rId27" Type="http://schemas.openxmlformats.org/officeDocument/2006/relationships/image" Target="../media/image178.emf"/><Relationship Id="rId30" Type="http://schemas.openxmlformats.org/officeDocument/2006/relationships/image" Target="../media/image181.emf"/><Relationship Id="rId35" Type="http://schemas.openxmlformats.org/officeDocument/2006/relationships/image" Target="../media/image186.emf"/><Relationship Id="rId43" Type="http://schemas.openxmlformats.org/officeDocument/2006/relationships/image" Target="../media/image193.jpeg"/><Relationship Id="rId48" Type="http://schemas.openxmlformats.org/officeDocument/2006/relationships/image" Target="../media/image196.emf"/><Relationship Id="rId56" Type="http://schemas.openxmlformats.org/officeDocument/2006/relationships/image" Target="../media/image203.png"/><Relationship Id="rId64" Type="http://schemas.openxmlformats.org/officeDocument/2006/relationships/image" Target="../media/image236.jpeg"/><Relationship Id="rId69" Type="http://schemas.openxmlformats.org/officeDocument/2006/relationships/image" Target="../media/image218.png"/><Relationship Id="rId8" Type="http://schemas.openxmlformats.org/officeDocument/2006/relationships/image" Target="../media/image160.emf"/><Relationship Id="rId51" Type="http://schemas.openxmlformats.org/officeDocument/2006/relationships/image" Target="../media/image30.jpeg"/><Relationship Id="rId72" Type="http://schemas.openxmlformats.org/officeDocument/2006/relationships/image" Target="../media/image74.png"/><Relationship Id="rId3" Type="http://schemas.openxmlformats.org/officeDocument/2006/relationships/image" Target="../media/image155.emf"/><Relationship Id="rId12" Type="http://schemas.openxmlformats.org/officeDocument/2006/relationships/image" Target="../media/image234.emf"/><Relationship Id="rId17" Type="http://schemas.openxmlformats.org/officeDocument/2006/relationships/image" Target="../media/image168.emf"/><Relationship Id="rId25" Type="http://schemas.openxmlformats.org/officeDocument/2006/relationships/image" Target="../media/image176.jpeg"/><Relationship Id="rId33" Type="http://schemas.openxmlformats.org/officeDocument/2006/relationships/image" Target="../media/image184.emf"/><Relationship Id="rId38" Type="http://schemas.openxmlformats.org/officeDocument/2006/relationships/image" Target="../media/image189.emf"/><Relationship Id="rId46" Type="http://schemas.openxmlformats.org/officeDocument/2006/relationships/image" Target="../media/image194.emf"/><Relationship Id="rId59" Type="http://schemas.openxmlformats.org/officeDocument/2006/relationships/image" Target="../media/image206.png"/><Relationship Id="rId67" Type="http://schemas.openxmlformats.org/officeDocument/2006/relationships/image" Target="../media/image215.png"/><Relationship Id="rId20" Type="http://schemas.openxmlformats.org/officeDocument/2006/relationships/image" Target="../media/image171.emf"/><Relationship Id="rId41" Type="http://schemas.openxmlformats.org/officeDocument/2006/relationships/image" Target="../media/image235.emf"/><Relationship Id="rId54" Type="http://schemas.openxmlformats.org/officeDocument/2006/relationships/image" Target="../media/image201.jpeg"/><Relationship Id="rId62" Type="http://schemas.openxmlformats.org/officeDocument/2006/relationships/image" Target="../media/image208.jpeg"/><Relationship Id="rId70" Type="http://schemas.openxmlformats.org/officeDocument/2006/relationships/image" Target="../media/image219.png"/><Relationship Id="rId1" Type="http://schemas.openxmlformats.org/officeDocument/2006/relationships/image" Target="../media/image153.emf"/><Relationship Id="rId6" Type="http://schemas.openxmlformats.org/officeDocument/2006/relationships/image" Target="../media/image158.emf"/><Relationship Id="rId15" Type="http://schemas.openxmlformats.org/officeDocument/2006/relationships/image" Target="../media/image166.emf"/><Relationship Id="rId23" Type="http://schemas.openxmlformats.org/officeDocument/2006/relationships/image" Target="../media/image174.emf"/><Relationship Id="rId28" Type="http://schemas.openxmlformats.org/officeDocument/2006/relationships/image" Target="../media/image179.emf"/><Relationship Id="rId36" Type="http://schemas.openxmlformats.org/officeDocument/2006/relationships/image" Target="../media/image187.emf"/><Relationship Id="rId49" Type="http://schemas.openxmlformats.org/officeDocument/2006/relationships/image" Target="../media/image197.emf"/><Relationship Id="rId57" Type="http://schemas.openxmlformats.org/officeDocument/2006/relationships/image" Target="../media/image204.png"/><Relationship Id="rId10" Type="http://schemas.openxmlformats.org/officeDocument/2006/relationships/image" Target="../media/image162.emf"/><Relationship Id="rId31" Type="http://schemas.openxmlformats.org/officeDocument/2006/relationships/image" Target="../media/image182.emf"/><Relationship Id="rId44" Type="http://schemas.openxmlformats.org/officeDocument/2006/relationships/image" Target="../media/image210.emf"/><Relationship Id="rId52" Type="http://schemas.openxmlformats.org/officeDocument/2006/relationships/image" Target="../media/image199.jpeg"/><Relationship Id="rId60" Type="http://schemas.openxmlformats.org/officeDocument/2006/relationships/image" Target="../media/image207.png"/><Relationship Id="rId65" Type="http://schemas.openxmlformats.org/officeDocument/2006/relationships/image" Target="../media/image214.png"/><Relationship Id="rId73" Type="http://schemas.openxmlformats.org/officeDocument/2006/relationships/image" Target="../media/image75.png"/><Relationship Id="rId4" Type="http://schemas.openxmlformats.org/officeDocument/2006/relationships/image" Target="../media/image156.emf"/><Relationship Id="rId9" Type="http://schemas.openxmlformats.org/officeDocument/2006/relationships/image" Target="../media/image161.emf"/><Relationship Id="rId13" Type="http://schemas.openxmlformats.org/officeDocument/2006/relationships/image" Target="../media/image164.emf"/><Relationship Id="rId18" Type="http://schemas.openxmlformats.org/officeDocument/2006/relationships/image" Target="../media/image169.emf"/><Relationship Id="rId39" Type="http://schemas.openxmlformats.org/officeDocument/2006/relationships/image" Target="../media/image190.emf"/><Relationship Id="rId34" Type="http://schemas.openxmlformats.org/officeDocument/2006/relationships/image" Target="../media/image185.jpeg"/><Relationship Id="rId50" Type="http://schemas.openxmlformats.org/officeDocument/2006/relationships/image" Target="../media/image198.emf"/><Relationship Id="rId55" Type="http://schemas.openxmlformats.org/officeDocument/2006/relationships/image" Target="../media/image202.png"/><Relationship Id="rId7" Type="http://schemas.openxmlformats.org/officeDocument/2006/relationships/image" Target="../media/image159.jpeg"/><Relationship Id="rId71" Type="http://schemas.openxmlformats.org/officeDocument/2006/relationships/image" Target="../media/image2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7.jpeg"/><Relationship Id="rId13" Type="http://schemas.openxmlformats.org/officeDocument/2006/relationships/image" Target="../media/image180.emf"/><Relationship Id="rId18" Type="http://schemas.openxmlformats.org/officeDocument/2006/relationships/image" Target="../media/image230.jpeg"/><Relationship Id="rId26" Type="http://schemas.openxmlformats.org/officeDocument/2006/relationships/image" Target="../media/image219.png"/><Relationship Id="rId3" Type="http://schemas.openxmlformats.org/officeDocument/2006/relationships/image" Target="../media/image222.jpeg"/><Relationship Id="rId21" Type="http://schemas.openxmlformats.org/officeDocument/2006/relationships/image" Target="../media/image233.png"/><Relationship Id="rId7" Type="http://schemas.openxmlformats.org/officeDocument/2006/relationships/image" Target="../media/image226.jpeg"/><Relationship Id="rId12" Type="http://schemas.openxmlformats.org/officeDocument/2006/relationships/image" Target="../media/image179.emf"/><Relationship Id="rId17" Type="http://schemas.openxmlformats.org/officeDocument/2006/relationships/image" Target="../media/image95.png"/><Relationship Id="rId25" Type="http://schemas.openxmlformats.org/officeDocument/2006/relationships/image" Target="../media/image218.png"/><Relationship Id="rId2" Type="http://schemas.openxmlformats.org/officeDocument/2006/relationships/image" Target="../media/image221.jpeg"/><Relationship Id="rId16" Type="http://schemas.openxmlformats.org/officeDocument/2006/relationships/image" Target="../media/image202.png"/><Relationship Id="rId20" Type="http://schemas.openxmlformats.org/officeDocument/2006/relationships/image" Target="../media/image232.png"/><Relationship Id="rId29" Type="http://schemas.openxmlformats.org/officeDocument/2006/relationships/image" Target="../media/image75.png"/><Relationship Id="rId1" Type="http://schemas.openxmlformats.org/officeDocument/2006/relationships/image" Target="../media/image220.jpeg"/><Relationship Id="rId6" Type="http://schemas.openxmlformats.org/officeDocument/2006/relationships/image" Target="../media/image225.jpeg"/><Relationship Id="rId11" Type="http://schemas.openxmlformats.org/officeDocument/2006/relationships/image" Target="../media/image178.emf"/><Relationship Id="rId24" Type="http://schemas.openxmlformats.org/officeDocument/2006/relationships/image" Target="../media/image206.png"/><Relationship Id="rId5" Type="http://schemas.openxmlformats.org/officeDocument/2006/relationships/image" Target="../media/image224.jpeg"/><Relationship Id="rId15" Type="http://schemas.openxmlformats.org/officeDocument/2006/relationships/image" Target="../media/image201.jpeg"/><Relationship Id="rId23" Type="http://schemas.openxmlformats.org/officeDocument/2006/relationships/image" Target="../media/image198.emf"/><Relationship Id="rId28" Type="http://schemas.openxmlformats.org/officeDocument/2006/relationships/image" Target="../media/image74.png"/><Relationship Id="rId10" Type="http://schemas.openxmlformats.org/officeDocument/2006/relationships/image" Target="../media/image203.png"/><Relationship Id="rId19" Type="http://schemas.openxmlformats.org/officeDocument/2006/relationships/image" Target="../media/image231.png"/><Relationship Id="rId4" Type="http://schemas.openxmlformats.org/officeDocument/2006/relationships/image" Target="../media/image223.jpeg"/><Relationship Id="rId9" Type="http://schemas.openxmlformats.org/officeDocument/2006/relationships/image" Target="../media/image228.jpeg"/><Relationship Id="rId14" Type="http://schemas.openxmlformats.org/officeDocument/2006/relationships/image" Target="../media/image229.emf"/><Relationship Id="rId22" Type="http://schemas.openxmlformats.org/officeDocument/2006/relationships/image" Target="../media/image210.emf"/><Relationship Id="rId27" Type="http://schemas.openxmlformats.org/officeDocument/2006/relationships/image" Target="../media/image21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5.jpeg"/><Relationship Id="rId18" Type="http://schemas.openxmlformats.org/officeDocument/2006/relationships/image" Target="../media/image40.jpeg"/><Relationship Id="rId26" Type="http://schemas.openxmlformats.org/officeDocument/2006/relationships/image" Target="../media/image48.jpeg"/><Relationship Id="rId39" Type="http://schemas.openxmlformats.org/officeDocument/2006/relationships/image" Target="../media/image61.jpeg"/><Relationship Id="rId21" Type="http://schemas.openxmlformats.org/officeDocument/2006/relationships/image" Target="../media/image43.jpeg"/><Relationship Id="rId34" Type="http://schemas.openxmlformats.org/officeDocument/2006/relationships/image" Target="../media/image56.jpeg"/><Relationship Id="rId42" Type="http://schemas.openxmlformats.org/officeDocument/2006/relationships/image" Target="../media/image64.jpeg"/><Relationship Id="rId47" Type="http://schemas.openxmlformats.org/officeDocument/2006/relationships/image" Target="../media/image69.jpeg"/><Relationship Id="rId50" Type="http://schemas.openxmlformats.org/officeDocument/2006/relationships/image" Target="../media/image72.png"/><Relationship Id="rId55" Type="http://schemas.openxmlformats.org/officeDocument/2006/relationships/image" Target="../media/image77.png"/><Relationship Id="rId7" Type="http://schemas.openxmlformats.org/officeDocument/2006/relationships/image" Target="../media/image29.jpeg"/><Relationship Id="rId2" Type="http://schemas.openxmlformats.org/officeDocument/2006/relationships/image" Target="../media/image24.jpeg"/><Relationship Id="rId16" Type="http://schemas.openxmlformats.org/officeDocument/2006/relationships/image" Target="../media/image38.jpeg"/><Relationship Id="rId29" Type="http://schemas.openxmlformats.org/officeDocument/2006/relationships/image" Target="../media/image51.jpeg"/><Relationship Id="rId11" Type="http://schemas.openxmlformats.org/officeDocument/2006/relationships/image" Target="../media/image33.jpeg"/><Relationship Id="rId24" Type="http://schemas.openxmlformats.org/officeDocument/2006/relationships/image" Target="../media/image46.jpeg"/><Relationship Id="rId32" Type="http://schemas.openxmlformats.org/officeDocument/2006/relationships/image" Target="../media/image54.jpeg"/><Relationship Id="rId37" Type="http://schemas.openxmlformats.org/officeDocument/2006/relationships/image" Target="../media/image59.jpeg"/><Relationship Id="rId40" Type="http://schemas.openxmlformats.org/officeDocument/2006/relationships/image" Target="../media/image62.jpeg"/><Relationship Id="rId45" Type="http://schemas.openxmlformats.org/officeDocument/2006/relationships/image" Target="../media/image67.jpeg"/><Relationship Id="rId53" Type="http://schemas.openxmlformats.org/officeDocument/2006/relationships/image" Target="../media/image75.png"/><Relationship Id="rId58" Type="http://schemas.openxmlformats.org/officeDocument/2006/relationships/image" Target="../media/image80.jpeg"/><Relationship Id="rId5" Type="http://schemas.openxmlformats.org/officeDocument/2006/relationships/image" Target="../media/image27.jpeg"/><Relationship Id="rId61" Type="http://schemas.openxmlformats.org/officeDocument/2006/relationships/image" Target="../media/image83.emf"/><Relationship Id="rId19" Type="http://schemas.openxmlformats.org/officeDocument/2006/relationships/image" Target="../media/image41.jpeg"/><Relationship Id="rId14" Type="http://schemas.openxmlformats.org/officeDocument/2006/relationships/image" Target="../media/image36.jpeg"/><Relationship Id="rId22" Type="http://schemas.openxmlformats.org/officeDocument/2006/relationships/image" Target="../media/image44.jpeg"/><Relationship Id="rId27" Type="http://schemas.openxmlformats.org/officeDocument/2006/relationships/image" Target="../media/image49.jpeg"/><Relationship Id="rId30" Type="http://schemas.openxmlformats.org/officeDocument/2006/relationships/image" Target="../media/image52.jpeg"/><Relationship Id="rId35" Type="http://schemas.openxmlformats.org/officeDocument/2006/relationships/image" Target="../media/image57.jpeg"/><Relationship Id="rId43" Type="http://schemas.openxmlformats.org/officeDocument/2006/relationships/image" Target="../media/image65.jpeg"/><Relationship Id="rId48" Type="http://schemas.openxmlformats.org/officeDocument/2006/relationships/image" Target="../media/image70.png"/><Relationship Id="rId56" Type="http://schemas.openxmlformats.org/officeDocument/2006/relationships/image" Target="../media/image78.png"/><Relationship Id="rId8" Type="http://schemas.openxmlformats.org/officeDocument/2006/relationships/image" Target="../media/image30.jpeg"/><Relationship Id="rId51" Type="http://schemas.openxmlformats.org/officeDocument/2006/relationships/image" Target="../media/image73.png"/><Relationship Id="rId3" Type="http://schemas.openxmlformats.org/officeDocument/2006/relationships/image" Target="../media/image25.jpeg"/><Relationship Id="rId12" Type="http://schemas.openxmlformats.org/officeDocument/2006/relationships/image" Target="../media/image34.jpeg"/><Relationship Id="rId17" Type="http://schemas.openxmlformats.org/officeDocument/2006/relationships/image" Target="../media/image39.jpeg"/><Relationship Id="rId25" Type="http://schemas.openxmlformats.org/officeDocument/2006/relationships/image" Target="../media/image47.jpeg"/><Relationship Id="rId33" Type="http://schemas.openxmlformats.org/officeDocument/2006/relationships/image" Target="../media/image55.jpeg"/><Relationship Id="rId38" Type="http://schemas.openxmlformats.org/officeDocument/2006/relationships/image" Target="../media/image60.jpeg"/><Relationship Id="rId46" Type="http://schemas.openxmlformats.org/officeDocument/2006/relationships/image" Target="../media/image68.png"/><Relationship Id="rId59" Type="http://schemas.openxmlformats.org/officeDocument/2006/relationships/image" Target="../media/image81.png"/><Relationship Id="rId20" Type="http://schemas.openxmlformats.org/officeDocument/2006/relationships/image" Target="../media/image42.jpeg"/><Relationship Id="rId41" Type="http://schemas.openxmlformats.org/officeDocument/2006/relationships/image" Target="../media/image63.jpeg"/><Relationship Id="rId54" Type="http://schemas.openxmlformats.org/officeDocument/2006/relationships/image" Target="../media/image76.png"/><Relationship Id="rId1" Type="http://schemas.openxmlformats.org/officeDocument/2006/relationships/image" Target="../media/image23.jpeg"/><Relationship Id="rId6" Type="http://schemas.openxmlformats.org/officeDocument/2006/relationships/image" Target="../media/image28.emf"/><Relationship Id="rId15" Type="http://schemas.openxmlformats.org/officeDocument/2006/relationships/image" Target="../media/image37.jpeg"/><Relationship Id="rId23" Type="http://schemas.openxmlformats.org/officeDocument/2006/relationships/image" Target="../media/image45.jpeg"/><Relationship Id="rId28" Type="http://schemas.openxmlformats.org/officeDocument/2006/relationships/image" Target="../media/image50.jpeg"/><Relationship Id="rId36" Type="http://schemas.openxmlformats.org/officeDocument/2006/relationships/image" Target="../media/image58.jpeg"/><Relationship Id="rId49" Type="http://schemas.openxmlformats.org/officeDocument/2006/relationships/image" Target="../media/image71.png"/><Relationship Id="rId57" Type="http://schemas.openxmlformats.org/officeDocument/2006/relationships/image" Target="../media/image79.png"/><Relationship Id="rId10" Type="http://schemas.openxmlformats.org/officeDocument/2006/relationships/image" Target="../media/image32.jpeg"/><Relationship Id="rId31" Type="http://schemas.openxmlformats.org/officeDocument/2006/relationships/image" Target="../media/image53.jpeg"/><Relationship Id="rId44" Type="http://schemas.openxmlformats.org/officeDocument/2006/relationships/image" Target="../media/image66.jpeg"/><Relationship Id="rId52" Type="http://schemas.openxmlformats.org/officeDocument/2006/relationships/image" Target="../media/image74.png"/><Relationship Id="rId60" Type="http://schemas.openxmlformats.org/officeDocument/2006/relationships/image" Target="../media/image82.emf"/><Relationship Id="rId4" Type="http://schemas.openxmlformats.org/officeDocument/2006/relationships/image" Target="../media/image26.jpeg"/><Relationship Id="rId9"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41.jpeg"/><Relationship Id="rId18" Type="http://schemas.openxmlformats.org/officeDocument/2006/relationships/image" Target="../media/image47.jpeg"/><Relationship Id="rId26" Type="http://schemas.openxmlformats.org/officeDocument/2006/relationships/image" Target="../media/image55.jpeg"/><Relationship Id="rId39" Type="http://schemas.openxmlformats.org/officeDocument/2006/relationships/image" Target="../media/image60.jpeg"/><Relationship Id="rId21" Type="http://schemas.openxmlformats.org/officeDocument/2006/relationships/image" Target="../media/image51.jpeg"/><Relationship Id="rId34" Type="http://schemas.openxmlformats.org/officeDocument/2006/relationships/image" Target="../media/image87.jpeg"/><Relationship Id="rId42" Type="http://schemas.openxmlformats.org/officeDocument/2006/relationships/image" Target="../media/image67.jpeg"/><Relationship Id="rId47" Type="http://schemas.openxmlformats.org/officeDocument/2006/relationships/image" Target="../media/image74.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3.jpeg"/><Relationship Id="rId2" Type="http://schemas.openxmlformats.org/officeDocument/2006/relationships/image" Target="../media/image27.jpeg"/><Relationship Id="rId16" Type="http://schemas.openxmlformats.org/officeDocument/2006/relationships/image" Target="../media/image45.jpeg"/><Relationship Id="rId29" Type="http://schemas.openxmlformats.org/officeDocument/2006/relationships/image" Target="../media/image58.jpeg"/><Relationship Id="rId11" Type="http://schemas.openxmlformats.org/officeDocument/2006/relationships/image" Target="../media/image38.jpeg"/><Relationship Id="rId24" Type="http://schemas.openxmlformats.org/officeDocument/2006/relationships/image" Target="../media/image54.jpeg"/><Relationship Id="rId32" Type="http://schemas.openxmlformats.org/officeDocument/2006/relationships/image" Target="../media/image85.jpeg"/><Relationship Id="rId37" Type="http://schemas.openxmlformats.org/officeDocument/2006/relationships/image" Target="../media/image39.jpeg"/><Relationship Id="rId40" Type="http://schemas.openxmlformats.org/officeDocument/2006/relationships/image" Target="../media/image64.jpeg"/><Relationship Id="rId45" Type="http://schemas.openxmlformats.org/officeDocument/2006/relationships/image" Target="../media/image37.jpeg"/><Relationship Id="rId53" Type="http://schemas.openxmlformats.org/officeDocument/2006/relationships/image" Target="../media/image91.png"/><Relationship Id="rId5" Type="http://schemas.openxmlformats.org/officeDocument/2006/relationships/image" Target="../media/image31.jpeg"/><Relationship Id="rId19" Type="http://schemas.openxmlformats.org/officeDocument/2006/relationships/image" Target="../media/image48.jpe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2.jpeg"/><Relationship Id="rId22" Type="http://schemas.openxmlformats.org/officeDocument/2006/relationships/image" Target="../media/image52.jpeg"/><Relationship Id="rId27" Type="http://schemas.openxmlformats.org/officeDocument/2006/relationships/image" Target="../media/image56.jpeg"/><Relationship Id="rId30" Type="http://schemas.openxmlformats.org/officeDocument/2006/relationships/image" Target="../media/image61.jpeg"/><Relationship Id="rId35" Type="http://schemas.openxmlformats.org/officeDocument/2006/relationships/image" Target="../media/image88.emf"/><Relationship Id="rId43" Type="http://schemas.openxmlformats.org/officeDocument/2006/relationships/image" Target="../media/image89.png"/><Relationship Id="rId48" Type="http://schemas.openxmlformats.org/officeDocument/2006/relationships/image" Target="../media/image75.png"/><Relationship Id="rId56" Type="http://schemas.openxmlformats.org/officeDocument/2006/relationships/image" Target="../media/image82.emf"/><Relationship Id="rId8" Type="http://schemas.openxmlformats.org/officeDocument/2006/relationships/image" Target="../media/image34.jpeg"/><Relationship Id="rId51" Type="http://schemas.openxmlformats.org/officeDocument/2006/relationships/image" Target="../media/image76.png"/><Relationship Id="rId3" Type="http://schemas.openxmlformats.org/officeDocument/2006/relationships/image" Target="../media/image29.jpeg"/><Relationship Id="rId12" Type="http://schemas.openxmlformats.org/officeDocument/2006/relationships/image" Target="../media/image40.jpeg"/><Relationship Id="rId17" Type="http://schemas.openxmlformats.org/officeDocument/2006/relationships/image" Target="../media/image46.jpeg"/><Relationship Id="rId25" Type="http://schemas.openxmlformats.org/officeDocument/2006/relationships/image" Target="../media/image80.jpeg"/><Relationship Id="rId33" Type="http://schemas.openxmlformats.org/officeDocument/2006/relationships/image" Target="../media/image86.jpeg"/><Relationship Id="rId38" Type="http://schemas.openxmlformats.org/officeDocument/2006/relationships/image" Target="../media/image63.jpeg"/><Relationship Id="rId46" Type="http://schemas.openxmlformats.org/officeDocument/2006/relationships/image" Target="../media/image70.png"/><Relationship Id="rId20" Type="http://schemas.openxmlformats.org/officeDocument/2006/relationships/image" Target="../media/image49.jpeg"/><Relationship Id="rId41" Type="http://schemas.openxmlformats.org/officeDocument/2006/relationships/image" Target="../media/image66.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2.jpeg"/><Relationship Id="rId15" Type="http://schemas.openxmlformats.org/officeDocument/2006/relationships/image" Target="../media/image43.jpeg"/><Relationship Id="rId23" Type="http://schemas.openxmlformats.org/officeDocument/2006/relationships/image" Target="../media/image53.jpeg"/><Relationship Id="rId28" Type="http://schemas.openxmlformats.org/officeDocument/2006/relationships/image" Target="../media/image57.jpeg"/><Relationship Id="rId36" Type="http://schemas.openxmlformats.org/officeDocument/2006/relationships/image" Target="../media/image24.jpeg"/><Relationship Id="rId49" Type="http://schemas.openxmlformats.org/officeDocument/2006/relationships/image" Target="../media/image73.png"/><Relationship Id="rId57" Type="http://schemas.openxmlformats.org/officeDocument/2006/relationships/image" Target="../media/image83.emf"/><Relationship Id="rId10" Type="http://schemas.openxmlformats.org/officeDocument/2006/relationships/image" Target="../media/image36.jpeg"/><Relationship Id="rId31" Type="http://schemas.openxmlformats.org/officeDocument/2006/relationships/image" Target="../media/image84.jpeg"/><Relationship Id="rId44" Type="http://schemas.openxmlformats.org/officeDocument/2006/relationships/image" Target="../media/image90.jpeg"/><Relationship Id="rId52" Type="http://schemas.openxmlformats.org/officeDocument/2006/relationships/image" Target="../media/image77.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2.jpeg"/><Relationship Id="rId18" Type="http://schemas.openxmlformats.org/officeDocument/2006/relationships/image" Target="../media/image48.jpeg"/><Relationship Id="rId26" Type="http://schemas.openxmlformats.org/officeDocument/2006/relationships/image" Target="../media/image56.jpeg"/><Relationship Id="rId39" Type="http://schemas.openxmlformats.org/officeDocument/2006/relationships/image" Target="../media/image93.jpeg"/><Relationship Id="rId21" Type="http://schemas.openxmlformats.org/officeDocument/2006/relationships/image" Target="../media/image52.jpeg"/><Relationship Id="rId34" Type="http://schemas.openxmlformats.org/officeDocument/2006/relationships/image" Target="../media/image24.jpeg"/><Relationship Id="rId42" Type="http://schemas.openxmlformats.org/officeDocument/2006/relationships/image" Target="../media/image94.png"/><Relationship Id="rId47" Type="http://schemas.openxmlformats.org/officeDocument/2006/relationships/image" Target="../media/image70.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6.jpeg"/><Relationship Id="rId29" Type="http://schemas.openxmlformats.org/officeDocument/2006/relationships/image" Target="../media/image61.jpeg"/><Relationship Id="rId11" Type="http://schemas.openxmlformats.org/officeDocument/2006/relationships/image" Target="../media/image40.jpeg"/><Relationship Id="rId24" Type="http://schemas.openxmlformats.org/officeDocument/2006/relationships/image" Target="../media/image80.jpeg"/><Relationship Id="rId32" Type="http://schemas.openxmlformats.org/officeDocument/2006/relationships/image" Target="../media/image86.jpeg"/><Relationship Id="rId37" Type="http://schemas.openxmlformats.org/officeDocument/2006/relationships/image" Target="../media/image60.jpeg"/><Relationship Id="rId40" Type="http://schemas.openxmlformats.org/officeDocument/2006/relationships/image" Target="../media/image66.jpeg"/><Relationship Id="rId45" Type="http://schemas.openxmlformats.org/officeDocument/2006/relationships/image" Target="../media/image74.png"/><Relationship Id="rId53" Type="http://schemas.openxmlformats.org/officeDocument/2006/relationships/image" Target="../media/image97.png"/><Relationship Id="rId58" Type="http://schemas.openxmlformats.org/officeDocument/2006/relationships/image" Target="../media/image83.emf"/><Relationship Id="rId5" Type="http://schemas.openxmlformats.org/officeDocument/2006/relationships/image" Target="../media/image32.jpeg"/><Relationship Id="rId19" Type="http://schemas.openxmlformats.org/officeDocument/2006/relationships/image" Target="../media/image49.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3.jpeg"/><Relationship Id="rId22" Type="http://schemas.openxmlformats.org/officeDocument/2006/relationships/image" Target="../media/image53.jpeg"/><Relationship Id="rId27" Type="http://schemas.openxmlformats.org/officeDocument/2006/relationships/image" Target="../media/image57.jpeg"/><Relationship Id="rId30" Type="http://schemas.openxmlformats.org/officeDocument/2006/relationships/image" Target="../media/image84.jpeg"/><Relationship Id="rId35" Type="http://schemas.openxmlformats.org/officeDocument/2006/relationships/image" Target="../media/image39.jpeg"/><Relationship Id="rId43" Type="http://schemas.openxmlformats.org/officeDocument/2006/relationships/image" Target="../media/image95.png"/><Relationship Id="rId48" Type="http://schemas.openxmlformats.org/officeDocument/2006/relationships/image" Target="../media/image37.jpeg"/><Relationship Id="rId56" Type="http://schemas.openxmlformats.org/officeDocument/2006/relationships/image" Target="../media/image27.jpeg"/><Relationship Id="rId8" Type="http://schemas.openxmlformats.org/officeDocument/2006/relationships/image" Target="../media/image35.jpeg"/><Relationship Id="rId51" Type="http://schemas.openxmlformats.org/officeDocument/2006/relationships/image" Target="../media/image76.png"/><Relationship Id="rId3" Type="http://schemas.openxmlformats.org/officeDocument/2006/relationships/image" Target="../media/image30.jpeg"/><Relationship Id="rId12" Type="http://schemas.openxmlformats.org/officeDocument/2006/relationships/image" Target="../media/image41.jpeg"/><Relationship Id="rId17" Type="http://schemas.openxmlformats.org/officeDocument/2006/relationships/image" Target="../media/image47.jpeg"/><Relationship Id="rId25" Type="http://schemas.openxmlformats.org/officeDocument/2006/relationships/image" Target="../media/image55.jpeg"/><Relationship Id="rId33" Type="http://schemas.openxmlformats.org/officeDocument/2006/relationships/image" Target="../media/image92.jpeg"/><Relationship Id="rId38" Type="http://schemas.openxmlformats.org/officeDocument/2006/relationships/image" Target="../media/image64.jpeg"/><Relationship Id="rId46" Type="http://schemas.openxmlformats.org/officeDocument/2006/relationships/image" Target="../media/image75.png"/><Relationship Id="rId20" Type="http://schemas.openxmlformats.org/officeDocument/2006/relationships/image" Target="../media/image51.jpeg"/><Relationship Id="rId41" Type="http://schemas.openxmlformats.org/officeDocument/2006/relationships/image" Target="../media/image67.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5.jpeg"/><Relationship Id="rId23" Type="http://schemas.openxmlformats.org/officeDocument/2006/relationships/image" Target="../media/image54.jpeg"/><Relationship Id="rId28" Type="http://schemas.openxmlformats.org/officeDocument/2006/relationships/image" Target="../media/image58.jpeg"/><Relationship Id="rId36" Type="http://schemas.openxmlformats.org/officeDocument/2006/relationships/image" Target="../media/image63.jpeg"/><Relationship Id="rId49" Type="http://schemas.openxmlformats.org/officeDocument/2006/relationships/image" Target="../media/image73.png"/><Relationship Id="rId57" Type="http://schemas.openxmlformats.org/officeDocument/2006/relationships/image" Target="../media/image82.emf"/><Relationship Id="rId10" Type="http://schemas.openxmlformats.org/officeDocument/2006/relationships/image" Target="../media/image38.jpeg"/><Relationship Id="rId31" Type="http://schemas.openxmlformats.org/officeDocument/2006/relationships/image" Target="../media/image85.jpeg"/><Relationship Id="rId44" Type="http://schemas.openxmlformats.org/officeDocument/2006/relationships/image" Target="../media/image96.jpeg"/><Relationship Id="rId52" Type="http://schemas.openxmlformats.org/officeDocument/2006/relationships/image" Target="../media/image77.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3.jpeg"/><Relationship Id="rId18" Type="http://schemas.openxmlformats.org/officeDocument/2006/relationships/image" Target="../media/image49.jpeg"/><Relationship Id="rId26" Type="http://schemas.openxmlformats.org/officeDocument/2006/relationships/image" Target="../media/image57.jpeg"/><Relationship Id="rId39" Type="http://schemas.openxmlformats.org/officeDocument/2006/relationships/image" Target="../media/image67.jpeg"/><Relationship Id="rId21" Type="http://schemas.openxmlformats.org/officeDocument/2006/relationships/image" Target="../media/image53.jpeg"/><Relationship Id="rId34" Type="http://schemas.openxmlformats.org/officeDocument/2006/relationships/image" Target="../media/image63.jpeg"/><Relationship Id="rId42" Type="http://schemas.openxmlformats.org/officeDocument/2006/relationships/image" Target="../media/image74.png"/><Relationship Id="rId47" Type="http://schemas.openxmlformats.org/officeDocument/2006/relationships/image" Target="../media/image28.emf"/><Relationship Id="rId50" Type="http://schemas.openxmlformats.org/officeDocument/2006/relationships/image" Target="../media/image102.png"/><Relationship Id="rId55" Type="http://schemas.openxmlformats.org/officeDocument/2006/relationships/image" Target="../media/image83.emf"/><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7.jpeg"/><Relationship Id="rId29" Type="http://schemas.openxmlformats.org/officeDocument/2006/relationships/image" Target="../media/image99.jpeg"/><Relationship Id="rId11" Type="http://schemas.openxmlformats.org/officeDocument/2006/relationships/image" Target="../media/image40.jpeg"/><Relationship Id="rId24" Type="http://schemas.openxmlformats.org/officeDocument/2006/relationships/image" Target="../media/image55.jpeg"/><Relationship Id="rId32" Type="http://schemas.openxmlformats.org/officeDocument/2006/relationships/image" Target="../media/image86.jpeg"/><Relationship Id="rId37" Type="http://schemas.openxmlformats.org/officeDocument/2006/relationships/image" Target="../media/image64.jpeg"/><Relationship Id="rId40" Type="http://schemas.openxmlformats.org/officeDocument/2006/relationships/image" Target="../media/image95.png"/><Relationship Id="rId45" Type="http://schemas.openxmlformats.org/officeDocument/2006/relationships/image" Target="../media/image37.jpeg"/><Relationship Id="rId53" Type="http://schemas.openxmlformats.org/officeDocument/2006/relationships/image" Target="../media/image27.jpeg"/><Relationship Id="rId5" Type="http://schemas.openxmlformats.org/officeDocument/2006/relationships/image" Target="../media/image32.jpeg"/><Relationship Id="rId10" Type="http://schemas.openxmlformats.org/officeDocument/2006/relationships/image" Target="../media/image38.jpeg"/><Relationship Id="rId19" Type="http://schemas.openxmlformats.org/officeDocument/2006/relationships/image" Target="../media/image51.jpeg"/><Relationship Id="rId31" Type="http://schemas.openxmlformats.org/officeDocument/2006/relationships/image" Target="../media/image100.jpeg"/><Relationship Id="rId44" Type="http://schemas.openxmlformats.org/officeDocument/2006/relationships/image" Target="../media/image70.png"/><Relationship Id="rId52" Type="http://schemas.openxmlformats.org/officeDocument/2006/relationships/image" Target="../media/image81.pn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5.jpeg"/><Relationship Id="rId22" Type="http://schemas.openxmlformats.org/officeDocument/2006/relationships/image" Target="../media/image54.jpeg"/><Relationship Id="rId27" Type="http://schemas.openxmlformats.org/officeDocument/2006/relationships/image" Target="../media/image58.jpeg"/><Relationship Id="rId30" Type="http://schemas.openxmlformats.org/officeDocument/2006/relationships/image" Target="../media/image85.jpeg"/><Relationship Id="rId35" Type="http://schemas.openxmlformats.org/officeDocument/2006/relationships/image" Target="../media/image42.jpeg"/><Relationship Id="rId43" Type="http://schemas.openxmlformats.org/officeDocument/2006/relationships/image" Target="../media/image75.png"/><Relationship Id="rId48" Type="http://schemas.openxmlformats.org/officeDocument/2006/relationships/image" Target="../media/image76.png"/><Relationship Id="rId8" Type="http://schemas.openxmlformats.org/officeDocument/2006/relationships/image" Target="../media/image35.jpeg"/><Relationship Id="rId51" Type="http://schemas.openxmlformats.org/officeDocument/2006/relationships/image" Target="../media/image79.png"/><Relationship Id="rId3" Type="http://schemas.openxmlformats.org/officeDocument/2006/relationships/image" Target="../media/image30.jpeg"/><Relationship Id="rId12" Type="http://schemas.openxmlformats.org/officeDocument/2006/relationships/image" Target="../media/image41.jpeg"/><Relationship Id="rId17" Type="http://schemas.openxmlformats.org/officeDocument/2006/relationships/image" Target="../media/image48.jpeg"/><Relationship Id="rId25" Type="http://schemas.openxmlformats.org/officeDocument/2006/relationships/image" Target="../media/image56.jpeg"/><Relationship Id="rId33" Type="http://schemas.openxmlformats.org/officeDocument/2006/relationships/image" Target="../media/image39.jpeg"/><Relationship Id="rId38" Type="http://schemas.openxmlformats.org/officeDocument/2006/relationships/image" Target="../media/image66.jpeg"/><Relationship Id="rId46" Type="http://schemas.openxmlformats.org/officeDocument/2006/relationships/image" Target="../media/image73.png"/><Relationship Id="rId20" Type="http://schemas.openxmlformats.org/officeDocument/2006/relationships/image" Target="../media/image52.jpeg"/><Relationship Id="rId41" Type="http://schemas.openxmlformats.org/officeDocument/2006/relationships/image" Target="../media/image101.jpeg"/><Relationship Id="rId54" Type="http://schemas.openxmlformats.org/officeDocument/2006/relationships/image" Target="../media/image82.emf"/><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6.jpeg"/><Relationship Id="rId23" Type="http://schemas.openxmlformats.org/officeDocument/2006/relationships/image" Target="../media/image80.jpeg"/><Relationship Id="rId28" Type="http://schemas.openxmlformats.org/officeDocument/2006/relationships/image" Target="../media/image61.jpeg"/><Relationship Id="rId36" Type="http://schemas.openxmlformats.org/officeDocument/2006/relationships/image" Target="../media/image60.jpeg"/><Relationship Id="rId49" Type="http://schemas.openxmlformats.org/officeDocument/2006/relationships/image" Target="../media/image77.png"/></Relationships>
</file>

<file path=xl/drawings/_rels/drawing6.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60.jpeg"/><Relationship Id="rId21" Type="http://schemas.openxmlformats.org/officeDocument/2006/relationships/image" Target="../media/image54.jpeg"/><Relationship Id="rId34" Type="http://schemas.openxmlformats.org/officeDocument/2006/relationships/image" Target="../media/image107.jpeg"/><Relationship Id="rId42" Type="http://schemas.openxmlformats.org/officeDocument/2006/relationships/image" Target="../media/image67.jpeg"/><Relationship Id="rId47" Type="http://schemas.openxmlformats.org/officeDocument/2006/relationships/image" Target="../media/image70.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05.jpeg"/><Relationship Id="rId37" Type="http://schemas.openxmlformats.org/officeDocument/2006/relationships/image" Target="../media/image63.jpeg"/><Relationship Id="rId40" Type="http://schemas.openxmlformats.org/officeDocument/2006/relationships/image" Target="../media/image64.jpeg"/><Relationship Id="rId45" Type="http://schemas.openxmlformats.org/officeDocument/2006/relationships/image" Target="../media/image74.png"/><Relationship Id="rId53" Type="http://schemas.openxmlformats.org/officeDocument/2006/relationships/image" Target="../media/image110.png"/><Relationship Id="rId58" Type="http://schemas.openxmlformats.org/officeDocument/2006/relationships/image" Target="../media/image83.emf"/><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103.jpeg"/><Relationship Id="rId35" Type="http://schemas.openxmlformats.org/officeDocument/2006/relationships/image" Target="../media/image38.jpeg"/><Relationship Id="rId43" Type="http://schemas.openxmlformats.org/officeDocument/2006/relationships/image" Target="../media/image108.png"/><Relationship Id="rId48" Type="http://schemas.openxmlformats.org/officeDocument/2006/relationships/image" Target="../media/image37.jpeg"/><Relationship Id="rId56" Type="http://schemas.openxmlformats.org/officeDocument/2006/relationships/image" Target="../media/image27.jpeg"/><Relationship Id="rId8" Type="http://schemas.openxmlformats.org/officeDocument/2006/relationships/image" Target="../media/image35.jpeg"/><Relationship Id="rId51" Type="http://schemas.openxmlformats.org/officeDocument/2006/relationships/image" Target="../media/image76.png"/><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106.jpeg"/><Relationship Id="rId38" Type="http://schemas.openxmlformats.org/officeDocument/2006/relationships/image" Target="../media/image42.jpeg"/><Relationship Id="rId46" Type="http://schemas.openxmlformats.org/officeDocument/2006/relationships/image" Target="../media/image75.png"/><Relationship Id="rId20" Type="http://schemas.openxmlformats.org/officeDocument/2006/relationships/image" Target="../media/image53.jpeg"/><Relationship Id="rId41" Type="http://schemas.openxmlformats.org/officeDocument/2006/relationships/image" Target="../media/image66.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2.jpeg"/><Relationship Id="rId36" Type="http://schemas.openxmlformats.org/officeDocument/2006/relationships/image" Target="../media/image39.jpeg"/><Relationship Id="rId49" Type="http://schemas.openxmlformats.org/officeDocument/2006/relationships/image" Target="../media/image73.png"/><Relationship Id="rId57" Type="http://schemas.openxmlformats.org/officeDocument/2006/relationships/image" Target="../media/image82.emf"/><Relationship Id="rId10" Type="http://schemas.openxmlformats.org/officeDocument/2006/relationships/image" Target="../media/image40.jpeg"/><Relationship Id="rId31" Type="http://schemas.openxmlformats.org/officeDocument/2006/relationships/image" Target="../media/image104.jpeg"/><Relationship Id="rId44" Type="http://schemas.openxmlformats.org/officeDocument/2006/relationships/image" Target="../media/image109.jpeg"/><Relationship Id="rId52" Type="http://schemas.openxmlformats.org/officeDocument/2006/relationships/image" Target="../media/image77.png"/></Relationships>
</file>

<file path=xl/drawings/_rels/drawing7.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42.jpeg"/><Relationship Id="rId21" Type="http://schemas.openxmlformats.org/officeDocument/2006/relationships/image" Target="../media/image54.jpeg"/><Relationship Id="rId34" Type="http://schemas.openxmlformats.org/officeDocument/2006/relationships/image" Target="../media/image107.jpeg"/><Relationship Id="rId42" Type="http://schemas.openxmlformats.org/officeDocument/2006/relationships/image" Target="../media/image66.jpeg"/><Relationship Id="rId47" Type="http://schemas.openxmlformats.org/officeDocument/2006/relationships/image" Target="../media/image75.png"/><Relationship Id="rId50" Type="http://schemas.openxmlformats.org/officeDocument/2006/relationships/image" Target="../media/image73.png"/><Relationship Id="rId55" Type="http://schemas.openxmlformats.org/officeDocument/2006/relationships/image" Target="../media/image79.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05.jpeg"/><Relationship Id="rId37" Type="http://schemas.openxmlformats.org/officeDocument/2006/relationships/image" Target="../media/image39.jpeg"/><Relationship Id="rId40" Type="http://schemas.openxmlformats.org/officeDocument/2006/relationships/image" Target="../media/image60.jpeg"/><Relationship Id="rId45" Type="http://schemas.openxmlformats.org/officeDocument/2006/relationships/image" Target="../media/image112.jpeg"/><Relationship Id="rId53" Type="http://schemas.openxmlformats.org/officeDocument/2006/relationships/image" Target="../media/image77.png"/><Relationship Id="rId58" Type="http://schemas.openxmlformats.org/officeDocument/2006/relationships/image" Target="../media/image82.emf"/><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103.jpeg"/><Relationship Id="rId35" Type="http://schemas.openxmlformats.org/officeDocument/2006/relationships/image" Target="../media/image111.jpeg"/><Relationship Id="rId43" Type="http://schemas.openxmlformats.org/officeDocument/2006/relationships/image" Target="../media/image67.jpeg"/><Relationship Id="rId48" Type="http://schemas.openxmlformats.org/officeDocument/2006/relationships/image" Target="../media/image70.png"/><Relationship Id="rId56" Type="http://schemas.openxmlformats.org/officeDocument/2006/relationships/image" Target="../media/image81.png"/><Relationship Id="rId8" Type="http://schemas.openxmlformats.org/officeDocument/2006/relationships/image" Target="../media/image35.jpeg"/><Relationship Id="rId51" Type="http://schemas.openxmlformats.org/officeDocument/2006/relationships/image" Target="../media/image28.emf"/><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106.jpeg"/><Relationship Id="rId38" Type="http://schemas.openxmlformats.org/officeDocument/2006/relationships/image" Target="../media/image63.jpeg"/><Relationship Id="rId46" Type="http://schemas.openxmlformats.org/officeDocument/2006/relationships/image" Target="../media/image74.png"/><Relationship Id="rId59" Type="http://schemas.openxmlformats.org/officeDocument/2006/relationships/image" Target="../media/image83.emf"/><Relationship Id="rId20" Type="http://schemas.openxmlformats.org/officeDocument/2006/relationships/image" Target="../media/image53.jpeg"/><Relationship Id="rId41" Type="http://schemas.openxmlformats.org/officeDocument/2006/relationships/image" Target="../media/image64.jpeg"/><Relationship Id="rId54" Type="http://schemas.openxmlformats.org/officeDocument/2006/relationships/image" Target="../media/image113.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84.jpeg"/><Relationship Id="rId36" Type="http://schemas.openxmlformats.org/officeDocument/2006/relationships/image" Target="../media/image38.jpeg"/><Relationship Id="rId49" Type="http://schemas.openxmlformats.org/officeDocument/2006/relationships/image" Target="../media/image37.jpeg"/><Relationship Id="rId57" Type="http://schemas.openxmlformats.org/officeDocument/2006/relationships/image" Target="../media/image27.jpeg"/><Relationship Id="rId10" Type="http://schemas.openxmlformats.org/officeDocument/2006/relationships/image" Target="../media/image40.jpeg"/><Relationship Id="rId31" Type="http://schemas.openxmlformats.org/officeDocument/2006/relationships/image" Target="../media/image104.jpeg"/><Relationship Id="rId44" Type="http://schemas.openxmlformats.org/officeDocument/2006/relationships/image" Target="../media/image108.png"/><Relationship Id="rId52" Type="http://schemas.openxmlformats.org/officeDocument/2006/relationships/image" Target="../media/image76.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66.jpeg"/><Relationship Id="rId21" Type="http://schemas.openxmlformats.org/officeDocument/2006/relationships/image" Target="../media/image54.jpeg"/><Relationship Id="rId34" Type="http://schemas.openxmlformats.org/officeDocument/2006/relationships/image" Target="../media/image39.jpeg"/><Relationship Id="rId42" Type="http://schemas.openxmlformats.org/officeDocument/2006/relationships/image" Target="../media/image117.jpeg"/><Relationship Id="rId47" Type="http://schemas.openxmlformats.org/officeDocument/2006/relationships/image" Target="../media/image73.png"/><Relationship Id="rId50" Type="http://schemas.openxmlformats.org/officeDocument/2006/relationships/image" Target="../media/image77.png"/><Relationship Id="rId55" Type="http://schemas.openxmlformats.org/officeDocument/2006/relationships/image" Target="../media/image27.jpe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16.jpeg"/><Relationship Id="rId37" Type="http://schemas.openxmlformats.org/officeDocument/2006/relationships/image" Target="../media/image60.jpeg"/><Relationship Id="rId40" Type="http://schemas.openxmlformats.org/officeDocument/2006/relationships/image" Target="../media/image67.jpeg"/><Relationship Id="rId45" Type="http://schemas.openxmlformats.org/officeDocument/2006/relationships/image" Target="../media/image70.png"/><Relationship Id="rId53" Type="http://schemas.openxmlformats.org/officeDocument/2006/relationships/image" Target="../media/image79.png"/><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86.jpeg"/><Relationship Id="rId35" Type="http://schemas.openxmlformats.org/officeDocument/2006/relationships/image" Target="../media/image63.jpeg"/><Relationship Id="rId43" Type="http://schemas.openxmlformats.org/officeDocument/2006/relationships/image" Target="../media/image74.png"/><Relationship Id="rId48" Type="http://schemas.openxmlformats.org/officeDocument/2006/relationships/image" Target="../media/image28.emf"/><Relationship Id="rId56" Type="http://schemas.openxmlformats.org/officeDocument/2006/relationships/image" Target="../media/image82.emf"/><Relationship Id="rId8" Type="http://schemas.openxmlformats.org/officeDocument/2006/relationships/image" Target="../media/image35.jpeg"/><Relationship Id="rId51" Type="http://schemas.openxmlformats.org/officeDocument/2006/relationships/image" Target="../media/image118.png"/><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38.jpeg"/><Relationship Id="rId38" Type="http://schemas.openxmlformats.org/officeDocument/2006/relationships/image" Target="../media/image64.jpeg"/><Relationship Id="rId46" Type="http://schemas.openxmlformats.org/officeDocument/2006/relationships/image" Target="../media/image37.jpeg"/><Relationship Id="rId20" Type="http://schemas.openxmlformats.org/officeDocument/2006/relationships/image" Target="../media/image53.jpeg"/><Relationship Id="rId41" Type="http://schemas.openxmlformats.org/officeDocument/2006/relationships/image" Target="../media/image108.png"/><Relationship Id="rId54" Type="http://schemas.openxmlformats.org/officeDocument/2006/relationships/image" Target="../media/image81.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114.jpeg"/><Relationship Id="rId36" Type="http://schemas.openxmlformats.org/officeDocument/2006/relationships/image" Target="../media/image42.jpeg"/><Relationship Id="rId49" Type="http://schemas.openxmlformats.org/officeDocument/2006/relationships/image" Target="../media/image76.png"/><Relationship Id="rId57" Type="http://schemas.openxmlformats.org/officeDocument/2006/relationships/image" Target="../media/image83.emf"/><Relationship Id="rId10" Type="http://schemas.openxmlformats.org/officeDocument/2006/relationships/image" Target="../media/image40.jpeg"/><Relationship Id="rId31" Type="http://schemas.openxmlformats.org/officeDocument/2006/relationships/image" Target="../media/image115.jpeg"/><Relationship Id="rId44" Type="http://schemas.openxmlformats.org/officeDocument/2006/relationships/image" Target="../media/image75.png"/><Relationship Id="rId52" Type="http://schemas.openxmlformats.org/officeDocument/2006/relationships/image" Target="../media/image11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32.jpeg"/><Relationship Id="rId18" Type="http://schemas.openxmlformats.org/officeDocument/2006/relationships/image" Target="../media/image137.jpeg"/><Relationship Id="rId26" Type="http://schemas.openxmlformats.org/officeDocument/2006/relationships/image" Target="../media/image142.png"/><Relationship Id="rId39" Type="http://schemas.openxmlformats.org/officeDocument/2006/relationships/image" Target="../media/image150.emf"/><Relationship Id="rId21" Type="http://schemas.openxmlformats.org/officeDocument/2006/relationships/image" Target="../media/image42.jpeg"/><Relationship Id="rId34" Type="http://schemas.openxmlformats.org/officeDocument/2006/relationships/image" Target="../media/image49.jpeg"/><Relationship Id="rId7" Type="http://schemas.openxmlformats.org/officeDocument/2006/relationships/image" Target="../media/image126.jpeg"/><Relationship Id="rId12" Type="http://schemas.openxmlformats.org/officeDocument/2006/relationships/image" Target="../media/image131.jpeg"/><Relationship Id="rId17" Type="http://schemas.openxmlformats.org/officeDocument/2006/relationships/image" Target="../media/image136.jpeg"/><Relationship Id="rId25" Type="http://schemas.openxmlformats.org/officeDocument/2006/relationships/image" Target="../media/image141.jpeg"/><Relationship Id="rId33" Type="http://schemas.openxmlformats.org/officeDocument/2006/relationships/image" Target="../media/image75.png"/><Relationship Id="rId38" Type="http://schemas.openxmlformats.org/officeDocument/2006/relationships/image" Target="../media/image149.emf"/><Relationship Id="rId2" Type="http://schemas.openxmlformats.org/officeDocument/2006/relationships/image" Target="../media/image121.jpeg"/><Relationship Id="rId16" Type="http://schemas.openxmlformats.org/officeDocument/2006/relationships/image" Target="../media/image135.jpeg"/><Relationship Id="rId20" Type="http://schemas.openxmlformats.org/officeDocument/2006/relationships/image" Target="../media/image139.jpeg"/><Relationship Id="rId29" Type="http://schemas.openxmlformats.org/officeDocument/2006/relationships/image" Target="../media/image144.png"/><Relationship Id="rId1" Type="http://schemas.openxmlformats.org/officeDocument/2006/relationships/image" Target="../media/image120.jpeg"/><Relationship Id="rId6" Type="http://schemas.openxmlformats.org/officeDocument/2006/relationships/image" Target="../media/image125.jpeg"/><Relationship Id="rId11" Type="http://schemas.openxmlformats.org/officeDocument/2006/relationships/image" Target="../media/image130.jpeg"/><Relationship Id="rId24" Type="http://schemas.openxmlformats.org/officeDocument/2006/relationships/image" Target="../media/image108.png"/><Relationship Id="rId32" Type="http://schemas.openxmlformats.org/officeDocument/2006/relationships/image" Target="../media/image74.png"/><Relationship Id="rId37" Type="http://schemas.openxmlformats.org/officeDocument/2006/relationships/image" Target="../media/image148.emf"/><Relationship Id="rId5" Type="http://schemas.openxmlformats.org/officeDocument/2006/relationships/image" Target="../media/image124.jpeg"/><Relationship Id="rId15" Type="http://schemas.openxmlformats.org/officeDocument/2006/relationships/image" Target="../media/image134.jpeg"/><Relationship Id="rId23" Type="http://schemas.openxmlformats.org/officeDocument/2006/relationships/image" Target="../media/image140.jpeg"/><Relationship Id="rId28" Type="http://schemas.openxmlformats.org/officeDocument/2006/relationships/image" Target="../media/image73.png"/><Relationship Id="rId36" Type="http://schemas.openxmlformats.org/officeDocument/2006/relationships/image" Target="../media/image147.png"/><Relationship Id="rId10" Type="http://schemas.openxmlformats.org/officeDocument/2006/relationships/image" Target="../media/image129.jpeg"/><Relationship Id="rId19" Type="http://schemas.openxmlformats.org/officeDocument/2006/relationships/image" Target="../media/image138.jpeg"/><Relationship Id="rId31" Type="http://schemas.openxmlformats.org/officeDocument/2006/relationships/image" Target="../media/image146.png"/><Relationship Id="rId4" Type="http://schemas.openxmlformats.org/officeDocument/2006/relationships/image" Target="../media/image123.jpeg"/><Relationship Id="rId9" Type="http://schemas.openxmlformats.org/officeDocument/2006/relationships/image" Target="../media/image128.jpeg"/><Relationship Id="rId14" Type="http://schemas.openxmlformats.org/officeDocument/2006/relationships/image" Target="../media/image133.jpeg"/><Relationship Id="rId22" Type="http://schemas.openxmlformats.org/officeDocument/2006/relationships/image" Target="../media/image56.jpeg"/><Relationship Id="rId27" Type="http://schemas.openxmlformats.org/officeDocument/2006/relationships/image" Target="../media/image143.png"/><Relationship Id="rId30" Type="http://schemas.openxmlformats.org/officeDocument/2006/relationships/image" Target="../media/image145.png"/><Relationship Id="rId35" Type="http://schemas.openxmlformats.org/officeDocument/2006/relationships/image" Target="../media/image27.jpeg"/><Relationship Id="rId8" Type="http://schemas.openxmlformats.org/officeDocument/2006/relationships/image" Target="../media/image127.jpeg"/><Relationship Id="rId3" Type="http://schemas.openxmlformats.org/officeDocument/2006/relationships/image" Target="../media/image12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52.emf"/><Relationship Id="rId1" Type="http://schemas.openxmlformats.org/officeDocument/2006/relationships/image" Target="../media/image15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52.emf"/><Relationship Id="rId1" Type="http://schemas.openxmlformats.org/officeDocument/2006/relationships/image" Target="../media/image15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8.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6</xdr:row>
          <xdr:rowOff>30480</xdr:rowOff>
        </xdr:from>
        <xdr:to>
          <xdr:col>6</xdr:col>
          <xdr:colOff>754380</xdr:colOff>
          <xdr:row>7</xdr:row>
          <xdr:rowOff>0</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8</xdr:col>
          <xdr:colOff>914400</xdr:colOff>
          <xdr:row>22</xdr:row>
          <xdr:rowOff>45720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190949</xdr:colOff>
      <xdr:row>59</xdr:row>
      <xdr:rowOff>66183</xdr:rowOff>
    </xdr:from>
    <xdr:to>
      <xdr:col>2</xdr:col>
      <xdr:colOff>588958</xdr:colOff>
      <xdr:row>59</xdr:row>
      <xdr:rowOff>361997</xdr:rowOff>
    </xdr:to>
    <xdr:pic>
      <xdr:nvPicPr>
        <xdr:cNvPr id="53" name="Grafik 6">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6349" y="18258933"/>
          <a:ext cx="398009" cy="295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60</xdr:row>
      <xdr:rowOff>64635</xdr:rowOff>
    </xdr:from>
    <xdr:to>
      <xdr:col>2</xdr:col>
      <xdr:colOff>587257</xdr:colOff>
      <xdr:row>60</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61</xdr:row>
      <xdr:rowOff>64635</xdr:rowOff>
    </xdr:from>
    <xdr:to>
      <xdr:col>2</xdr:col>
      <xdr:colOff>599503</xdr:colOff>
      <xdr:row>61</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92</xdr:row>
      <xdr:rowOff>64635</xdr:rowOff>
    </xdr:from>
    <xdr:to>
      <xdr:col>2</xdr:col>
      <xdr:colOff>640756</xdr:colOff>
      <xdr:row>92</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93</xdr:row>
          <xdr:rowOff>68580</xdr:rowOff>
        </xdr:from>
        <xdr:to>
          <xdr:col>2</xdr:col>
          <xdr:colOff>601980</xdr:colOff>
          <xdr:row>93</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94</xdr:row>
      <xdr:rowOff>64635</xdr:rowOff>
    </xdr:from>
    <xdr:to>
      <xdr:col>2</xdr:col>
      <xdr:colOff>565761</xdr:colOff>
      <xdr:row>94</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95</xdr:row>
      <xdr:rowOff>64635</xdr:rowOff>
    </xdr:from>
    <xdr:to>
      <xdr:col>2</xdr:col>
      <xdr:colOff>585808</xdr:colOff>
      <xdr:row>95</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96</xdr:row>
      <xdr:rowOff>64635</xdr:rowOff>
    </xdr:from>
    <xdr:to>
      <xdr:col>2</xdr:col>
      <xdr:colOff>561743</xdr:colOff>
      <xdr:row>96</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100</xdr:row>
      <xdr:rowOff>64635</xdr:rowOff>
    </xdr:from>
    <xdr:to>
      <xdr:col>2</xdr:col>
      <xdr:colOff>677404</xdr:colOff>
      <xdr:row>100</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662940</xdr:colOff>
          <xdr:row>22</xdr:row>
          <xdr:rowOff>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20</xdr:row>
          <xdr:rowOff>7620</xdr:rowOff>
        </xdr:from>
        <xdr:to>
          <xdr:col>11</xdr:col>
          <xdr:colOff>502920</xdr:colOff>
          <xdr:row>20</xdr:row>
          <xdr:rowOff>182880</xdr:rowOff>
        </xdr:to>
        <xdr:sp macro="" textlink="">
          <xdr:nvSpPr>
            <xdr:cNvPr id="72724" name="Option Button 20" hidden="1">
              <a:extLst>
                <a:ext uri="{63B3BB69-23CF-44E3-9099-C40C66FF867C}">
                  <a14:compatExt spid="_x0000_s72724"/>
                </a:ext>
                <a:ext uri="{FF2B5EF4-FFF2-40B4-BE49-F238E27FC236}">
                  <a16:creationId xmlns:a16="http://schemas.microsoft.com/office/drawing/2014/main" id="{00000000-0008-0000-0900-00001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662940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15</xdr:row>
          <xdr:rowOff>7620</xdr:rowOff>
        </xdr:from>
        <xdr:to>
          <xdr:col>11</xdr:col>
          <xdr:colOff>525780</xdr:colOff>
          <xdr:row>15</xdr:row>
          <xdr:rowOff>182880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21</xdr:row>
          <xdr:rowOff>7620</xdr:rowOff>
        </xdr:from>
        <xdr:to>
          <xdr:col>11</xdr:col>
          <xdr:colOff>502920</xdr:colOff>
          <xdr:row>21</xdr:row>
          <xdr:rowOff>182880</xdr:rowOff>
        </xdr:to>
        <xdr:sp macro="" textlink="">
          <xdr:nvSpPr>
            <xdr:cNvPr id="72727" name="Option Button 23" hidden="1">
              <a:extLst>
                <a:ext uri="{63B3BB69-23CF-44E3-9099-C40C66FF867C}">
                  <a14:compatExt spid="_x0000_s72727"/>
                </a:ext>
                <a:ext uri="{FF2B5EF4-FFF2-40B4-BE49-F238E27FC236}">
                  <a16:creationId xmlns:a16="http://schemas.microsoft.com/office/drawing/2014/main" id="{00000000-0008-0000-0900-00001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16</xdr:row>
          <xdr:rowOff>7620</xdr:rowOff>
        </xdr:from>
        <xdr:to>
          <xdr:col>11</xdr:col>
          <xdr:colOff>525780</xdr:colOff>
          <xdr:row>16</xdr:row>
          <xdr:rowOff>182880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20</xdr:row>
          <xdr:rowOff>7620</xdr:rowOff>
        </xdr:from>
        <xdr:to>
          <xdr:col>12</xdr:col>
          <xdr:colOff>342900</xdr:colOff>
          <xdr:row>20</xdr:row>
          <xdr:rowOff>182880</xdr:rowOff>
        </xdr:to>
        <xdr:sp macro="" textlink="">
          <xdr:nvSpPr>
            <xdr:cNvPr id="72729" name="Option Button 25" hidden="1">
              <a:extLst>
                <a:ext uri="{63B3BB69-23CF-44E3-9099-C40C66FF867C}">
                  <a14:compatExt spid="_x0000_s72729"/>
                </a:ext>
                <a:ext uri="{FF2B5EF4-FFF2-40B4-BE49-F238E27FC236}">
                  <a16:creationId xmlns:a16="http://schemas.microsoft.com/office/drawing/2014/main" id="{00000000-0008-0000-0900-00001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17</xdr:row>
          <xdr:rowOff>7620</xdr:rowOff>
        </xdr:from>
        <xdr:to>
          <xdr:col>11</xdr:col>
          <xdr:colOff>502920</xdr:colOff>
          <xdr:row>17</xdr:row>
          <xdr:rowOff>182880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21</xdr:row>
          <xdr:rowOff>0</xdr:rowOff>
        </xdr:from>
        <xdr:to>
          <xdr:col>12</xdr:col>
          <xdr:colOff>342900</xdr:colOff>
          <xdr:row>21</xdr:row>
          <xdr:rowOff>182880</xdr:rowOff>
        </xdr:to>
        <xdr:sp macro="" textlink="">
          <xdr:nvSpPr>
            <xdr:cNvPr id="72731" name="Option Button 27" hidden="1">
              <a:extLst>
                <a:ext uri="{63B3BB69-23CF-44E3-9099-C40C66FF867C}">
                  <a14:compatExt spid="_x0000_s72731"/>
                </a:ext>
                <a:ext uri="{FF2B5EF4-FFF2-40B4-BE49-F238E27FC236}">
                  <a16:creationId xmlns:a16="http://schemas.microsoft.com/office/drawing/2014/main" id="{00000000-0008-0000-0900-00001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15</xdr:row>
          <xdr:rowOff>7620</xdr:rowOff>
        </xdr:from>
        <xdr:to>
          <xdr:col>12</xdr:col>
          <xdr:colOff>350520</xdr:colOff>
          <xdr:row>16</xdr:row>
          <xdr:rowOff>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62</xdr:row>
      <xdr:rowOff>64635</xdr:rowOff>
    </xdr:from>
    <xdr:to>
      <xdr:col>2</xdr:col>
      <xdr:colOff>629329</xdr:colOff>
      <xdr:row>62</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1"/>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2"/>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3"/>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104</xdr:row>
      <xdr:rowOff>21479</xdr:rowOff>
    </xdr:from>
    <xdr:to>
      <xdr:col>2</xdr:col>
      <xdr:colOff>655545</xdr:colOff>
      <xdr:row>104</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5"/>
        <a:stretch>
          <a:fillRect/>
        </a:stretch>
      </xdr:blipFill>
      <xdr:spPr>
        <a:xfrm>
          <a:off x="1424268" y="34616279"/>
          <a:ext cx="526677" cy="351118"/>
        </a:xfrm>
        <a:prstGeom prst="rect">
          <a:avLst/>
        </a:prstGeom>
      </xdr:spPr>
    </xdr:pic>
    <xdr:clientData/>
  </xdr:twoCellAnchor>
  <xdr:twoCellAnchor>
    <xdr:from>
      <xdr:col>2</xdr:col>
      <xdr:colOff>164124</xdr:colOff>
      <xdr:row>105</xdr:row>
      <xdr:rowOff>17586</xdr:rowOff>
    </xdr:from>
    <xdr:to>
      <xdr:col>2</xdr:col>
      <xdr:colOff>630222</xdr:colOff>
      <xdr:row>105</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6"/>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592059</xdr:colOff>
      <xdr:row>4</xdr:row>
      <xdr:rowOff>126214</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521195</xdr:colOff>
      <xdr:row>5</xdr:row>
      <xdr:rowOff>103468</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182880</xdr:colOff>
          <xdr:row>21</xdr:row>
          <xdr:rowOff>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4"/>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5"/>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5"/>
        <a:stretch>
          <a:fillRect/>
        </a:stretch>
      </xdr:blipFill>
      <xdr:spPr>
        <a:xfrm>
          <a:off x="1495425" y="27651075"/>
          <a:ext cx="381000" cy="374952"/>
        </a:xfrm>
        <a:prstGeom prst="rect">
          <a:avLst/>
        </a:prstGeom>
      </xdr:spPr>
    </xdr:pic>
    <xdr:clientData/>
  </xdr:twoCellAnchor>
  <xdr:twoCellAnchor>
    <xdr:from>
      <xdr:col>2</xdr:col>
      <xdr:colOff>119875</xdr:colOff>
      <xdr:row>101</xdr:row>
      <xdr:rowOff>27877</xdr:rowOff>
    </xdr:from>
    <xdr:to>
      <xdr:col>2</xdr:col>
      <xdr:colOff>678364</xdr:colOff>
      <xdr:row>101</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6"/>
        <a:srcRect t="4886" b="13458"/>
        <a:stretch/>
      </xdr:blipFill>
      <xdr:spPr>
        <a:xfrm>
          <a:off x="1415275" y="37413502"/>
          <a:ext cx="558489" cy="345779"/>
        </a:xfrm>
        <a:prstGeom prst="rect">
          <a:avLst/>
        </a:prstGeom>
      </xdr:spPr>
    </xdr:pic>
    <xdr:clientData/>
  </xdr:twoCellAnchor>
  <xdr:twoCellAnchor>
    <xdr:from>
      <xdr:col>2</xdr:col>
      <xdr:colOff>274757</xdr:colOff>
      <xdr:row>103</xdr:row>
      <xdr:rowOff>18316</xdr:rowOff>
    </xdr:from>
    <xdr:to>
      <xdr:col>2</xdr:col>
      <xdr:colOff>532488</xdr:colOff>
      <xdr:row>103</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7"/>
        <a:stretch>
          <a:fillRect/>
        </a:stretch>
      </xdr:blipFill>
      <xdr:spPr>
        <a:xfrm>
          <a:off x="1570157" y="38204041"/>
          <a:ext cx="257731" cy="355357"/>
        </a:xfrm>
        <a:prstGeom prst="rect">
          <a:avLst/>
        </a:prstGeom>
      </xdr:spPr>
    </xdr:pic>
    <xdr:clientData/>
  </xdr:twoCellAnchor>
  <xdr:twoCellAnchor>
    <xdr:from>
      <xdr:col>2</xdr:col>
      <xdr:colOff>324580</xdr:colOff>
      <xdr:row>102</xdr:row>
      <xdr:rowOff>19366</xdr:rowOff>
    </xdr:from>
    <xdr:to>
      <xdr:col>2</xdr:col>
      <xdr:colOff>471118</xdr:colOff>
      <xdr:row>102</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8"/>
        <a:stretch>
          <a:fillRect/>
        </a:stretch>
      </xdr:blipFill>
      <xdr:spPr>
        <a:xfrm>
          <a:off x="1619980" y="35252341"/>
          <a:ext cx="146538" cy="372625"/>
        </a:xfrm>
        <a:prstGeom prst="rect">
          <a:avLst/>
        </a:prstGeom>
      </xdr:spPr>
    </xdr:pic>
    <xdr:clientData/>
  </xdr:twoCellAnchor>
  <xdr:twoCellAnchor>
    <xdr:from>
      <xdr:col>2</xdr:col>
      <xdr:colOff>304800</xdr:colOff>
      <xdr:row>98</xdr:row>
      <xdr:rowOff>19050</xdr:rowOff>
    </xdr:from>
    <xdr:to>
      <xdr:col>2</xdr:col>
      <xdr:colOff>428625</xdr:colOff>
      <xdr:row>98</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69"/>
        <a:stretch>
          <a:fillRect/>
        </a:stretch>
      </xdr:blipFill>
      <xdr:spPr>
        <a:xfrm>
          <a:off x="1600200" y="36204525"/>
          <a:ext cx="123825" cy="361950"/>
        </a:xfrm>
        <a:prstGeom prst="rect">
          <a:avLst/>
        </a:prstGeom>
      </xdr:spPr>
    </xdr:pic>
    <xdr:clientData/>
  </xdr:twoCellAnchor>
  <xdr:twoCellAnchor>
    <xdr:from>
      <xdr:col>2</xdr:col>
      <xdr:colOff>152985</xdr:colOff>
      <xdr:row>99</xdr:row>
      <xdr:rowOff>120153</xdr:rowOff>
    </xdr:from>
    <xdr:to>
      <xdr:col>2</xdr:col>
      <xdr:colOff>585430</xdr:colOff>
      <xdr:row>99</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70"/>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792480</xdr:colOff>
          <xdr:row>16</xdr:row>
          <xdr:rowOff>7620</xdr:rowOff>
        </xdr:from>
        <xdr:to>
          <xdr:col>12</xdr:col>
          <xdr:colOff>350520</xdr:colOff>
          <xdr:row>17</xdr:row>
          <xdr:rowOff>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97</xdr:row>
      <xdr:rowOff>47624</xdr:rowOff>
    </xdr:from>
    <xdr:to>
      <xdr:col>2</xdr:col>
      <xdr:colOff>564911</xdr:colOff>
      <xdr:row>97</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51" name="Option Button 47" hidden="1">
              <a:extLst>
                <a:ext uri="{63B3BB69-23CF-44E3-9099-C40C66FF867C}">
                  <a14:compatExt spid="_x0000_s72751"/>
                </a:ext>
                <a:ext uri="{FF2B5EF4-FFF2-40B4-BE49-F238E27FC236}">
                  <a16:creationId xmlns:a16="http://schemas.microsoft.com/office/drawing/2014/main" id="{00000000-0008-0000-0900-00002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A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A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A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A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A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A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A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129540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A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A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53</xdr:row>
      <xdr:rowOff>64635</xdr:rowOff>
    </xdr:from>
    <xdr:to>
      <xdr:col>2</xdr:col>
      <xdr:colOff>632223</xdr:colOff>
      <xdr:row>53</xdr:row>
      <xdr:rowOff>357187</xdr:rowOff>
    </xdr:to>
    <xdr:pic>
      <xdr:nvPicPr>
        <xdr:cNvPr id="34" name="Grafik 35">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54</xdr:row>
      <xdr:rowOff>64635</xdr:rowOff>
    </xdr:from>
    <xdr:to>
      <xdr:col>2</xdr:col>
      <xdr:colOff>633569</xdr:colOff>
      <xdr:row>54</xdr:row>
      <xdr:rowOff>360589</xdr:rowOff>
    </xdr:to>
    <xdr:pic>
      <xdr:nvPicPr>
        <xdr:cNvPr id="35" name="Grafik 38">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55</xdr:row>
      <xdr:rowOff>64635</xdr:rowOff>
    </xdr:from>
    <xdr:to>
      <xdr:col>2</xdr:col>
      <xdr:colOff>487754</xdr:colOff>
      <xdr:row>55</xdr:row>
      <xdr:rowOff>353786</xdr:rowOff>
    </xdr:to>
    <xdr:pic>
      <xdr:nvPicPr>
        <xdr:cNvPr id="36" name="Grafik 3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56</xdr:row>
      <xdr:rowOff>71439</xdr:rowOff>
    </xdr:from>
    <xdr:to>
      <xdr:col>2</xdr:col>
      <xdr:colOff>528066</xdr:colOff>
      <xdr:row>56</xdr:row>
      <xdr:rowOff>347664</xdr:rowOff>
    </xdr:to>
    <xdr:pic>
      <xdr:nvPicPr>
        <xdr:cNvPr id="37" name="Grafik 40">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52</xdr:row>
      <xdr:rowOff>30307</xdr:rowOff>
    </xdr:from>
    <xdr:to>
      <xdr:col>2</xdr:col>
      <xdr:colOff>644695</xdr:colOff>
      <xdr:row>52</xdr:row>
      <xdr:rowOff>355023</xdr:rowOff>
    </xdr:to>
    <xdr:pic>
      <xdr:nvPicPr>
        <xdr:cNvPr id="39" name="Grafik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A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A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A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A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A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182880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A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30480</xdr:rowOff>
        </xdr:from>
        <xdr:to>
          <xdr:col>10</xdr:col>
          <xdr:colOff>182880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A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30480</xdr:rowOff>
        </xdr:from>
        <xdr:to>
          <xdr:col>10</xdr:col>
          <xdr:colOff>182880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A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59</xdr:row>
      <xdr:rowOff>64635</xdr:rowOff>
    </xdr:from>
    <xdr:to>
      <xdr:col>2</xdr:col>
      <xdr:colOff>677404</xdr:colOff>
      <xdr:row>59</xdr:row>
      <xdr:rowOff>352085</xdr:rowOff>
    </xdr:to>
    <xdr:pic>
      <xdr:nvPicPr>
        <xdr:cNvPr id="54" name="Grafik 63">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63</xdr:row>
      <xdr:rowOff>21479</xdr:rowOff>
    </xdr:from>
    <xdr:to>
      <xdr:col>2</xdr:col>
      <xdr:colOff>655545</xdr:colOff>
      <xdr:row>63</xdr:row>
      <xdr:rowOff>372597</xdr:rowOff>
    </xdr:to>
    <xdr:pic>
      <xdr:nvPicPr>
        <xdr:cNvPr id="55" name="Grafik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4"/>
        <a:stretch>
          <a:fillRect/>
        </a:stretch>
      </xdr:blipFill>
      <xdr:spPr>
        <a:xfrm>
          <a:off x="1424268" y="20452604"/>
          <a:ext cx="526677" cy="351118"/>
        </a:xfrm>
        <a:prstGeom prst="rect">
          <a:avLst/>
        </a:prstGeom>
      </xdr:spPr>
    </xdr:pic>
    <xdr:clientData/>
  </xdr:twoCellAnchor>
  <xdr:twoCellAnchor>
    <xdr:from>
      <xdr:col>2</xdr:col>
      <xdr:colOff>304800</xdr:colOff>
      <xdr:row>57</xdr:row>
      <xdr:rowOff>19050</xdr:rowOff>
    </xdr:from>
    <xdr:to>
      <xdr:col>2</xdr:col>
      <xdr:colOff>428625</xdr:colOff>
      <xdr:row>57</xdr:row>
      <xdr:rowOff>381000</xdr:rowOff>
    </xdr:to>
    <xdr:pic>
      <xdr:nvPicPr>
        <xdr:cNvPr id="56" name="Grafik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25"/>
        <a:stretch>
          <a:fillRect/>
        </a:stretch>
      </xdr:blipFill>
      <xdr:spPr>
        <a:xfrm>
          <a:off x="1600200" y="18049875"/>
          <a:ext cx="123825" cy="361950"/>
        </a:xfrm>
        <a:prstGeom prst="rect">
          <a:avLst/>
        </a:prstGeom>
      </xdr:spPr>
    </xdr:pic>
    <xdr:clientData/>
  </xdr:twoCellAnchor>
  <xdr:twoCellAnchor>
    <xdr:from>
      <xdr:col>2</xdr:col>
      <xdr:colOff>152985</xdr:colOff>
      <xdr:row>58</xdr:row>
      <xdr:rowOff>120153</xdr:rowOff>
    </xdr:from>
    <xdr:to>
      <xdr:col>2</xdr:col>
      <xdr:colOff>585430</xdr:colOff>
      <xdr:row>58</xdr:row>
      <xdr:rowOff>295579</xdr:rowOff>
    </xdr:to>
    <xdr:pic>
      <xdr:nvPicPr>
        <xdr:cNvPr id="57" name="Grafik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6"/>
        <a:stretch>
          <a:fillRect/>
        </a:stretch>
      </xdr:blipFill>
      <xdr:spPr>
        <a:xfrm rot="4034817">
          <a:off x="1576895" y="18422518"/>
          <a:ext cx="175426" cy="432445"/>
        </a:xfrm>
        <a:prstGeom prst="rect">
          <a:avLst/>
        </a:prstGeom>
      </xdr:spPr>
    </xdr:pic>
    <xdr:clientData/>
  </xdr:twoCellAnchor>
  <xdr:twoCellAnchor>
    <xdr:from>
      <xdr:col>2</xdr:col>
      <xdr:colOff>119875</xdr:colOff>
      <xdr:row>60</xdr:row>
      <xdr:rowOff>27877</xdr:rowOff>
    </xdr:from>
    <xdr:to>
      <xdr:col>2</xdr:col>
      <xdr:colOff>678364</xdr:colOff>
      <xdr:row>60</xdr:row>
      <xdr:rowOff>373656</xdr:rowOff>
    </xdr:to>
    <xdr:pic>
      <xdr:nvPicPr>
        <xdr:cNvPr id="58" name="Grafik 57">
          <a:extLst>
            <a:ext uri="{FF2B5EF4-FFF2-40B4-BE49-F238E27FC236}">
              <a16:creationId xmlns:a16="http://schemas.microsoft.com/office/drawing/2014/main" id="{00000000-0008-0000-0A00-00003A000000}"/>
            </a:ext>
          </a:extLst>
        </xdr:cNvPr>
        <xdr:cNvPicPr>
          <a:picLocks noChangeAspect="1"/>
        </xdr:cNvPicPr>
      </xdr:nvPicPr>
      <xdr:blipFill rotWithShape="1">
        <a:blip xmlns:r="http://schemas.openxmlformats.org/officeDocument/2006/relationships" r:embed="rId27"/>
        <a:srcRect t="4886" b="13458"/>
        <a:stretch/>
      </xdr:blipFill>
      <xdr:spPr>
        <a:xfrm>
          <a:off x="1415275" y="19258852"/>
          <a:ext cx="558489" cy="345779"/>
        </a:xfrm>
        <a:prstGeom prst="rect">
          <a:avLst/>
        </a:prstGeom>
      </xdr:spPr>
    </xdr:pic>
    <xdr:clientData/>
  </xdr:twoCellAnchor>
  <xdr:twoCellAnchor>
    <xdr:from>
      <xdr:col>2</xdr:col>
      <xdr:colOff>274757</xdr:colOff>
      <xdr:row>62</xdr:row>
      <xdr:rowOff>18316</xdr:rowOff>
    </xdr:from>
    <xdr:to>
      <xdr:col>2</xdr:col>
      <xdr:colOff>532488</xdr:colOff>
      <xdr:row>62</xdr:row>
      <xdr:rowOff>373673</xdr:rowOff>
    </xdr:to>
    <xdr:pic>
      <xdr:nvPicPr>
        <xdr:cNvPr id="59" name="Grafik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28"/>
        <a:stretch>
          <a:fillRect/>
        </a:stretch>
      </xdr:blipFill>
      <xdr:spPr>
        <a:xfrm>
          <a:off x="1570157" y="20049391"/>
          <a:ext cx="257731" cy="355357"/>
        </a:xfrm>
        <a:prstGeom prst="rect">
          <a:avLst/>
        </a:prstGeom>
      </xdr:spPr>
    </xdr:pic>
    <xdr:clientData/>
  </xdr:twoCellAnchor>
  <xdr:twoCellAnchor>
    <xdr:from>
      <xdr:col>2</xdr:col>
      <xdr:colOff>315055</xdr:colOff>
      <xdr:row>61</xdr:row>
      <xdr:rowOff>19366</xdr:rowOff>
    </xdr:from>
    <xdr:to>
      <xdr:col>2</xdr:col>
      <xdr:colOff>461593</xdr:colOff>
      <xdr:row>61</xdr:row>
      <xdr:rowOff>391991</xdr:rowOff>
    </xdr:to>
    <xdr:pic>
      <xdr:nvPicPr>
        <xdr:cNvPr id="60" name="Grafik 59">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29"/>
        <a:stretch>
          <a:fillRect/>
        </a:stretch>
      </xdr:blipFill>
      <xdr:spPr>
        <a:xfrm>
          <a:off x="1610455" y="19650391"/>
          <a:ext cx="146538" cy="372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B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B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B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B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B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B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B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B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B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815340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B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815340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B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815340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B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815340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B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37006" y="742877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214485</xdr:colOff>
      <xdr:row>49</xdr:row>
      <xdr:rowOff>64635</xdr:rowOff>
    </xdr:from>
    <xdr:to>
      <xdr:col>2</xdr:col>
      <xdr:colOff>562789</xdr:colOff>
      <xdr:row>49</xdr:row>
      <xdr:rowOff>360590</xdr:rowOff>
    </xdr:to>
    <xdr:pic>
      <xdr:nvPicPr>
        <xdr:cNvPr id="65" name="Grafik 18">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09885" y="1145653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B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190949</xdr:colOff>
      <xdr:row>67</xdr:row>
      <xdr:rowOff>66183</xdr:rowOff>
    </xdr:from>
    <xdr:to>
      <xdr:col>2</xdr:col>
      <xdr:colOff>588958</xdr:colOff>
      <xdr:row>67</xdr:row>
      <xdr:rowOff>361997</xdr:rowOff>
    </xdr:to>
    <xdr:pic>
      <xdr:nvPicPr>
        <xdr:cNvPr id="78" name="Grafik 6">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6349" y="17858883"/>
          <a:ext cx="398009" cy="295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68</xdr:row>
      <xdr:rowOff>64635</xdr:rowOff>
    </xdr:from>
    <xdr:to>
      <xdr:col>2</xdr:col>
      <xdr:colOff>587257</xdr:colOff>
      <xdr:row>68</xdr:row>
      <xdr:rowOff>359256</xdr:rowOff>
    </xdr:to>
    <xdr:pic>
      <xdr:nvPicPr>
        <xdr:cNvPr id="79" name="Grafik 6">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69</xdr:row>
      <xdr:rowOff>64635</xdr:rowOff>
    </xdr:from>
    <xdr:to>
      <xdr:col>2</xdr:col>
      <xdr:colOff>599503</xdr:colOff>
      <xdr:row>69</xdr:row>
      <xdr:rowOff>359910</xdr:rowOff>
    </xdr:to>
    <xdr:pic>
      <xdr:nvPicPr>
        <xdr:cNvPr id="80" name="Grafik 135">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73</xdr:row>
      <xdr:rowOff>64635</xdr:rowOff>
    </xdr:from>
    <xdr:to>
      <xdr:col>2</xdr:col>
      <xdr:colOff>632223</xdr:colOff>
      <xdr:row>73</xdr:row>
      <xdr:rowOff>357187</xdr:rowOff>
    </xdr:to>
    <xdr:pic>
      <xdr:nvPicPr>
        <xdr:cNvPr id="82" name="Grafik 35">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74</xdr:row>
      <xdr:rowOff>64635</xdr:rowOff>
    </xdr:from>
    <xdr:to>
      <xdr:col>2</xdr:col>
      <xdr:colOff>633569</xdr:colOff>
      <xdr:row>74</xdr:row>
      <xdr:rowOff>360589</xdr:rowOff>
    </xdr:to>
    <xdr:pic>
      <xdr:nvPicPr>
        <xdr:cNvPr id="83" name="Grafik 38">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75</xdr:row>
      <xdr:rowOff>64635</xdr:rowOff>
    </xdr:from>
    <xdr:to>
      <xdr:col>2</xdr:col>
      <xdr:colOff>487754</xdr:colOff>
      <xdr:row>75</xdr:row>
      <xdr:rowOff>353786</xdr:rowOff>
    </xdr:to>
    <xdr:pic>
      <xdr:nvPicPr>
        <xdr:cNvPr id="84" name="Grafik 39">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79</xdr:row>
      <xdr:rowOff>66180</xdr:rowOff>
    </xdr:from>
    <xdr:to>
      <xdr:col>2</xdr:col>
      <xdr:colOff>500728</xdr:colOff>
      <xdr:row>79</xdr:row>
      <xdr:rowOff>357188</xdr:rowOff>
    </xdr:to>
    <xdr:pic>
      <xdr:nvPicPr>
        <xdr:cNvPr id="86" name="Grafik 4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80</xdr:row>
      <xdr:rowOff>66181</xdr:rowOff>
    </xdr:from>
    <xdr:to>
      <xdr:col>2</xdr:col>
      <xdr:colOff>500447</xdr:colOff>
      <xdr:row>80</xdr:row>
      <xdr:rowOff>353785</xdr:rowOff>
    </xdr:to>
    <xdr:pic>
      <xdr:nvPicPr>
        <xdr:cNvPr id="87" name="Grafik 42">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81</xdr:row>
      <xdr:rowOff>66183</xdr:rowOff>
    </xdr:from>
    <xdr:to>
      <xdr:col>2</xdr:col>
      <xdr:colOff>507412</xdr:colOff>
      <xdr:row>81</xdr:row>
      <xdr:rowOff>360591</xdr:rowOff>
    </xdr:to>
    <xdr:pic>
      <xdr:nvPicPr>
        <xdr:cNvPr id="88" name="Grafik 43">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82</xdr:row>
      <xdr:rowOff>64636</xdr:rowOff>
    </xdr:from>
    <xdr:to>
      <xdr:col>2</xdr:col>
      <xdr:colOff>474310</xdr:colOff>
      <xdr:row>82</xdr:row>
      <xdr:rowOff>360590</xdr:rowOff>
    </xdr:to>
    <xdr:pic>
      <xdr:nvPicPr>
        <xdr:cNvPr id="89" name="Grafik 44">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84</xdr:row>
      <xdr:rowOff>88731</xdr:rowOff>
    </xdr:from>
    <xdr:to>
      <xdr:col>2</xdr:col>
      <xdr:colOff>570673</xdr:colOff>
      <xdr:row>84</xdr:row>
      <xdr:rowOff>329690</xdr:rowOff>
    </xdr:to>
    <xdr:pic>
      <xdr:nvPicPr>
        <xdr:cNvPr id="90" name="Grafik 46">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85</xdr:row>
      <xdr:rowOff>64635</xdr:rowOff>
    </xdr:from>
    <xdr:to>
      <xdr:col>2</xdr:col>
      <xdr:colOff>497853</xdr:colOff>
      <xdr:row>85</xdr:row>
      <xdr:rowOff>353786</xdr:rowOff>
    </xdr:to>
    <xdr:pic>
      <xdr:nvPicPr>
        <xdr:cNvPr id="91" name="Grafik 47">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87</xdr:row>
      <xdr:rowOff>64635</xdr:rowOff>
    </xdr:from>
    <xdr:to>
      <xdr:col>2</xdr:col>
      <xdr:colOff>482327</xdr:colOff>
      <xdr:row>87</xdr:row>
      <xdr:rowOff>357187</xdr:rowOff>
    </xdr:to>
    <xdr:pic>
      <xdr:nvPicPr>
        <xdr:cNvPr id="92" name="Grafik 48">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88</xdr:row>
      <xdr:rowOff>64635</xdr:rowOff>
    </xdr:from>
    <xdr:to>
      <xdr:col>2</xdr:col>
      <xdr:colOff>585555</xdr:colOff>
      <xdr:row>88</xdr:row>
      <xdr:rowOff>358738</xdr:rowOff>
    </xdr:to>
    <xdr:pic>
      <xdr:nvPicPr>
        <xdr:cNvPr id="93" name="Grafik 19">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89</xdr:row>
      <xdr:rowOff>88449</xdr:rowOff>
    </xdr:from>
    <xdr:to>
      <xdr:col>2</xdr:col>
      <xdr:colOff>551878</xdr:colOff>
      <xdr:row>89</xdr:row>
      <xdr:rowOff>326574</xdr:rowOff>
    </xdr:to>
    <xdr:pic>
      <xdr:nvPicPr>
        <xdr:cNvPr id="94" name="Grafik 49">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90</xdr:row>
      <xdr:rowOff>64635</xdr:rowOff>
    </xdr:from>
    <xdr:to>
      <xdr:col>2</xdr:col>
      <xdr:colOff>476699</xdr:colOff>
      <xdr:row>90</xdr:row>
      <xdr:rowOff>360707</xdr:rowOff>
    </xdr:to>
    <xdr:pic>
      <xdr:nvPicPr>
        <xdr:cNvPr id="95" name="Grafik 50">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95</xdr:row>
      <xdr:rowOff>66182</xdr:rowOff>
    </xdr:from>
    <xdr:to>
      <xdr:col>2</xdr:col>
      <xdr:colOff>563444</xdr:colOff>
      <xdr:row>95</xdr:row>
      <xdr:rowOff>358338</xdr:rowOff>
    </xdr:to>
    <xdr:pic>
      <xdr:nvPicPr>
        <xdr:cNvPr id="97" name="Grafik 52">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96</xdr:row>
      <xdr:rowOff>66183</xdr:rowOff>
    </xdr:from>
    <xdr:to>
      <xdr:col>2</xdr:col>
      <xdr:colOff>506822</xdr:colOff>
      <xdr:row>96</xdr:row>
      <xdr:rowOff>363993</xdr:rowOff>
    </xdr:to>
    <xdr:pic>
      <xdr:nvPicPr>
        <xdr:cNvPr id="98" name="Grafik 53">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97</xdr:row>
      <xdr:rowOff>64635</xdr:rowOff>
    </xdr:from>
    <xdr:to>
      <xdr:col>2</xdr:col>
      <xdr:colOff>551538</xdr:colOff>
      <xdr:row>97</xdr:row>
      <xdr:rowOff>361600</xdr:rowOff>
    </xdr:to>
    <xdr:pic>
      <xdr:nvPicPr>
        <xdr:cNvPr id="99" name="Grafik 54">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99</xdr:row>
      <xdr:rowOff>64634</xdr:rowOff>
    </xdr:from>
    <xdr:to>
      <xdr:col>2</xdr:col>
      <xdr:colOff>544574</xdr:colOff>
      <xdr:row>99</xdr:row>
      <xdr:rowOff>357188</xdr:rowOff>
    </xdr:to>
    <xdr:pic>
      <xdr:nvPicPr>
        <xdr:cNvPr id="100" name="Grafik 171">
          <a:extLst>
            <a:ext uri="{FF2B5EF4-FFF2-40B4-BE49-F238E27FC236}">
              <a16:creationId xmlns:a16="http://schemas.microsoft.com/office/drawing/2014/main" id="{00000000-0008-0000-0B00-000064000000}"/>
            </a:ext>
          </a:extLst>
        </xdr:cNvPr>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100</xdr:row>
      <xdr:rowOff>125867</xdr:rowOff>
    </xdr:from>
    <xdr:to>
      <xdr:col>2</xdr:col>
      <xdr:colOff>642366</xdr:colOff>
      <xdr:row>100</xdr:row>
      <xdr:rowOff>278267</xdr:rowOff>
    </xdr:to>
    <xdr:pic>
      <xdr:nvPicPr>
        <xdr:cNvPr id="101" name="Grafik 166">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101</xdr:row>
      <xdr:rowOff>64635</xdr:rowOff>
    </xdr:from>
    <xdr:to>
      <xdr:col>2</xdr:col>
      <xdr:colOff>689991</xdr:colOff>
      <xdr:row>101</xdr:row>
      <xdr:rowOff>340860</xdr:rowOff>
    </xdr:to>
    <xdr:pic>
      <xdr:nvPicPr>
        <xdr:cNvPr id="103" name="Grafik 56">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102</xdr:row>
      <xdr:rowOff>64635</xdr:rowOff>
    </xdr:from>
    <xdr:to>
      <xdr:col>2</xdr:col>
      <xdr:colOff>640756</xdr:colOff>
      <xdr:row>102</xdr:row>
      <xdr:rowOff>360590</xdr:rowOff>
    </xdr:to>
    <xdr:pic>
      <xdr:nvPicPr>
        <xdr:cNvPr id="105" name="Grafik 58">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103</xdr:row>
          <xdr:rowOff>68580</xdr:rowOff>
        </xdr:from>
        <xdr:to>
          <xdr:col>2</xdr:col>
          <xdr:colOff>601980</xdr:colOff>
          <xdr:row>103</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B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104</xdr:row>
      <xdr:rowOff>64635</xdr:rowOff>
    </xdr:from>
    <xdr:to>
      <xdr:col>2</xdr:col>
      <xdr:colOff>565761</xdr:colOff>
      <xdr:row>104</xdr:row>
      <xdr:rowOff>352901</xdr:rowOff>
    </xdr:to>
    <xdr:pic>
      <xdr:nvPicPr>
        <xdr:cNvPr id="106" name="Grafik 60">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105</xdr:row>
      <xdr:rowOff>64635</xdr:rowOff>
    </xdr:from>
    <xdr:to>
      <xdr:col>2</xdr:col>
      <xdr:colOff>585808</xdr:colOff>
      <xdr:row>105</xdr:row>
      <xdr:rowOff>350384</xdr:rowOff>
    </xdr:to>
    <xdr:pic>
      <xdr:nvPicPr>
        <xdr:cNvPr id="107" name="Grafik 6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106</xdr:row>
      <xdr:rowOff>64635</xdr:rowOff>
    </xdr:from>
    <xdr:to>
      <xdr:col>2</xdr:col>
      <xdr:colOff>561743</xdr:colOff>
      <xdr:row>106</xdr:row>
      <xdr:rowOff>352408</xdr:rowOff>
    </xdr:to>
    <xdr:pic>
      <xdr:nvPicPr>
        <xdr:cNvPr id="108" name="Grafik 62">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109</xdr:row>
      <xdr:rowOff>64635</xdr:rowOff>
    </xdr:from>
    <xdr:to>
      <xdr:col>2</xdr:col>
      <xdr:colOff>677404</xdr:colOff>
      <xdr:row>109</xdr:row>
      <xdr:rowOff>352085</xdr:rowOff>
    </xdr:to>
    <xdr:pic>
      <xdr:nvPicPr>
        <xdr:cNvPr id="109" name="Grafik 63">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38100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B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B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23</xdr:row>
          <xdr:rowOff>0</xdr:rowOff>
        </xdr:from>
        <xdr:to>
          <xdr:col>12</xdr:col>
          <xdr:colOff>144780</xdr:colOff>
          <xdr:row>29</xdr:row>
          <xdr:rowOff>68580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B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24</xdr:row>
          <xdr:rowOff>7620</xdr:rowOff>
        </xdr:from>
        <xdr:to>
          <xdr:col>9</xdr:col>
          <xdr:colOff>350520</xdr:colOff>
          <xdr:row>24</xdr:row>
          <xdr:rowOff>182880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B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B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25</xdr:row>
          <xdr:rowOff>7620</xdr:rowOff>
        </xdr:from>
        <xdr:to>
          <xdr:col>9</xdr:col>
          <xdr:colOff>350520</xdr:colOff>
          <xdr:row>25</xdr:row>
          <xdr:rowOff>182880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B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B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26</xdr:row>
          <xdr:rowOff>7620</xdr:rowOff>
        </xdr:from>
        <xdr:to>
          <xdr:col>9</xdr:col>
          <xdr:colOff>350520</xdr:colOff>
          <xdr:row>26</xdr:row>
          <xdr:rowOff>182880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B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B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27</xdr:row>
          <xdr:rowOff>0</xdr:rowOff>
        </xdr:from>
        <xdr:to>
          <xdr:col>9</xdr:col>
          <xdr:colOff>350520</xdr:colOff>
          <xdr:row>27</xdr:row>
          <xdr:rowOff>182880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B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B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28</xdr:row>
          <xdr:rowOff>0</xdr:rowOff>
        </xdr:from>
        <xdr:to>
          <xdr:col>9</xdr:col>
          <xdr:colOff>350520</xdr:colOff>
          <xdr:row>28</xdr:row>
          <xdr:rowOff>182880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B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281940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B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B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86</xdr:row>
      <xdr:rowOff>32426</xdr:rowOff>
    </xdr:from>
    <xdr:to>
      <xdr:col>2</xdr:col>
      <xdr:colOff>507607</xdr:colOff>
      <xdr:row>86</xdr:row>
      <xdr:rowOff>364769</xdr:rowOff>
    </xdr:to>
    <xdr:pic>
      <xdr:nvPicPr>
        <xdr:cNvPr id="113" name="Grafik 48">
          <a:extLst>
            <a:ext uri="{FF2B5EF4-FFF2-40B4-BE49-F238E27FC236}">
              <a16:creationId xmlns:a16="http://schemas.microsoft.com/office/drawing/2014/main" id="{00000000-0008-0000-0B00-000071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98</xdr:row>
      <xdr:rowOff>36047</xdr:rowOff>
    </xdr:from>
    <xdr:to>
      <xdr:col>2</xdr:col>
      <xdr:colOff>551268</xdr:colOff>
      <xdr:row>98</xdr:row>
      <xdr:rowOff>368011</xdr:rowOff>
    </xdr:to>
    <xdr:pic>
      <xdr:nvPicPr>
        <xdr:cNvPr id="114" name="Grafik 54">
          <a:extLst>
            <a:ext uri="{FF2B5EF4-FFF2-40B4-BE49-F238E27FC236}">
              <a16:creationId xmlns:a16="http://schemas.microsoft.com/office/drawing/2014/main" id="{00000000-0008-0000-0B00-000072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70</xdr:row>
      <xdr:rowOff>64635</xdr:rowOff>
    </xdr:from>
    <xdr:to>
      <xdr:col>2</xdr:col>
      <xdr:colOff>629329</xdr:colOff>
      <xdr:row>70</xdr:row>
      <xdr:rowOff>360590</xdr:rowOff>
    </xdr:to>
    <xdr:pic>
      <xdr:nvPicPr>
        <xdr:cNvPr id="115" name="Grafik 148">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72</xdr:row>
      <xdr:rowOff>30307</xdr:rowOff>
    </xdr:from>
    <xdr:to>
      <xdr:col>2</xdr:col>
      <xdr:colOff>644695</xdr:colOff>
      <xdr:row>72</xdr:row>
      <xdr:rowOff>355023</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5"/>
        <a:stretch>
          <a:fillRect/>
        </a:stretch>
      </xdr:blipFill>
      <xdr:spPr>
        <a:xfrm>
          <a:off x="1431073" y="20167023"/>
          <a:ext cx="512486" cy="324716"/>
        </a:xfrm>
        <a:prstGeom prst="rect">
          <a:avLst/>
        </a:prstGeom>
      </xdr:spPr>
    </xdr:pic>
    <xdr:clientData/>
  </xdr:twoCellAnchor>
  <xdr:twoCellAnchor>
    <xdr:from>
      <xdr:col>2</xdr:col>
      <xdr:colOff>181573</xdr:colOff>
      <xdr:row>77</xdr:row>
      <xdr:rowOff>33138</xdr:rowOff>
    </xdr:from>
    <xdr:to>
      <xdr:col>2</xdr:col>
      <xdr:colOff>559149</xdr:colOff>
      <xdr:row>77</xdr:row>
      <xdr:rowOff>376670</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6"/>
        <a:stretch>
          <a:fillRect/>
        </a:stretch>
      </xdr:blipFill>
      <xdr:spPr>
        <a:xfrm>
          <a:off x="1480437" y="22161445"/>
          <a:ext cx="377576" cy="343532"/>
        </a:xfrm>
        <a:prstGeom prst="rect">
          <a:avLst/>
        </a:prstGeom>
      </xdr:spPr>
    </xdr:pic>
    <xdr:clientData/>
  </xdr:twoCellAnchor>
  <xdr:twoCellAnchor>
    <xdr:from>
      <xdr:col>2</xdr:col>
      <xdr:colOff>228108</xdr:colOff>
      <xdr:row>78</xdr:row>
      <xdr:rowOff>38965</xdr:rowOff>
    </xdr:from>
    <xdr:to>
      <xdr:col>2</xdr:col>
      <xdr:colOff>559068</xdr:colOff>
      <xdr:row>78</xdr:row>
      <xdr:rowOff>372341</xdr:rowOff>
    </xdr:to>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7"/>
        <a:stretch>
          <a:fillRect/>
        </a:stretch>
      </xdr:blipFill>
      <xdr:spPr>
        <a:xfrm>
          <a:off x="1526972" y="6632863"/>
          <a:ext cx="330960" cy="333376"/>
        </a:xfrm>
        <a:prstGeom prst="rect">
          <a:avLst/>
        </a:prstGeom>
      </xdr:spPr>
    </xdr:pic>
    <xdr:clientData/>
  </xdr:twoCellAnchor>
  <xdr:twoCellAnchor>
    <xdr:from>
      <xdr:col>2</xdr:col>
      <xdr:colOff>287092</xdr:colOff>
      <xdr:row>93</xdr:row>
      <xdr:rowOff>11414</xdr:rowOff>
    </xdr:from>
    <xdr:to>
      <xdr:col>2</xdr:col>
      <xdr:colOff>525888</xdr:colOff>
      <xdr:row>93</xdr:row>
      <xdr:rowOff>388310</xdr:rowOff>
    </xdr:to>
    <xdr:pic>
      <xdr:nvPicPr>
        <xdr:cNvPr id="118" name="Grafik 52">
          <a:extLst>
            <a:ext uri="{FF2B5EF4-FFF2-40B4-BE49-F238E27FC236}">
              <a16:creationId xmlns:a16="http://schemas.microsoft.com/office/drawing/2014/main" id="{00000000-0008-0000-0B00-000076000000}"/>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113</xdr:row>
      <xdr:rowOff>21479</xdr:rowOff>
    </xdr:from>
    <xdr:to>
      <xdr:col>2</xdr:col>
      <xdr:colOff>655545</xdr:colOff>
      <xdr:row>113</xdr:row>
      <xdr:rowOff>372597</xdr:rowOff>
    </xdr:to>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9"/>
        <a:stretch>
          <a:fillRect/>
        </a:stretch>
      </xdr:blipFill>
      <xdr:spPr>
        <a:xfrm>
          <a:off x="1423147" y="7411758"/>
          <a:ext cx="526677" cy="351118"/>
        </a:xfrm>
        <a:prstGeom prst="rect">
          <a:avLst/>
        </a:prstGeom>
      </xdr:spPr>
    </xdr:pic>
    <xdr:clientData/>
  </xdr:twoCellAnchor>
  <xdr:twoCellAnchor>
    <xdr:from>
      <xdr:col>2</xdr:col>
      <xdr:colOff>164124</xdr:colOff>
      <xdr:row>114</xdr:row>
      <xdr:rowOff>17586</xdr:rowOff>
    </xdr:from>
    <xdr:to>
      <xdr:col>2</xdr:col>
      <xdr:colOff>630222</xdr:colOff>
      <xdr:row>114</xdr:row>
      <xdr:rowOff>386862</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0"/>
        <a:stretch>
          <a:fillRect/>
        </a:stretch>
      </xdr:blipFill>
      <xdr:spPr>
        <a:xfrm>
          <a:off x="1459524" y="7816363"/>
          <a:ext cx="466098" cy="369276"/>
        </a:xfrm>
        <a:prstGeom prst="rect">
          <a:avLst/>
        </a:prstGeom>
      </xdr:spPr>
    </xdr:pic>
    <xdr:clientData/>
  </xdr:twoCellAnchor>
  <xdr:twoCellAnchor>
    <xdr:from>
      <xdr:col>2</xdr:col>
      <xdr:colOff>324958</xdr:colOff>
      <xdr:row>83</xdr:row>
      <xdr:rowOff>56040</xdr:rowOff>
    </xdr:from>
    <xdr:to>
      <xdr:col>2</xdr:col>
      <xdr:colOff>460126</xdr:colOff>
      <xdr:row>83</xdr:row>
      <xdr:rowOff>351240</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B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B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B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588857</xdr:colOff>
      <xdr:row>4</xdr:row>
      <xdr:rowOff>126214</xdr:rowOff>
    </xdr:to>
    <xdr:pic>
      <xdr:nvPicPr>
        <xdr:cNvPr id="116" name="Grafik 4">
          <a:extLst>
            <a:ext uri="{FF2B5EF4-FFF2-40B4-BE49-F238E27FC236}">
              <a16:creationId xmlns:a16="http://schemas.microsoft.com/office/drawing/2014/main" id="{00000000-0008-0000-0B00-000074000000}"/>
            </a:ext>
          </a:extLst>
        </xdr:cNvPr>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516391</xdr:colOff>
      <xdr:row>5</xdr:row>
      <xdr:rowOff>97064</xdr:rowOff>
    </xdr:to>
    <xdr:pic>
      <xdr:nvPicPr>
        <xdr:cNvPr id="117" name="Grafik 116">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94</xdr:row>
      <xdr:rowOff>33617</xdr:rowOff>
    </xdr:from>
    <xdr:to>
      <xdr:col>2</xdr:col>
      <xdr:colOff>560293</xdr:colOff>
      <xdr:row>94</xdr:row>
      <xdr:rowOff>394020</xdr:rowOff>
    </xdr:to>
    <xdr:pic>
      <xdr:nvPicPr>
        <xdr:cNvPr id="121" name="Grafik 52">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66"/>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66"/>
        <a:stretch>
          <a:fillRect/>
        </a:stretch>
      </xdr:blipFill>
      <xdr:spPr>
        <a:xfrm>
          <a:off x="1514475" y="16223171"/>
          <a:ext cx="352425" cy="331280"/>
        </a:xfrm>
        <a:prstGeom prst="rect">
          <a:avLst/>
        </a:prstGeom>
      </xdr:spPr>
    </xdr:pic>
    <xdr:clientData/>
  </xdr:twoCellAnchor>
  <xdr:twoCellAnchor>
    <xdr:from>
      <xdr:col>2</xdr:col>
      <xdr:colOff>238125</xdr:colOff>
      <xdr:row>76</xdr:row>
      <xdr:rowOff>47625</xdr:rowOff>
    </xdr:from>
    <xdr:to>
      <xdr:col>2</xdr:col>
      <xdr:colOff>533363</xdr:colOff>
      <xdr:row>76</xdr:row>
      <xdr:rowOff>361911</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67"/>
        <a:stretch>
          <a:fillRect/>
        </a:stretch>
      </xdr:blipFill>
      <xdr:spPr>
        <a:xfrm>
          <a:off x="1533525" y="23431500"/>
          <a:ext cx="295238" cy="314286"/>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8"/>
        <a:stretch>
          <a:fillRect/>
        </a:stretch>
      </xdr:blipFill>
      <xdr:spPr>
        <a:xfrm>
          <a:off x="1495425" y="29403675"/>
          <a:ext cx="381000" cy="374952"/>
        </a:xfrm>
        <a:prstGeom prst="rect">
          <a:avLst/>
        </a:prstGeom>
      </xdr:spPr>
    </xdr:pic>
    <xdr:clientData/>
  </xdr:twoCellAnchor>
  <xdr:twoCellAnchor>
    <xdr:from>
      <xdr:col>2</xdr:col>
      <xdr:colOff>200025</xdr:colOff>
      <xdr:row>92</xdr:row>
      <xdr:rowOff>19050</xdr:rowOff>
    </xdr:from>
    <xdr:to>
      <xdr:col>2</xdr:col>
      <xdr:colOff>581025</xdr:colOff>
      <xdr:row>92</xdr:row>
      <xdr:rowOff>394002</xdr:rowOff>
    </xdr:to>
    <xdr:pic>
      <xdr:nvPicPr>
        <xdr:cNvPr id="124" name="Grafik 123">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68"/>
        <a:stretch>
          <a:fillRect/>
        </a:stretch>
      </xdr:blipFill>
      <xdr:spPr>
        <a:xfrm>
          <a:off x="1495425" y="29403675"/>
          <a:ext cx="381000" cy="374952"/>
        </a:xfrm>
        <a:prstGeom prst="rect">
          <a:avLst/>
        </a:prstGeom>
      </xdr:spPr>
    </xdr:pic>
    <xdr:clientData/>
  </xdr:twoCellAnchor>
  <xdr:twoCellAnchor>
    <xdr:from>
      <xdr:col>2</xdr:col>
      <xdr:colOff>304800</xdr:colOff>
      <xdr:row>107</xdr:row>
      <xdr:rowOff>19050</xdr:rowOff>
    </xdr:from>
    <xdr:to>
      <xdr:col>2</xdr:col>
      <xdr:colOff>428625</xdr:colOff>
      <xdr:row>107</xdr:row>
      <xdr:rowOff>381000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69"/>
        <a:stretch>
          <a:fillRect/>
        </a:stretch>
      </xdr:blipFill>
      <xdr:spPr>
        <a:xfrm>
          <a:off x="1600200" y="36204525"/>
          <a:ext cx="123825" cy="361950"/>
        </a:xfrm>
        <a:prstGeom prst="rect">
          <a:avLst/>
        </a:prstGeom>
      </xdr:spPr>
    </xdr:pic>
    <xdr:clientData/>
  </xdr:twoCellAnchor>
  <xdr:twoCellAnchor>
    <xdr:from>
      <xdr:col>2</xdr:col>
      <xdr:colOff>152985</xdr:colOff>
      <xdr:row>108</xdr:row>
      <xdr:rowOff>120153</xdr:rowOff>
    </xdr:from>
    <xdr:to>
      <xdr:col>2</xdr:col>
      <xdr:colOff>585430</xdr:colOff>
      <xdr:row>108</xdr:row>
      <xdr:rowOff>295579</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70"/>
        <a:stretch>
          <a:fillRect/>
        </a:stretch>
      </xdr:blipFill>
      <xdr:spPr>
        <a:xfrm rot="4034817">
          <a:off x="1576895" y="36577168"/>
          <a:ext cx="175426" cy="432445"/>
        </a:xfrm>
        <a:prstGeom prst="rect">
          <a:avLst/>
        </a:prstGeom>
      </xdr:spPr>
    </xdr:pic>
    <xdr:clientData/>
  </xdr:twoCellAnchor>
  <xdr:twoCellAnchor>
    <xdr:from>
      <xdr:col>2</xdr:col>
      <xdr:colOff>119875</xdr:colOff>
      <xdr:row>110</xdr:row>
      <xdr:rowOff>27877</xdr:rowOff>
    </xdr:from>
    <xdr:to>
      <xdr:col>2</xdr:col>
      <xdr:colOff>678364</xdr:colOff>
      <xdr:row>110</xdr:row>
      <xdr:rowOff>373656</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71"/>
        <a:srcRect t="4886" b="13458"/>
        <a:stretch/>
      </xdr:blipFill>
      <xdr:spPr>
        <a:xfrm>
          <a:off x="1411558" y="37375170"/>
          <a:ext cx="558489" cy="345779"/>
        </a:xfrm>
        <a:prstGeom prst="rect">
          <a:avLst/>
        </a:prstGeom>
      </xdr:spPr>
    </xdr:pic>
    <xdr:clientData/>
  </xdr:twoCellAnchor>
  <xdr:twoCellAnchor>
    <xdr:from>
      <xdr:col>2</xdr:col>
      <xdr:colOff>274757</xdr:colOff>
      <xdr:row>112</xdr:row>
      <xdr:rowOff>18316</xdr:rowOff>
    </xdr:from>
    <xdr:to>
      <xdr:col>2</xdr:col>
      <xdr:colOff>532488</xdr:colOff>
      <xdr:row>112</xdr:row>
      <xdr:rowOff>373673</xdr:rowOff>
    </xdr:to>
    <xdr:pic>
      <xdr:nvPicPr>
        <xdr:cNvPr id="127" name="Grafik 126">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2"/>
        <a:stretch>
          <a:fillRect/>
        </a:stretch>
      </xdr:blipFill>
      <xdr:spPr>
        <a:xfrm>
          <a:off x="1570157" y="32450941"/>
          <a:ext cx="257731" cy="355357"/>
        </a:xfrm>
        <a:prstGeom prst="rect">
          <a:avLst/>
        </a:prstGeom>
      </xdr:spPr>
    </xdr:pic>
    <xdr:clientData/>
  </xdr:twoCellAnchor>
  <xdr:twoCellAnchor>
    <xdr:from>
      <xdr:col>2</xdr:col>
      <xdr:colOff>324580</xdr:colOff>
      <xdr:row>111</xdr:row>
      <xdr:rowOff>19366</xdr:rowOff>
    </xdr:from>
    <xdr:to>
      <xdr:col>2</xdr:col>
      <xdr:colOff>471118</xdr:colOff>
      <xdr:row>111</xdr:row>
      <xdr:rowOff>391991</xdr:rowOff>
    </xdr:to>
    <xdr:pic>
      <xdr:nvPicPr>
        <xdr:cNvPr id="128" name="Grafik 12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73"/>
        <a:stretch>
          <a:fillRect/>
        </a:stretch>
      </xdr:blipFill>
      <xdr:spPr>
        <a:xfrm>
          <a:off x="1619980" y="38205091"/>
          <a:ext cx="146538" cy="372625"/>
        </a:xfrm>
        <a:prstGeom prst="rect">
          <a:avLst/>
        </a:prstGeom>
      </xdr:spPr>
    </xdr:pic>
    <xdr:clientData/>
  </xdr:twoCellAnchor>
  <xdr:twoCellAnchor>
    <xdr:from>
      <xdr:col>2</xdr:col>
      <xdr:colOff>152400</xdr:colOff>
      <xdr:row>71</xdr:row>
      <xdr:rowOff>53340</xdr:rowOff>
    </xdr:from>
    <xdr:to>
      <xdr:col>2</xdr:col>
      <xdr:colOff>631151</xdr:colOff>
      <xdr:row>71</xdr:row>
      <xdr:rowOff>349295</xdr:rowOff>
    </xdr:to>
    <xdr:pic>
      <xdr:nvPicPr>
        <xdr:cNvPr id="15" name="Grafik 148">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b="17012"/>
        <a:stretch>
          <a:fillRect/>
        </a:stretch>
      </xdr:blipFill>
      <xdr:spPr bwMode="auto">
        <a:xfrm>
          <a:off x="1478280" y="1871472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815340</xdr:colOff>
          <xdr:row>20</xdr:row>
          <xdr:rowOff>0</xdr:rowOff>
        </xdr:to>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B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662940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C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662940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C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C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C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C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C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C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C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C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42</xdr:row>
      <xdr:rowOff>62865</xdr:rowOff>
    </xdr:from>
    <xdr:to>
      <xdr:col>2</xdr:col>
      <xdr:colOff>464820</xdr:colOff>
      <xdr:row>42</xdr:row>
      <xdr:rowOff>360807</xdr:rowOff>
    </xdr:to>
    <xdr:pic>
      <xdr:nvPicPr>
        <xdr:cNvPr id="43" name="Grafik 137">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45</xdr:row>
      <xdr:rowOff>62865</xdr:rowOff>
    </xdr:from>
    <xdr:to>
      <xdr:col>2</xdr:col>
      <xdr:colOff>551180</xdr:colOff>
      <xdr:row>45</xdr:row>
      <xdr:rowOff>360045</xdr:rowOff>
    </xdr:to>
    <xdr:pic>
      <xdr:nvPicPr>
        <xdr:cNvPr id="44" name="Grafik 138">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47</xdr:row>
      <xdr:rowOff>62865</xdr:rowOff>
    </xdr:from>
    <xdr:to>
      <xdr:col>2</xdr:col>
      <xdr:colOff>475129</xdr:colOff>
      <xdr:row>47</xdr:row>
      <xdr:rowOff>360045</xdr:rowOff>
    </xdr:to>
    <xdr:pic>
      <xdr:nvPicPr>
        <xdr:cNvPr id="45" name="Grafik 139">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129540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C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C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43</xdr:row>
      <xdr:rowOff>38100</xdr:rowOff>
    </xdr:from>
    <xdr:to>
      <xdr:col>2</xdr:col>
      <xdr:colOff>587126</xdr:colOff>
      <xdr:row>43</xdr:row>
      <xdr:rowOff>381632</xdr:rowOff>
    </xdr:to>
    <xdr:pic>
      <xdr:nvPicPr>
        <xdr:cNvPr id="49" name="Grafik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54</xdr:row>
      <xdr:rowOff>64635</xdr:rowOff>
    </xdr:from>
    <xdr:to>
      <xdr:col>2</xdr:col>
      <xdr:colOff>632223</xdr:colOff>
      <xdr:row>54</xdr:row>
      <xdr:rowOff>357187</xdr:rowOff>
    </xdr:to>
    <xdr:pic>
      <xdr:nvPicPr>
        <xdr:cNvPr id="54" name="Grafik 35">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55</xdr:row>
      <xdr:rowOff>64635</xdr:rowOff>
    </xdr:from>
    <xdr:to>
      <xdr:col>2</xdr:col>
      <xdr:colOff>633569</xdr:colOff>
      <xdr:row>55</xdr:row>
      <xdr:rowOff>360589</xdr:rowOff>
    </xdr:to>
    <xdr:pic>
      <xdr:nvPicPr>
        <xdr:cNvPr id="55" name="Grafik 38">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56</xdr:row>
      <xdr:rowOff>64635</xdr:rowOff>
    </xdr:from>
    <xdr:to>
      <xdr:col>2</xdr:col>
      <xdr:colOff>487754</xdr:colOff>
      <xdr:row>56</xdr:row>
      <xdr:rowOff>353786</xdr:rowOff>
    </xdr:to>
    <xdr:pic>
      <xdr:nvPicPr>
        <xdr:cNvPr id="56" name="Grafik 39">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57</xdr:row>
      <xdr:rowOff>71439</xdr:rowOff>
    </xdr:from>
    <xdr:to>
      <xdr:col>2</xdr:col>
      <xdr:colOff>528066</xdr:colOff>
      <xdr:row>57</xdr:row>
      <xdr:rowOff>347664</xdr:rowOff>
    </xdr:to>
    <xdr:pic>
      <xdr:nvPicPr>
        <xdr:cNvPr id="57" name="Grafik 40">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52</xdr:row>
      <xdr:rowOff>64635</xdr:rowOff>
    </xdr:from>
    <xdr:to>
      <xdr:col>2</xdr:col>
      <xdr:colOff>629329</xdr:colOff>
      <xdr:row>52</xdr:row>
      <xdr:rowOff>360590</xdr:rowOff>
    </xdr:to>
    <xdr:pic>
      <xdr:nvPicPr>
        <xdr:cNvPr id="58" name="Grafik 148">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53</xdr:row>
      <xdr:rowOff>30307</xdr:rowOff>
    </xdr:from>
    <xdr:to>
      <xdr:col>2</xdr:col>
      <xdr:colOff>644695</xdr:colOff>
      <xdr:row>53</xdr:row>
      <xdr:rowOff>355023</xdr:rowOff>
    </xdr:to>
    <xdr:pic>
      <xdr:nvPicPr>
        <xdr:cNvPr id="59" name="Grafik 58">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C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C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C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600075</xdr:colOff>
      <xdr:row>4</xdr:row>
      <xdr:rowOff>132618</xdr:rowOff>
    </xdr:to>
    <xdr:pic>
      <xdr:nvPicPr>
        <xdr:cNvPr id="47" name="Grafik 4">
          <a:extLst>
            <a:ext uri="{FF2B5EF4-FFF2-40B4-BE49-F238E27FC236}">
              <a16:creationId xmlns:a16="http://schemas.microsoft.com/office/drawing/2014/main" id="{00000000-0008-0000-0C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275105</xdr:colOff>
      <xdr:row>5</xdr:row>
      <xdr:rowOff>100293</xdr:rowOff>
    </xdr:to>
    <xdr:pic>
      <xdr:nvPicPr>
        <xdr:cNvPr id="48" name="Grafik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C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62" name="Grafik 138">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63" name="Grafik 139">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49</xdr:row>
      <xdr:rowOff>19051</xdr:rowOff>
    </xdr:from>
    <xdr:to>
      <xdr:col>2</xdr:col>
      <xdr:colOff>529590</xdr:colOff>
      <xdr:row>49</xdr:row>
      <xdr:rowOff>381001</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65" name="Grafik 64">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50</xdr:row>
      <xdr:rowOff>19729</xdr:rowOff>
    </xdr:from>
    <xdr:to>
      <xdr:col>2</xdr:col>
      <xdr:colOff>552450</xdr:colOff>
      <xdr:row>50</xdr:row>
      <xdr:rowOff>385422</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51</xdr:row>
      <xdr:rowOff>125867</xdr:rowOff>
    </xdr:from>
    <xdr:to>
      <xdr:col>2</xdr:col>
      <xdr:colOff>642366</xdr:colOff>
      <xdr:row>51</xdr:row>
      <xdr:rowOff>278267</xdr:rowOff>
    </xdr:to>
    <xdr:pic>
      <xdr:nvPicPr>
        <xdr:cNvPr id="67" name="Grafik 166">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73" name="Grafik 63">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74" name="Grafik 73">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24"/>
        <a:stretch>
          <a:fillRect/>
        </a:stretch>
      </xdr:blipFill>
      <xdr:spPr>
        <a:xfrm>
          <a:off x="1424268" y="3860725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75" name="Grafik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25"/>
        <a:stretch>
          <a:fillRect/>
        </a:stretch>
      </xdr:blipFill>
      <xdr:spPr>
        <a:xfrm>
          <a:off x="1600200" y="3620452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76" name="Grafik 75">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26"/>
        <a:stretch>
          <a:fillRect/>
        </a:stretch>
      </xdr:blipFill>
      <xdr:spPr>
        <a:xfrm rot="4034817">
          <a:off x="1576895" y="3657716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77" name="Grafik 76">
          <a:extLst>
            <a:ext uri="{FF2B5EF4-FFF2-40B4-BE49-F238E27FC236}">
              <a16:creationId xmlns:a16="http://schemas.microsoft.com/office/drawing/2014/main" id="{00000000-0008-0000-0C00-00004D000000}"/>
            </a:ext>
          </a:extLst>
        </xdr:cNvPr>
        <xdr:cNvPicPr>
          <a:picLocks noChangeAspect="1"/>
        </xdr:cNvPicPr>
      </xdr:nvPicPr>
      <xdr:blipFill rotWithShape="1">
        <a:blip xmlns:r="http://schemas.openxmlformats.org/officeDocument/2006/relationships" r:embed="rId27"/>
        <a:srcRect t="4886" b="13458"/>
        <a:stretch/>
      </xdr:blipFill>
      <xdr:spPr>
        <a:xfrm>
          <a:off x="1415275" y="3741350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78" name="Grafik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28"/>
        <a:stretch>
          <a:fillRect/>
        </a:stretch>
      </xdr:blipFill>
      <xdr:spPr>
        <a:xfrm>
          <a:off x="1570157" y="38204041"/>
          <a:ext cx="257731" cy="355357"/>
        </a:xfrm>
        <a:prstGeom prst="rect">
          <a:avLst/>
        </a:prstGeom>
      </xdr:spPr>
    </xdr:pic>
    <xdr:clientData/>
  </xdr:twoCellAnchor>
  <xdr:twoCellAnchor>
    <xdr:from>
      <xdr:col>2</xdr:col>
      <xdr:colOff>324580</xdr:colOff>
      <xdr:row>62</xdr:row>
      <xdr:rowOff>19366</xdr:rowOff>
    </xdr:from>
    <xdr:to>
      <xdr:col>2</xdr:col>
      <xdr:colOff>471118</xdr:colOff>
      <xdr:row>62</xdr:row>
      <xdr:rowOff>391991</xdr:rowOff>
    </xdr:to>
    <xdr:pic>
      <xdr:nvPicPr>
        <xdr:cNvPr id="79" name="Grafik 7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29"/>
        <a:stretch>
          <a:fillRect/>
        </a:stretch>
      </xdr:blipFill>
      <xdr:spPr>
        <a:xfrm>
          <a:off x="1619980" y="19650391"/>
          <a:ext cx="146538" cy="372625"/>
        </a:xfrm>
        <a:prstGeom prst="rect">
          <a:avLst/>
        </a:prstGeom>
      </xdr:spPr>
    </xdr:pic>
    <xdr:clientData/>
  </xdr:twoCellAnchor>
  <xdr:twoCellAnchor>
    <xdr:from>
      <xdr:col>2</xdr:col>
      <xdr:colOff>236220</xdr:colOff>
      <xdr:row>41</xdr:row>
      <xdr:rowOff>15240</xdr:rowOff>
    </xdr:from>
    <xdr:to>
      <xdr:col>2</xdr:col>
      <xdr:colOff>550545</xdr:colOff>
      <xdr:row>41</xdr:row>
      <xdr:rowOff>371080</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0"/>
        <a:stretch>
          <a:fillRect/>
        </a:stretch>
      </xdr:blipFill>
      <xdr:spPr>
        <a:xfrm>
          <a:off x="1562100" y="10873740"/>
          <a:ext cx="314325" cy="355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146658</xdr:colOff>
      <xdr:row>30</xdr:row>
      <xdr:rowOff>50260</xdr:rowOff>
    </xdr:from>
    <xdr:to>
      <xdr:col>2</xdr:col>
      <xdr:colOff>569203</xdr:colOff>
      <xdr:row>30</xdr:row>
      <xdr:rowOff>350210</xdr:rowOff>
    </xdr:to>
    <xdr:pic>
      <xdr:nvPicPr>
        <xdr:cNvPr id="6" name="Grafik 19">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956" t="11818" r="15182" b="14584"/>
        <a:stretch>
          <a:fillRect/>
        </a:stretch>
      </xdr:blipFill>
      <xdr:spPr bwMode="auto">
        <a:xfrm>
          <a:off x="1472538" y="6466300"/>
          <a:ext cx="422545" cy="29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33</xdr:row>
      <xdr:rowOff>55545</xdr:rowOff>
    </xdr:from>
    <xdr:to>
      <xdr:col>2</xdr:col>
      <xdr:colOff>533534</xdr:colOff>
      <xdr:row>33</xdr:row>
      <xdr:rowOff>342091</xdr:rowOff>
    </xdr:to>
    <xdr:pic>
      <xdr:nvPicPr>
        <xdr:cNvPr id="9" name="Grafik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777" t="23737" r="18845" b="13014"/>
        <a:stretch>
          <a:fillRect/>
        </a:stretch>
      </xdr:blipFill>
      <xdr:spPr bwMode="auto">
        <a:xfrm>
          <a:off x="1482064" y="658969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127947</xdr:colOff>
      <xdr:row>34</xdr:row>
      <xdr:rowOff>69578</xdr:rowOff>
    </xdr:from>
    <xdr:to>
      <xdr:col>2</xdr:col>
      <xdr:colOff>629123</xdr:colOff>
      <xdr:row>34</xdr:row>
      <xdr:rowOff>329930</xdr:rowOff>
    </xdr:to>
    <xdr:pic>
      <xdr:nvPicPr>
        <xdr:cNvPr id="10" name="Grafik 2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3347" y="7003778"/>
          <a:ext cx="501176" cy="260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177167</xdr:colOff>
      <xdr:row>35</xdr:row>
      <xdr:rowOff>104878</xdr:rowOff>
    </xdr:from>
    <xdr:to>
      <xdr:col>2</xdr:col>
      <xdr:colOff>532303</xdr:colOff>
      <xdr:row>35</xdr:row>
      <xdr:rowOff>294835</xdr:rowOff>
    </xdr:to>
    <xdr:pic>
      <xdr:nvPicPr>
        <xdr:cNvPr id="11" name="Grafik 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735653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36</xdr:row>
      <xdr:rowOff>52793</xdr:rowOff>
    </xdr:from>
    <xdr:to>
      <xdr:col>2</xdr:col>
      <xdr:colOff>584993</xdr:colOff>
      <xdr:row>36</xdr:row>
      <xdr:rowOff>347663</xdr:rowOff>
    </xdr:to>
    <xdr:pic>
      <xdr:nvPicPr>
        <xdr:cNvPr id="12" name="Grafik 2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81345" y="7787093"/>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196745</xdr:colOff>
      <xdr:row>37</xdr:row>
      <xdr:rowOff>47624</xdr:rowOff>
    </xdr:from>
    <xdr:to>
      <xdr:col>2</xdr:col>
      <xdr:colOff>564911</xdr:colOff>
      <xdr:row>37</xdr:row>
      <xdr:rowOff>354805</xdr:rowOff>
    </xdr:to>
    <xdr:pic>
      <xdr:nvPicPr>
        <xdr:cNvPr id="13" name="Grafik 100">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8033" t="270" r="4582" b="270"/>
        <a:stretch>
          <a:fillRect/>
        </a:stretch>
      </xdr:blipFill>
      <xdr:spPr bwMode="auto">
        <a:xfrm>
          <a:off x="1492145" y="7915274"/>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38</xdr:row>
      <xdr:rowOff>53975</xdr:rowOff>
    </xdr:from>
    <xdr:to>
      <xdr:col>2</xdr:col>
      <xdr:colOff>606320</xdr:colOff>
      <xdr:row>38</xdr:row>
      <xdr:rowOff>350045</xdr:rowOff>
    </xdr:to>
    <xdr:pic>
      <xdr:nvPicPr>
        <xdr:cNvPr id="14" name="Grafik 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57615" y="858837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33" name="Grafik 3">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6704" t="5402" r="1610" b="10881"/>
        <a:stretch>
          <a:fillRect/>
        </a:stretch>
      </xdr:blipFill>
      <xdr:spPr bwMode="auto">
        <a:xfrm>
          <a:off x="1393346" y="90049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40</xdr:row>
      <xdr:rowOff>48884</xdr:rowOff>
    </xdr:from>
    <xdr:to>
      <xdr:col>2</xdr:col>
      <xdr:colOff>525673</xdr:colOff>
      <xdr:row>40</xdr:row>
      <xdr:rowOff>345541</xdr:rowOff>
    </xdr:to>
    <xdr:pic>
      <xdr:nvPicPr>
        <xdr:cNvPr id="34" name="Grafik 11">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8214" t="2277" r="11964" b="4314"/>
        <a:stretch>
          <a:fillRect/>
        </a:stretch>
      </xdr:blipFill>
      <xdr:spPr bwMode="auto">
        <a:xfrm>
          <a:off x="1493989" y="938338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41</xdr:row>
      <xdr:rowOff>48882</xdr:rowOff>
    </xdr:from>
    <xdr:to>
      <xdr:col>2</xdr:col>
      <xdr:colOff>593018</xdr:colOff>
      <xdr:row>41</xdr:row>
      <xdr:rowOff>354401</xdr:rowOff>
    </xdr:to>
    <xdr:pic>
      <xdr:nvPicPr>
        <xdr:cNvPr id="35" name="Grafik 12">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755" t="13184" r="8890" b="3316"/>
        <a:stretch>
          <a:fillRect/>
        </a:stretch>
      </xdr:blipFill>
      <xdr:spPr bwMode="auto">
        <a:xfrm>
          <a:off x="1422100" y="978343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42</xdr:row>
      <xdr:rowOff>52477</xdr:rowOff>
    </xdr:from>
    <xdr:to>
      <xdr:col>2</xdr:col>
      <xdr:colOff>597559</xdr:colOff>
      <xdr:row>42</xdr:row>
      <xdr:rowOff>354402</xdr:rowOff>
    </xdr:to>
    <xdr:pic>
      <xdr:nvPicPr>
        <xdr:cNvPr id="36" name="Grafik 13">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0931" t="2345" r="7076" b="13266"/>
        <a:stretch>
          <a:fillRect/>
        </a:stretch>
      </xdr:blipFill>
      <xdr:spPr bwMode="auto">
        <a:xfrm>
          <a:off x="1467168" y="1018707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43</xdr:row>
      <xdr:rowOff>49601</xdr:rowOff>
    </xdr:from>
    <xdr:to>
      <xdr:col>2</xdr:col>
      <xdr:colOff>583183</xdr:colOff>
      <xdr:row>43</xdr:row>
      <xdr:rowOff>354401</xdr:rowOff>
    </xdr:to>
    <xdr:pic>
      <xdr:nvPicPr>
        <xdr:cNvPr id="37" name="Grafik 14">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16042" t="8829" r="16042" b="7278"/>
        <a:stretch>
          <a:fillRect/>
        </a:stretch>
      </xdr:blipFill>
      <xdr:spPr bwMode="auto">
        <a:xfrm>
          <a:off x="1469008" y="1058425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48885</xdr:rowOff>
    </xdr:from>
    <xdr:to>
      <xdr:col>2</xdr:col>
      <xdr:colOff>611935</xdr:colOff>
      <xdr:row>44</xdr:row>
      <xdr:rowOff>357999</xdr:rowOff>
    </xdr:to>
    <xdr:pic>
      <xdr:nvPicPr>
        <xdr:cNvPr id="38" name="Grafik 15">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15553" t="5557" r="6686" b="13290"/>
        <a:stretch>
          <a:fillRect/>
        </a:stretch>
      </xdr:blipFill>
      <xdr:spPr bwMode="auto">
        <a:xfrm>
          <a:off x="1421584" y="1098358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46</xdr:row>
      <xdr:rowOff>45287</xdr:rowOff>
    </xdr:from>
    <xdr:to>
      <xdr:col>2</xdr:col>
      <xdr:colOff>608342</xdr:colOff>
      <xdr:row>46</xdr:row>
      <xdr:rowOff>354400</xdr:rowOff>
    </xdr:to>
    <xdr:pic>
      <xdr:nvPicPr>
        <xdr:cNvPr id="39" name="Grafik 16">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3811" t="16963" r="14618" b="3882"/>
        <a:stretch>
          <a:fillRect/>
        </a:stretch>
      </xdr:blipFill>
      <xdr:spPr bwMode="auto">
        <a:xfrm>
          <a:off x="1448207" y="1178008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45</xdr:row>
      <xdr:rowOff>45290</xdr:rowOff>
    </xdr:from>
    <xdr:to>
      <xdr:col>2</xdr:col>
      <xdr:colOff>611935</xdr:colOff>
      <xdr:row>45</xdr:row>
      <xdr:rowOff>354404</xdr:rowOff>
    </xdr:to>
    <xdr:pic>
      <xdr:nvPicPr>
        <xdr:cNvPr id="41" name="Grafik 15">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15553" t="5557" r="6686" b="13290"/>
        <a:stretch>
          <a:fillRect/>
        </a:stretch>
      </xdr:blipFill>
      <xdr:spPr bwMode="auto">
        <a:xfrm>
          <a:off x="1421584" y="1138004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121888</xdr:colOff>
      <xdr:row>54</xdr:row>
      <xdr:rowOff>44822</xdr:rowOff>
    </xdr:from>
    <xdr:to>
      <xdr:col>2</xdr:col>
      <xdr:colOff>596958</xdr:colOff>
      <xdr:row>54</xdr:row>
      <xdr:rowOff>401125</xdr:rowOff>
    </xdr:to>
    <xdr:pic>
      <xdr:nvPicPr>
        <xdr:cNvPr id="44" name="Grafik 20">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421770" y="13996146"/>
          <a:ext cx="475070" cy="35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52478</xdr:rowOff>
    </xdr:from>
    <xdr:to>
      <xdr:col>2</xdr:col>
      <xdr:colOff>575814</xdr:colOff>
      <xdr:row>55</xdr:row>
      <xdr:rowOff>347753</xdr:rowOff>
    </xdr:to>
    <xdr:pic>
      <xdr:nvPicPr>
        <xdr:cNvPr id="47" name="Grafik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1875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49" name="Grafik 46">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5876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60</xdr:row>
      <xdr:rowOff>32133</xdr:rowOff>
    </xdr:from>
    <xdr:to>
      <xdr:col>2</xdr:col>
      <xdr:colOff>645842</xdr:colOff>
      <xdr:row>60</xdr:row>
      <xdr:rowOff>394938</xdr:rowOff>
    </xdr:to>
    <xdr:pic>
      <xdr:nvPicPr>
        <xdr:cNvPr id="50" name="Grafik 2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53736</xdr:rowOff>
    </xdr:from>
    <xdr:to>
      <xdr:col>2</xdr:col>
      <xdr:colOff>597556</xdr:colOff>
      <xdr:row>61</xdr:row>
      <xdr:rowOff>355164</xdr:rowOff>
    </xdr:to>
    <xdr:pic>
      <xdr:nvPicPr>
        <xdr:cNvPr id="51" name="Grafik 24">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57890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58</xdr:row>
      <xdr:rowOff>51008</xdr:rowOff>
    </xdr:from>
    <xdr:to>
      <xdr:col>2</xdr:col>
      <xdr:colOff>514890</xdr:colOff>
      <xdr:row>58</xdr:row>
      <xdr:rowOff>347214</xdr:rowOff>
    </xdr:to>
    <xdr:pic>
      <xdr:nvPicPr>
        <xdr:cNvPr id="52" name="Grafik 69">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0732" t="12195" r="25610" b="8130"/>
        <a:stretch>
          <a:fillRect/>
        </a:stretch>
      </xdr:blipFill>
      <xdr:spPr bwMode="auto">
        <a:xfrm>
          <a:off x="1546106" y="1498620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50141</xdr:rowOff>
    </xdr:from>
    <xdr:to>
      <xdr:col>2</xdr:col>
      <xdr:colOff>597556</xdr:colOff>
      <xdr:row>62</xdr:row>
      <xdr:rowOff>351569</xdr:rowOff>
    </xdr:to>
    <xdr:pic>
      <xdr:nvPicPr>
        <xdr:cNvPr id="53" name="Grafik 24">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1854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53735</xdr:rowOff>
    </xdr:from>
    <xdr:to>
      <xdr:col>2</xdr:col>
      <xdr:colOff>597556</xdr:colOff>
      <xdr:row>63</xdr:row>
      <xdr:rowOff>355163</xdr:rowOff>
    </xdr:to>
    <xdr:pic>
      <xdr:nvPicPr>
        <xdr:cNvPr id="54" name="Grafik 24">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5891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66</xdr:row>
      <xdr:rowOff>50140</xdr:rowOff>
    </xdr:from>
    <xdr:to>
      <xdr:col>2</xdr:col>
      <xdr:colOff>597556</xdr:colOff>
      <xdr:row>66</xdr:row>
      <xdr:rowOff>351568</xdr:rowOff>
    </xdr:to>
    <xdr:pic>
      <xdr:nvPicPr>
        <xdr:cNvPr id="55" name="Grafik 2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9855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68</xdr:row>
      <xdr:rowOff>52478</xdr:rowOff>
    </xdr:from>
    <xdr:to>
      <xdr:col>2</xdr:col>
      <xdr:colOff>588516</xdr:colOff>
      <xdr:row>68</xdr:row>
      <xdr:rowOff>347214</xdr:rowOff>
    </xdr:to>
    <xdr:pic>
      <xdr:nvPicPr>
        <xdr:cNvPr id="56" name="Grafik 2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90935" y="173879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70</xdr:row>
      <xdr:rowOff>53736</xdr:rowOff>
    </xdr:from>
    <xdr:to>
      <xdr:col>2</xdr:col>
      <xdr:colOff>554074</xdr:colOff>
      <xdr:row>70</xdr:row>
      <xdr:rowOff>350807</xdr:rowOff>
    </xdr:to>
    <xdr:pic>
      <xdr:nvPicPr>
        <xdr:cNvPr id="57" name="Grafik 1800">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3045" t="20753" r="25102" b="13525"/>
        <a:stretch>
          <a:fillRect/>
        </a:stretch>
      </xdr:blipFill>
      <xdr:spPr bwMode="auto">
        <a:xfrm>
          <a:off x="1504229" y="1818933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216557</xdr:colOff>
      <xdr:row>71</xdr:row>
      <xdr:rowOff>51400</xdr:rowOff>
    </xdr:from>
    <xdr:to>
      <xdr:col>2</xdr:col>
      <xdr:colOff>538996</xdr:colOff>
      <xdr:row>71</xdr:row>
      <xdr:rowOff>350808</xdr:rowOff>
    </xdr:to>
    <xdr:pic>
      <xdr:nvPicPr>
        <xdr:cNvPr id="58" name="Grafik 1801">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6855" t="3452" r="18765" b="6824"/>
        <a:stretch>
          <a:fillRect/>
        </a:stretch>
      </xdr:blipFill>
      <xdr:spPr bwMode="auto">
        <a:xfrm>
          <a:off x="1511957" y="18587050"/>
          <a:ext cx="322439" cy="299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73</xdr:row>
      <xdr:rowOff>47805</xdr:rowOff>
    </xdr:from>
    <xdr:to>
      <xdr:col>2</xdr:col>
      <xdr:colOff>569077</xdr:colOff>
      <xdr:row>73</xdr:row>
      <xdr:rowOff>354402</xdr:rowOff>
    </xdr:to>
    <xdr:pic>
      <xdr:nvPicPr>
        <xdr:cNvPr id="59" name="Grafik 1802">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 r="7126"/>
        <a:stretch>
          <a:fillRect/>
        </a:stretch>
      </xdr:blipFill>
      <xdr:spPr bwMode="auto">
        <a:xfrm>
          <a:off x="1444923" y="1898350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74</xdr:row>
      <xdr:rowOff>57330</xdr:rowOff>
    </xdr:from>
    <xdr:to>
      <xdr:col>2</xdr:col>
      <xdr:colOff>629917</xdr:colOff>
      <xdr:row>74</xdr:row>
      <xdr:rowOff>347214</xdr:rowOff>
    </xdr:to>
    <xdr:pic>
      <xdr:nvPicPr>
        <xdr:cNvPr id="60" name="Grafik 86">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4172" t="11102" r="4005" b="9978"/>
        <a:stretch>
          <a:fillRect/>
        </a:stretch>
      </xdr:blipFill>
      <xdr:spPr bwMode="auto">
        <a:xfrm>
          <a:off x="1423896" y="1939308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69</xdr:row>
      <xdr:rowOff>50139</xdr:rowOff>
    </xdr:from>
    <xdr:to>
      <xdr:col>2</xdr:col>
      <xdr:colOff>524416</xdr:colOff>
      <xdr:row>69</xdr:row>
      <xdr:rowOff>354402</xdr:rowOff>
    </xdr:to>
    <xdr:pic>
      <xdr:nvPicPr>
        <xdr:cNvPr id="61" name="Grafik 33">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933" r="14037" b="12170"/>
        <a:stretch>
          <a:fillRect/>
        </a:stretch>
      </xdr:blipFill>
      <xdr:spPr bwMode="auto">
        <a:xfrm>
          <a:off x="1515553" y="1778568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48883</xdr:rowOff>
    </xdr:from>
    <xdr:to>
      <xdr:col>2</xdr:col>
      <xdr:colOff>477051</xdr:colOff>
      <xdr:row>75</xdr:row>
      <xdr:rowOff>350807</xdr:rowOff>
    </xdr:to>
    <xdr:pic>
      <xdr:nvPicPr>
        <xdr:cNvPr id="62" name="Grafik 1803">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37877" t="2940" r="23587" b="3934"/>
        <a:stretch>
          <a:fillRect/>
        </a:stretch>
      </xdr:blipFill>
      <xdr:spPr bwMode="auto">
        <a:xfrm>
          <a:off x="1565872" y="1978468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76</xdr:row>
      <xdr:rowOff>52478</xdr:rowOff>
    </xdr:from>
    <xdr:to>
      <xdr:col>2</xdr:col>
      <xdr:colOff>477051</xdr:colOff>
      <xdr:row>76</xdr:row>
      <xdr:rowOff>354402</xdr:rowOff>
    </xdr:to>
    <xdr:pic>
      <xdr:nvPicPr>
        <xdr:cNvPr id="63" name="Grafik 1803">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37877" t="2940" r="23587" b="3934"/>
        <a:stretch>
          <a:fillRect/>
        </a:stretch>
      </xdr:blipFill>
      <xdr:spPr bwMode="auto">
        <a:xfrm>
          <a:off x="1565872" y="2018832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77</xdr:row>
      <xdr:rowOff>52478</xdr:rowOff>
    </xdr:from>
    <xdr:to>
      <xdr:col>2</xdr:col>
      <xdr:colOff>600642</xdr:colOff>
      <xdr:row>77</xdr:row>
      <xdr:rowOff>350808</xdr:rowOff>
    </xdr:to>
    <xdr:pic>
      <xdr:nvPicPr>
        <xdr:cNvPr id="64" name="Grafik 1804">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7597" t="13477" r="10893" b="7732"/>
        <a:stretch>
          <a:fillRect/>
        </a:stretch>
      </xdr:blipFill>
      <xdr:spPr bwMode="auto">
        <a:xfrm>
          <a:off x="1428390" y="2058837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95072</xdr:colOff>
      <xdr:row>79</xdr:row>
      <xdr:rowOff>47625</xdr:rowOff>
    </xdr:from>
    <xdr:to>
      <xdr:col>2</xdr:col>
      <xdr:colOff>658665</xdr:colOff>
      <xdr:row>79</xdr:row>
      <xdr:rowOff>351098</xdr:rowOff>
    </xdr:to>
    <xdr:pic>
      <xdr:nvPicPr>
        <xdr:cNvPr id="65" name="Grafik 1805">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11279" t="15874" r="5510" b="17451"/>
        <a:stretch>
          <a:fillRect/>
        </a:stretch>
      </xdr:blipFill>
      <xdr:spPr bwMode="auto">
        <a:xfrm>
          <a:off x="1390472" y="21383625"/>
          <a:ext cx="563593" cy="303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80</xdr:row>
      <xdr:rowOff>50143</xdr:rowOff>
    </xdr:from>
    <xdr:to>
      <xdr:col>2</xdr:col>
      <xdr:colOff>496724</xdr:colOff>
      <xdr:row>80</xdr:row>
      <xdr:rowOff>350809</xdr:rowOff>
    </xdr:to>
    <xdr:pic>
      <xdr:nvPicPr>
        <xdr:cNvPr id="69" name="Grafik 1809">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27708" t="13861" r="31795" b="14694"/>
        <a:stretch>
          <a:fillRect/>
        </a:stretch>
      </xdr:blipFill>
      <xdr:spPr bwMode="auto">
        <a:xfrm>
          <a:off x="1532089" y="2298634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82</xdr:row>
      <xdr:rowOff>49961</xdr:rowOff>
    </xdr:from>
    <xdr:to>
      <xdr:col>2</xdr:col>
      <xdr:colOff>592475</xdr:colOff>
      <xdr:row>82</xdr:row>
      <xdr:rowOff>354402</xdr:rowOff>
    </xdr:to>
    <xdr:pic>
      <xdr:nvPicPr>
        <xdr:cNvPr id="70" name="Grafik 1810">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l="22144" r="5516" b="15793"/>
        <a:stretch>
          <a:fillRect/>
        </a:stretch>
      </xdr:blipFill>
      <xdr:spPr bwMode="auto">
        <a:xfrm>
          <a:off x="1467030" y="2338621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71" name="Grafik 180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6499" t="9016" r="15376" b="9836"/>
        <a:stretch>
          <a:fillRect/>
        </a:stretch>
      </xdr:blipFill>
      <xdr:spPr bwMode="auto">
        <a:xfrm>
          <a:off x="1489315" y="209896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83</xdr:row>
      <xdr:rowOff>48883</xdr:rowOff>
    </xdr:from>
    <xdr:to>
      <xdr:col>2</xdr:col>
      <xdr:colOff>530349</xdr:colOff>
      <xdr:row>83</xdr:row>
      <xdr:rowOff>350808</xdr:rowOff>
    </xdr:to>
    <xdr:pic>
      <xdr:nvPicPr>
        <xdr:cNvPr id="72" name="Grafik 181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7184" t="16817" r="33038" b="16847"/>
        <a:stretch>
          <a:fillRect/>
        </a:stretch>
      </xdr:blipFill>
      <xdr:spPr bwMode="auto">
        <a:xfrm>
          <a:off x="1548984" y="2378518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86</xdr:row>
      <xdr:rowOff>52477</xdr:rowOff>
    </xdr:from>
    <xdr:to>
      <xdr:col>2</xdr:col>
      <xdr:colOff>503461</xdr:colOff>
      <xdr:row>86</xdr:row>
      <xdr:rowOff>350808</xdr:rowOff>
    </xdr:to>
    <xdr:pic>
      <xdr:nvPicPr>
        <xdr:cNvPr id="74" name="Grafik 1811">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4019" t="12331" r="36412" b="22742"/>
        <a:stretch>
          <a:fillRect/>
        </a:stretch>
      </xdr:blipFill>
      <xdr:spPr bwMode="auto">
        <a:xfrm>
          <a:off x="1524719" y="2458887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47445</xdr:rowOff>
    </xdr:from>
    <xdr:to>
      <xdr:col>2</xdr:col>
      <xdr:colOff>564635</xdr:colOff>
      <xdr:row>87</xdr:row>
      <xdr:rowOff>350807</xdr:rowOff>
    </xdr:to>
    <xdr:pic>
      <xdr:nvPicPr>
        <xdr:cNvPr id="75" name="Grafik 1812">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49838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51039</xdr:rowOff>
    </xdr:from>
    <xdr:to>
      <xdr:col>2</xdr:col>
      <xdr:colOff>564635</xdr:colOff>
      <xdr:row>88</xdr:row>
      <xdr:rowOff>354401</xdr:rowOff>
    </xdr:to>
    <xdr:pic>
      <xdr:nvPicPr>
        <xdr:cNvPr id="76" name="Grafik 1812">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538753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47445</xdr:rowOff>
    </xdr:from>
    <xdr:to>
      <xdr:col>2</xdr:col>
      <xdr:colOff>564635</xdr:colOff>
      <xdr:row>89</xdr:row>
      <xdr:rowOff>350807</xdr:rowOff>
    </xdr:to>
    <xdr:pic>
      <xdr:nvPicPr>
        <xdr:cNvPr id="77" name="Grafik 1812">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57839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51038</xdr:rowOff>
    </xdr:from>
    <xdr:to>
      <xdr:col>2</xdr:col>
      <xdr:colOff>564635</xdr:colOff>
      <xdr:row>90</xdr:row>
      <xdr:rowOff>354400</xdr:rowOff>
    </xdr:to>
    <xdr:pic>
      <xdr:nvPicPr>
        <xdr:cNvPr id="78" name="Grafik 1812">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61876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91</xdr:row>
      <xdr:rowOff>51038</xdr:rowOff>
    </xdr:from>
    <xdr:to>
      <xdr:col>2</xdr:col>
      <xdr:colOff>564635</xdr:colOff>
      <xdr:row>91</xdr:row>
      <xdr:rowOff>354400</xdr:rowOff>
    </xdr:to>
    <xdr:pic>
      <xdr:nvPicPr>
        <xdr:cNvPr id="79" name="Grafik 181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65876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93</xdr:row>
      <xdr:rowOff>48883</xdr:rowOff>
    </xdr:from>
    <xdr:to>
      <xdr:col>2</xdr:col>
      <xdr:colOff>594684</xdr:colOff>
      <xdr:row>93</xdr:row>
      <xdr:rowOff>353683</xdr:rowOff>
    </xdr:to>
    <xdr:pic>
      <xdr:nvPicPr>
        <xdr:cNvPr id="80" name="Grafik 1813">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432884" y="2738563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104</xdr:row>
      <xdr:rowOff>53735</xdr:rowOff>
    </xdr:from>
    <xdr:to>
      <xdr:col>2</xdr:col>
      <xdr:colOff>588843</xdr:colOff>
      <xdr:row>104</xdr:row>
      <xdr:rowOff>350807</xdr:rowOff>
    </xdr:to>
    <xdr:pic>
      <xdr:nvPicPr>
        <xdr:cNvPr id="81" name="Grafik 102">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38635" y="2979078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112866</xdr:colOff>
      <xdr:row>98</xdr:row>
      <xdr:rowOff>50142</xdr:rowOff>
    </xdr:from>
    <xdr:to>
      <xdr:col>2</xdr:col>
      <xdr:colOff>645474</xdr:colOff>
      <xdr:row>98</xdr:row>
      <xdr:rowOff>350808</xdr:rowOff>
    </xdr:to>
    <xdr:pic>
      <xdr:nvPicPr>
        <xdr:cNvPr id="87" name="Grafik 5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12923" t="16177" r="14217" b="29706"/>
        <a:stretch>
          <a:fillRect/>
        </a:stretch>
      </xdr:blipFill>
      <xdr:spPr bwMode="auto">
        <a:xfrm>
          <a:off x="1408266" y="28987092"/>
          <a:ext cx="532608"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101</xdr:row>
      <xdr:rowOff>63027</xdr:rowOff>
    </xdr:from>
    <xdr:to>
      <xdr:col>2</xdr:col>
      <xdr:colOff>607876</xdr:colOff>
      <xdr:row>101</xdr:row>
      <xdr:rowOff>337922</xdr:rowOff>
    </xdr:to>
    <xdr:pic>
      <xdr:nvPicPr>
        <xdr:cNvPr id="88" name="Grafik 68">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490933" y="319336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113401</xdr:rowOff>
    </xdr:from>
    <xdr:to>
      <xdr:col>2</xdr:col>
      <xdr:colOff>554607</xdr:colOff>
      <xdr:row>94</xdr:row>
      <xdr:rowOff>294376</xdr:rowOff>
    </xdr:to>
    <xdr:pic>
      <xdr:nvPicPr>
        <xdr:cNvPr id="89" name="Grafik 54">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l="27550" t="29231" r="22266" b="35603"/>
        <a:stretch>
          <a:fillRect/>
        </a:stretch>
      </xdr:blipFill>
      <xdr:spPr bwMode="auto">
        <a:xfrm>
          <a:off x="1507107" y="278502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105</xdr:row>
      <xdr:rowOff>147288</xdr:rowOff>
    </xdr:from>
    <xdr:to>
      <xdr:col>2</xdr:col>
      <xdr:colOff>602047</xdr:colOff>
      <xdr:row>105</xdr:row>
      <xdr:rowOff>452470</xdr:rowOff>
    </xdr:to>
    <xdr:pic>
      <xdr:nvPicPr>
        <xdr:cNvPr id="99" name="Grafik 102">
          <a:extLst>
            <a:ext uri="{FF2B5EF4-FFF2-40B4-BE49-F238E27FC236}">
              <a16:creationId xmlns:a16="http://schemas.microsoft.com/office/drawing/2014/main" id="{00000000-0008-0000-0100-000063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2263" t="15510" r="13074" b="10428"/>
        <a:stretch/>
      </xdr:blipFill>
      <xdr:spPr bwMode="auto">
        <a:xfrm>
          <a:off x="1435953" y="300176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838200</xdr:colOff>
          <xdr:row>14</xdr:row>
          <xdr:rowOff>45720</xdr:rowOff>
        </xdr:from>
        <xdr:to>
          <xdr:col>11</xdr:col>
          <xdr:colOff>883920</xdr:colOff>
          <xdr:row>14</xdr:row>
          <xdr:rowOff>106680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solidFill>
              <a:srgbClr val="FFFFFF" mc:Ignorable="a14" a14:legacySpreadsheetColorIndex="9"/>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101635</xdr:colOff>
      <xdr:row>59</xdr:row>
      <xdr:rowOff>32133</xdr:rowOff>
    </xdr:from>
    <xdr:to>
      <xdr:col>2</xdr:col>
      <xdr:colOff>645842</xdr:colOff>
      <xdr:row>59</xdr:row>
      <xdr:rowOff>394938</xdr:rowOff>
    </xdr:to>
    <xdr:pic>
      <xdr:nvPicPr>
        <xdr:cNvPr id="92" name="Grafik 23">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3" name="Grafik 2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4" name="Grafik 24">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95" name="Grafik 2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100</xdr:row>
      <xdr:rowOff>86183</xdr:rowOff>
    </xdr:from>
    <xdr:to>
      <xdr:col>2</xdr:col>
      <xdr:colOff>637189</xdr:colOff>
      <xdr:row>100</xdr:row>
      <xdr:rowOff>357629</xdr:rowOff>
    </xdr:to>
    <xdr:pic>
      <xdr:nvPicPr>
        <xdr:cNvPr id="96" name="Grafik 6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530675" y="31597511"/>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99</xdr:row>
      <xdr:rowOff>50141</xdr:rowOff>
    </xdr:from>
    <xdr:to>
      <xdr:col>2</xdr:col>
      <xdr:colOff>607876</xdr:colOff>
      <xdr:row>99</xdr:row>
      <xdr:rowOff>350808</xdr:rowOff>
    </xdr:to>
    <xdr:pic>
      <xdr:nvPicPr>
        <xdr:cNvPr id="97" name="Grafik 68">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490933" y="31520741"/>
          <a:ext cx="412343" cy="300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57</xdr:row>
      <xdr:rowOff>52477</xdr:rowOff>
    </xdr:from>
    <xdr:to>
      <xdr:col>2</xdr:col>
      <xdr:colOff>575814</xdr:colOff>
      <xdr:row>57</xdr:row>
      <xdr:rowOff>347752</xdr:rowOff>
    </xdr:to>
    <xdr:pic>
      <xdr:nvPicPr>
        <xdr:cNvPr id="101" name="Grafik 46">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72</xdr:row>
      <xdr:rowOff>34380</xdr:rowOff>
    </xdr:from>
    <xdr:to>
      <xdr:col>2</xdr:col>
      <xdr:colOff>621565</xdr:colOff>
      <xdr:row>72</xdr:row>
      <xdr:rowOff>380999</xdr:rowOff>
    </xdr:to>
    <xdr:pic>
      <xdr:nvPicPr>
        <xdr:cNvPr id="98" name="Grafik 1801">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95</xdr:row>
      <xdr:rowOff>71438</xdr:rowOff>
    </xdr:from>
    <xdr:to>
      <xdr:col>2</xdr:col>
      <xdr:colOff>565715</xdr:colOff>
      <xdr:row>95</xdr:row>
      <xdr:rowOff>330653</xdr:rowOff>
    </xdr:to>
    <xdr:pic>
      <xdr:nvPicPr>
        <xdr:cNvPr id="100" name="Grafik 54">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bwMode="auto">
        <a:xfrm>
          <a:off x="1483179" y="30388152"/>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588857</xdr:colOff>
      <xdr:row>4</xdr:row>
      <xdr:rowOff>133834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201489</xdr:colOff>
      <xdr:row>52</xdr:row>
      <xdr:rowOff>32971</xdr:rowOff>
    </xdr:from>
    <xdr:to>
      <xdr:col>2</xdr:col>
      <xdr:colOff>653552</xdr:colOff>
      <xdr:row>52</xdr:row>
      <xdr:rowOff>393089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8"/>
        <a:stretch>
          <a:fillRect/>
        </a:stretch>
      </xdr:blipFill>
      <xdr:spPr>
        <a:xfrm>
          <a:off x="1593604" y="15397529"/>
          <a:ext cx="452063" cy="360118"/>
        </a:xfrm>
        <a:prstGeom prst="rect">
          <a:avLst/>
        </a:prstGeom>
      </xdr:spPr>
    </xdr:pic>
    <xdr:clientData/>
  </xdr:twoCellAnchor>
  <xdr:twoCellAnchor>
    <xdr:from>
      <xdr:col>2</xdr:col>
      <xdr:colOff>183173</xdr:colOff>
      <xdr:row>31</xdr:row>
      <xdr:rowOff>25644</xdr:rowOff>
    </xdr:from>
    <xdr:to>
      <xdr:col>2</xdr:col>
      <xdr:colOff>643634</xdr:colOff>
      <xdr:row>31</xdr:row>
      <xdr:rowOff>381000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9"/>
        <a:stretch>
          <a:fillRect/>
        </a:stretch>
      </xdr:blipFill>
      <xdr:spPr>
        <a:xfrm>
          <a:off x="1575288" y="6850673"/>
          <a:ext cx="460461" cy="355356"/>
        </a:xfrm>
        <a:prstGeom prst="rect">
          <a:avLst/>
        </a:prstGeom>
      </xdr:spPr>
    </xdr:pic>
    <xdr:clientData/>
  </xdr:twoCellAnchor>
  <xdr:twoCellAnchor>
    <xdr:from>
      <xdr:col>2</xdr:col>
      <xdr:colOff>190500</xdr:colOff>
      <xdr:row>32</xdr:row>
      <xdr:rowOff>51288</xdr:rowOff>
    </xdr:from>
    <xdr:to>
      <xdr:col>2</xdr:col>
      <xdr:colOff>615462</xdr:colOff>
      <xdr:row>32</xdr:row>
      <xdr:rowOff>375486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0"/>
        <a:stretch>
          <a:fillRect/>
        </a:stretch>
      </xdr:blipFill>
      <xdr:spPr>
        <a:xfrm>
          <a:off x="1582615" y="7282961"/>
          <a:ext cx="424962" cy="324198"/>
        </a:xfrm>
        <a:prstGeom prst="rect">
          <a:avLst/>
        </a:prstGeom>
      </xdr:spPr>
    </xdr:pic>
    <xdr:clientData/>
  </xdr:twoCellAnchor>
  <xdr:twoCellAnchor>
    <xdr:from>
      <xdr:col>2</xdr:col>
      <xdr:colOff>203689</xdr:colOff>
      <xdr:row>53</xdr:row>
      <xdr:rowOff>27841</xdr:rowOff>
    </xdr:from>
    <xdr:to>
      <xdr:col>2</xdr:col>
      <xdr:colOff>655752</xdr:colOff>
      <xdr:row>53</xdr:row>
      <xdr:rowOff>387959</xdr:rowOff>
    </xdr:to>
    <xdr:pic>
      <xdr:nvPicPr>
        <xdr:cNvPr id="106" name="Grafik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48"/>
        <a:stretch>
          <a:fillRect/>
        </a:stretch>
      </xdr:blipFill>
      <xdr:spPr>
        <a:xfrm>
          <a:off x="1595804" y="15799043"/>
          <a:ext cx="452063" cy="360118"/>
        </a:xfrm>
        <a:prstGeom prst="rect">
          <a:avLst/>
        </a:prstGeom>
      </xdr:spPr>
    </xdr:pic>
    <xdr:clientData/>
  </xdr:twoCellAnchor>
  <xdr:twoCellAnchor>
    <xdr:from>
      <xdr:col>2</xdr:col>
      <xdr:colOff>109903</xdr:colOff>
      <xdr:row>92</xdr:row>
      <xdr:rowOff>36636</xdr:rowOff>
    </xdr:from>
    <xdr:to>
      <xdr:col>2</xdr:col>
      <xdr:colOff>686612</xdr:colOff>
      <xdr:row>92</xdr:row>
      <xdr:rowOff>373674</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1"/>
        <a:stretch>
          <a:fillRect/>
        </a:stretch>
      </xdr:blipFill>
      <xdr:spPr>
        <a:xfrm>
          <a:off x="1502018" y="30853674"/>
          <a:ext cx="576709" cy="337038"/>
        </a:xfrm>
        <a:prstGeom prst="rect">
          <a:avLst/>
        </a:prstGeom>
      </xdr:spPr>
    </xdr:pic>
    <xdr:clientData/>
  </xdr:twoCellAnchor>
  <xdr:twoCellAnchor>
    <xdr:from>
      <xdr:col>2</xdr:col>
      <xdr:colOff>274757</xdr:colOff>
      <xdr:row>97</xdr:row>
      <xdr:rowOff>18316</xdr:rowOff>
    </xdr:from>
    <xdr:to>
      <xdr:col>2</xdr:col>
      <xdr:colOff>532488</xdr:colOff>
      <xdr:row>97</xdr:row>
      <xdr:rowOff>373673</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2"/>
        <a:stretch>
          <a:fillRect/>
        </a:stretch>
      </xdr:blipFill>
      <xdr:spPr>
        <a:xfrm>
          <a:off x="1666872" y="32868576"/>
          <a:ext cx="257731" cy="355357"/>
        </a:xfrm>
        <a:prstGeom prst="rect">
          <a:avLst/>
        </a:prstGeom>
      </xdr:spPr>
    </xdr:pic>
    <xdr:clientData/>
  </xdr:twoCellAnchor>
  <xdr:twoCellAnchor>
    <xdr:from>
      <xdr:col>2</xdr:col>
      <xdr:colOff>362680</xdr:colOff>
      <xdr:row>96</xdr:row>
      <xdr:rowOff>19366</xdr:rowOff>
    </xdr:from>
    <xdr:to>
      <xdr:col>2</xdr:col>
      <xdr:colOff>509218</xdr:colOff>
      <xdr:row>96</xdr:row>
      <xdr:rowOff>391991</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3"/>
        <a:stretch>
          <a:fillRect/>
        </a:stretch>
      </xdr:blipFill>
      <xdr:spPr>
        <a:xfrm>
          <a:off x="1754795" y="32462981"/>
          <a:ext cx="146538" cy="3726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142876</xdr:colOff>
      <xdr:row>49</xdr:row>
      <xdr:rowOff>47625</xdr:rowOff>
    </xdr:from>
    <xdr:to>
      <xdr:col>2</xdr:col>
      <xdr:colOff>599154</xdr:colOff>
      <xdr:row>49</xdr:row>
      <xdr:rowOff>361950</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161925</xdr:colOff>
      <xdr:row>50</xdr:row>
      <xdr:rowOff>38100</xdr:rowOff>
    </xdr:from>
    <xdr:to>
      <xdr:col>2</xdr:col>
      <xdr:colOff>598846</xdr:colOff>
      <xdr:row>50</xdr:row>
      <xdr:rowOff>381000</xdr:rowOff>
    </xdr:to>
    <xdr:pic>
      <xdr:nvPicPr>
        <xdr:cNvPr id="18" name="Grafik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5"/>
        <a:stretch>
          <a:fillRect/>
        </a:stretch>
      </xdr:blipFill>
      <xdr:spPr>
        <a:xfrm>
          <a:off x="1457325" y="14468475"/>
          <a:ext cx="436921" cy="342900"/>
        </a:xfrm>
        <a:prstGeom prst="rect">
          <a:avLst/>
        </a:prstGeom>
      </xdr:spPr>
    </xdr:pic>
    <xdr:clientData/>
  </xdr:twoCellAnchor>
  <xdr:twoCellAnchor>
    <xdr:from>
      <xdr:col>2</xdr:col>
      <xdr:colOff>114301</xdr:colOff>
      <xdr:row>51</xdr:row>
      <xdr:rowOff>34684</xdr:rowOff>
    </xdr:from>
    <xdr:to>
      <xdr:col>2</xdr:col>
      <xdr:colOff>628650</xdr:colOff>
      <xdr:row>51</xdr:row>
      <xdr:rowOff>364539</xdr:rowOff>
    </xdr:to>
    <xdr:pic>
      <xdr:nvPicPr>
        <xdr:cNvPr id="19" name="Grafik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6"/>
        <a:stretch>
          <a:fillRect/>
        </a:stretch>
      </xdr:blipFill>
      <xdr:spPr>
        <a:xfrm>
          <a:off x="1409701" y="14865109"/>
          <a:ext cx="514349" cy="329855"/>
        </a:xfrm>
        <a:prstGeom prst="rect">
          <a:avLst/>
        </a:prstGeom>
      </xdr:spPr>
    </xdr:pic>
    <xdr:clientData/>
  </xdr:twoCellAnchor>
  <xdr:twoCellAnchor>
    <xdr:from>
      <xdr:col>2</xdr:col>
      <xdr:colOff>171450</xdr:colOff>
      <xdr:row>81</xdr:row>
      <xdr:rowOff>13098</xdr:rowOff>
    </xdr:from>
    <xdr:to>
      <xdr:col>2</xdr:col>
      <xdr:colOff>581519</xdr:colOff>
      <xdr:row>81</xdr:row>
      <xdr:rowOff>384572</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7"/>
        <a:stretch>
          <a:fillRect/>
        </a:stretch>
      </xdr:blipFill>
      <xdr:spPr>
        <a:xfrm>
          <a:off x="1469231" y="26790254"/>
          <a:ext cx="410069" cy="371474"/>
        </a:xfrm>
        <a:prstGeom prst="rect">
          <a:avLst/>
        </a:prstGeom>
      </xdr:spPr>
    </xdr:pic>
    <xdr:clientData/>
  </xdr:twoCellAnchor>
  <xdr:twoCellAnchor>
    <xdr:from>
      <xdr:col>2</xdr:col>
      <xdr:colOff>212246</xdr:colOff>
      <xdr:row>84</xdr:row>
      <xdr:rowOff>52476</xdr:rowOff>
    </xdr:from>
    <xdr:to>
      <xdr:col>2</xdr:col>
      <xdr:colOff>549693</xdr:colOff>
      <xdr:row>84</xdr:row>
      <xdr:rowOff>354402</xdr:rowOff>
    </xdr:to>
    <xdr:pic>
      <xdr:nvPicPr>
        <xdr:cNvPr id="22" name="Grafik 181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8040" t="8603" r="18645" b="5231"/>
        <a:stretch>
          <a:fillRect/>
        </a:stretch>
      </xdr:blipFill>
      <xdr:spPr bwMode="auto">
        <a:xfrm>
          <a:off x="1510027" y="28425070"/>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178595</xdr:colOff>
      <xdr:row>85</xdr:row>
      <xdr:rowOff>23812</xdr:rowOff>
    </xdr:from>
    <xdr:to>
      <xdr:col>2</xdr:col>
      <xdr:colOff>550436</xdr:colOff>
      <xdr:row>85</xdr:row>
      <xdr:rowOff>369093</xdr:rowOff>
    </xdr:to>
    <xdr:pic>
      <xdr:nvPicPr>
        <xdr:cNvPr id="23" name="Grafik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59"/>
        <a:stretch>
          <a:fillRect/>
        </a:stretch>
      </xdr:blipFill>
      <xdr:spPr>
        <a:xfrm>
          <a:off x="1476376" y="28396406"/>
          <a:ext cx="371841" cy="345281"/>
        </a:xfrm>
        <a:prstGeom prst="rect">
          <a:avLst/>
        </a:prstGeom>
      </xdr:spPr>
    </xdr:pic>
    <xdr:clientData/>
  </xdr:twoCellAnchor>
  <xdr:twoCellAnchor>
    <xdr:from>
      <xdr:col>2</xdr:col>
      <xdr:colOff>203528</xdr:colOff>
      <xdr:row>102</xdr:row>
      <xdr:rowOff>37425</xdr:rowOff>
    </xdr:from>
    <xdr:to>
      <xdr:col>2</xdr:col>
      <xdr:colOff>632460</xdr:colOff>
      <xdr:row>102</xdr:row>
      <xdr:rowOff>374055</xdr:rowOff>
    </xdr:to>
    <xdr:pic>
      <xdr:nvPicPr>
        <xdr:cNvPr id="25" name="Grafik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29408" y="355694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103</xdr:row>
      <xdr:rowOff>45720</xdr:rowOff>
    </xdr:from>
    <xdr:to>
      <xdr:col>2</xdr:col>
      <xdr:colOff>627423</xdr:colOff>
      <xdr:row>103</xdr:row>
      <xdr:rowOff>381000</xdr:rowOff>
    </xdr:to>
    <xdr:pic>
      <xdr:nvPicPr>
        <xdr:cNvPr id="26" name="Grafik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26089" y="359816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34</xdr:row>
      <xdr:rowOff>104878</xdr:rowOff>
    </xdr:from>
    <xdr:to>
      <xdr:col>2</xdr:col>
      <xdr:colOff>532303</xdr:colOff>
      <xdr:row>34</xdr:row>
      <xdr:rowOff>294835</xdr:rowOff>
    </xdr:to>
    <xdr:pic>
      <xdr:nvPicPr>
        <xdr:cNvPr id="6" name="Grafik 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35</xdr:row>
      <xdr:rowOff>52793</xdr:rowOff>
    </xdr:from>
    <xdr:to>
      <xdr:col>2</xdr:col>
      <xdr:colOff>584993</xdr:colOff>
      <xdr:row>35</xdr:row>
      <xdr:rowOff>347663</xdr:rowOff>
    </xdr:to>
    <xdr:pic>
      <xdr:nvPicPr>
        <xdr:cNvPr id="7" name="Grafik 25">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1345" y="7120343"/>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37</xdr:row>
      <xdr:rowOff>53975</xdr:rowOff>
    </xdr:from>
    <xdr:to>
      <xdr:col>2</xdr:col>
      <xdr:colOff>606320</xdr:colOff>
      <xdr:row>37</xdr:row>
      <xdr:rowOff>350045</xdr:rowOff>
    </xdr:to>
    <xdr:pic>
      <xdr:nvPicPr>
        <xdr:cNvPr id="9" name="Grafik 3">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97946</xdr:colOff>
      <xdr:row>38</xdr:row>
      <xdr:rowOff>70450</xdr:rowOff>
    </xdr:from>
    <xdr:to>
      <xdr:col>2</xdr:col>
      <xdr:colOff>645534</xdr:colOff>
      <xdr:row>38</xdr:row>
      <xdr:rowOff>332836</xdr:rowOff>
    </xdr:to>
    <xdr:pic>
      <xdr:nvPicPr>
        <xdr:cNvPr id="28" name="Grafik 3">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39</xdr:row>
      <xdr:rowOff>48884</xdr:rowOff>
    </xdr:from>
    <xdr:to>
      <xdr:col>2</xdr:col>
      <xdr:colOff>525673</xdr:colOff>
      <xdr:row>39</xdr:row>
      <xdr:rowOff>345541</xdr:rowOff>
    </xdr:to>
    <xdr:pic>
      <xdr:nvPicPr>
        <xdr:cNvPr id="29" name="Grafik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8214" t="2277" r="11964" b="4314"/>
        <a:stretch>
          <a:fillRect/>
        </a:stretch>
      </xdr:blipFill>
      <xdr:spPr bwMode="auto">
        <a:xfrm>
          <a:off x="149398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40</xdr:row>
      <xdr:rowOff>48882</xdr:rowOff>
    </xdr:from>
    <xdr:to>
      <xdr:col>2</xdr:col>
      <xdr:colOff>593018</xdr:colOff>
      <xdr:row>40</xdr:row>
      <xdr:rowOff>354401</xdr:rowOff>
    </xdr:to>
    <xdr:pic>
      <xdr:nvPicPr>
        <xdr:cNvPr id="30" name="Grafik 12">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755" t="13184" r="8890" b="3316"/>
        <a:stretch>
          <a:fillRect/>
        </a:stretch>
      </xdr:blipFill>
      <xdr:spPr bwMode="auto">
        <a:xfrm>
          <a:off x="142210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41</xdr:row>
      <xdr:rowOff>52477</xdr:rowOff>
    </xdr:from>
    <xdr:to>
      <xdr:col>2</xdr:col>
      <xdr:colOff>597559</xdr:colOff>
      <xdr:row>41</xdr:row>
      <xdr:rowOff>354402</xdr:rowOff>
    </xdr:to>
    <xdr:pic>
      <xdr:nvPicPr>
        <xdr:cNvPr id="31" name="Grafik 13">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0931" t="2345" r="7076" b="13266"/>
        <a:stretch>
          <a:fillRect/>
        </a:stretch>
      </xdr:blipFill>
      <xdr:spPr bwMode="auto">
        <a:xfrm>
          <a:off x="146716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42</xdr:row>
      <xdr:rowOff>49601</xdr:rowOff>
    </xdr:from>
    <xdr:to>
      <xdr:col>2</xdr:col>
      <xdr:colOff>583183</xdr:colOff>
      <xdr:row>42</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48885</xdr:rowOff>
    </xdr:from>
    <xdr:to>
      <xdr:col>2</xdr:col>
      <xdr:colOff>611935</xdr:colOff>
      <xdr:row>43</xdr:row>
      <xdr:rowOff>357999</xdr:rowOff>
    </xdr:to>
    <xdr:pic>
      <xdr:nvPicPr>
        <xdr:cNvPr id="33" name="Grafik 15">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5553" t="5557" r="6686" b="13290"/>
        <a:stretch>
          <a:fillRect/>
        </a:stretch>
      </xdr:blipFill>
      <xdr:spPr bwMode="auto">
        <a:xfrm>
          <a:off x="142158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45</xdr:row>
      <xdr:rowOff>45287</xdr:rowOff>
    </xdr:from>
    <xdr:to>
      <xdr:col>2</xdr:col>
      <xdr:colOff>608342</xdr:colOff>
      <xdr:row>45</xdr:row>
      <xdr:rowOff>354400</xdr:rowOff>
    </xdr:to>
    <xdr:pic>
      <xdr:nvPicPr>
        <xdr:cNvPr id="34" name="Grafik 16">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3811" t="16963" r="14618" b="3882"/>
        <a:stretch>
          <a:fillRect/>
        </a:stretch>
      </xdr:blipFill>
      <xdr:spPr bwMode="auto">
        <a:xfrm>
          <a:off x="144820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45290</xdr:rowOff>
    </xdr:from>
    <xdr:to>
      <xdr:col>2</xdr:col>
      <xdr:colOff>611935</xdr:colOff>
      <xdr:row>44</xdr:row>
      <xdr:rowOff>354404</xdr:rowOff>
    </xdr:to>
    <xdr:pic>
      <xdr:nvPicPr>
        <xdr:cNvPr id="36" name="Grafik 1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5553" t="5557" r="6686" b="13290"/>
        <a:stretch>
          <a:fillRect/>
        </a:stretch>
      </xdr:blipFill>
      <xdr:spPr bwMode="auto">
        <a:xfrm>
          <a:off x="142158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54</xdr:row>
      <xdr:rowOff>52478</xdr:rowOff>
    </xdr:from>
    <xdr:to>
      <xdr:col>2</xdr:col>
      <xdr:colOff>575814</xdr:colOff>
      <xdr:row>54</xdr:row>
      <xdr:rowOff>347753</xdr:rowOff>
    </xdr:to>
    <xdr:pic>
      <xdr:nvPicPr>
        <xdr:cNvPr id="41" name="Grafik 46">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352082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43" name="Grafik 46">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39208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53736</xdr:rowOff>
    </xdr:from>
    <xdr:to>
      <xdr:col>2</xdr:col>
      <xdr:colOff>597556</xdr:colOff>
      <xdr:row>60</xdr:row>
      <xdr:rowOff>355164</xdr:rowOff>
    </xdr:to>
    <xdr:pic>
      <xdr:nvPicPr>
        <xdr:cNvPr id="45" name="Grafik 2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12228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51008</xdr:rowOff>
    </xdr:from>
    <xdr:to>
      <xdr:col>2</xdr:col>
      <xdr:colOff>514890</xdr:colOff>
      <xdr:row>57</xdr:row>
      <xdr:rowOff>347214</xdr:rowOff>
    </xdr:to>
    <xdr:pic>
      <xdr:nvPicPr>
        <xdr:cNvPr id="46" name="Grafik 69">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0732" t="12195" r="25610" b="8130"/>
        <a:stretch>
          <a:fillRect/>
        </a:stretch>
      </xdr:blipFill>
      <xdr:spPr bwMode="auto">
        <a:xfrm>
          <a:off x="1546106" y="1431945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50141</xdr:rowOff>
    </xdr:from>
    <xdr:to>
      <xdr:col>2</xdr:col>
      <xdr:colOff>597556</xdr:colOff>
      <xdr:row>61</xdr:row>
      <xdr:rowOff>351569</xdr:rowOff>
    </xdr:to>
    <xdr:pic>
      <xdr:nvPicPr>
        <xdr:cNvPr id="47" name="Grafik 24">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51874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53735</xdr:rowOff>
    </xdr:from>
    <xdr:to>
      <xdr:col>2</xdr:col>
      <xdr:colOff>597556</xdr:colOff>
      <xdr:row>62</xdr:row>
      <xdr:rowOff>355163</xdr:rowOff>
    </xdr:to>
    <xdr:pic>
      <xdr:nvPicPr>
        <xdr:cNvPr id="48" name="Grafik 2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92238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49" name="Grafik 24">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63188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50" name="Grafik 25">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90935" y="167212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53736</xdr:rowOff>
    </xdr:from>
    <xdr:to>
      <xdr:col>2</xdr:col>
      <xdr:colOff>554074</xdr:colOff>
      <xdr:row>69</xdr:row>
      <xdr:rowOff>350807</xdr:rowOff>
    </xdr:to>
    <xdr:pic>
      <xdr:nvPicPr>
        <xdr:cNvPr id="51" name="Grafik 180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045" t="20753" r="25102" b="13525"/>
        <a:stretch>
          <a:fillRect/>
        </a:stretch>
      </xdr:blipFill>
      <xdr:spPr bwMode="auto">
        <a:xfrm>
          <a:off x="1504229" y="1752258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71</xdr:row>
      <xdr:rowOff>47805</xdr:rowOff>
    </xdr:from>
    <xdr:to>
      <xdr:col>2</xdr:col>
      <xdr:colOff>569077</xdr:colOff>
      <xdr:row>71</xdr:row>
      <xdr:rowOff>354402</xdr:rowOff>
    </xdr:to>
    <xdr:pic>
      <xdr:nvPicPr>
        <xdr:cNvPr id="52" name="Grafik 1802">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 r="7126"/>
        <a:stretch>
          <a:fillRect/>
        </a:stretch>
      </xdr:blipFill>
      <xdr:spPr bwMode="auto">
        <a:xfrm>
          <a:off x="1444923" y="1831675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72</xdr:row>
      <xdr:rowOff>57330</xdr:rowOff>
    </xdr:from>
    <xdr:to>
      <xdr:col>2</xdr:col>
      <xdr:colOff>629917</xdr:colOff>
      <xdr:row>72</xdr:row>
      <xdr:rowOff>347214</xdr:rowOff>
    </xdr:to>
    <xdr:pic>
      <xdr:nvPicPr>
        <xdr:cNvPr id="53" name="Grafik 8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4172" t="11102" r="4005" b="9978"/>
        <a:stretch>
          <a:fillRect/>
        </a:stretch>
      </xdr:blipFill>
      <xdr:spPr bwMode="auto">
        <a:xfrm>
          <a:off x="1423896" y="1872633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50139</xdr:rowOff>
    </xdr:from>
    <xdr:to>
      <xdr:col>2</xdr:col>
      <xdr:colOff>524416</xdr:colOff>
      <xdr:row>68</xdr:row>
      <xdr:rowOff>354402</xdr:rowOff>
    </xdr:to>
    <xdr:pic>
      <xdr:nvPicPr>
        <xdr:cNvPr id="54" name="Grafik 3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9933" r="14037" b="12170"/>
        <a:stretch>
          <a:fillRect/>
        </a:stretch>
      </xdr:blipFill>
      <xdr:spPr bwMode="auto">
        <a:xfrm>
          <a:off x="1515553" y="1711893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73</xdr:row>
      <xdr:rowOff>48883</xdr:rowOff>
    </xdr:from>
    <xdr:to>
      <xdr:col>2</xdr:col>
      <xdr:colOff>477051</xdr:colOff>
      <xdr:row>73</xdr:row>
      <xdr:rowOff>350807</xdr:rowOff>
    </xdr:to>
    <xdr:pic>
      <xdr:nvPicPr>
        <xdr:cNvPr id="55" name="Grafik 1803">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37877" t="2940" r="23587" b="3934"/>
        <a:stretch>
          <a:fillRect/>
        </a:stretch>
      </xdr:blipFill>
      <xdr:spPr bwMode="auto">
        <a:xfrm>
          <a:off x="1565872" y="1911793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52478</xdr:rowOff>
    </xdr:from>
    <xdr:to>
      <xdr:col>2</xdr:col>
      <xdr:colOff>477051</xdr:colOff>
      <xdr:row>74</xdr:row>
      <xdr:rowOff>354402</xdr:rowOff>
    </xdr:to>
    <xdr:pic>
      <xdr:nvPicPr>
        <xdr:cNvPr id="56" name="Grafik 1803">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37877" t="2940" r="23587" b="3934"/>
        <a:stretch>
          <a:fillRect/>
        </a:stretch>
      </xdr:blipFill>
      <xdr:spPr bwMode="auto">
        <a:xfrm>
          <a:off x="1565872" y="1952157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75</xdr:row>
      <xdr:rowOff>52478</xdr:rowOff>
    </xdr:from>
    <xdr:to>
      <xdr:col>2</xdr:col>
      <xdr:colOff>600642</xdr:colOff>
      <xdr:row>75</xdr:row>
      <xdr:rowOff>350808</xdr:rowOff>
    </xdr:to>
    <xdr:pic>
      <xdr:nvPicPr>
        <xdr:cNvPr id="57" name="Grafik 1804">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7597" t="13477" r="10893" b="7732"/>
        <a:stretch>
          <a:fillRect/>
        </a:stretch>
      </xdr:blipFill>
      <xdr:spPr bwMode="auto">
        <a:xfrm>
          <a:off x="1428390" y="1992162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78</xdr:row>
      <xdr:rowOff>50143</xdr:rowOff>
    </xdr:from>
    <xdr:to>
      <xdr:col>2</xdr:col>
      <xdr:colOff>496724</xdr:colOff>
      <xdr:row>78</xdr:row>
      <xdr:rowOff>350809</xdr:rowOff>
    </xdr:to>
    <xdr:pic>
      <xdr:nvPicPr>
        <xdr:cNvPr id="61" name="Grafik 1809">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708" t="13861" r="31795" b="14694"/>
        <a:stretch>
          <a:fillRect/>
        </a:stretch>
      </xdr:blipFill>
      <xdr:spPr bwMode="auto">
        <a:xfrm>
          <a:off x="1532089" y="2231959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80</xdr:row>
      <xdr:rowOff>49961</xdr:rowOff>
    </xdr:from>
    <xdr:to>
      <xdr:col>2</xdr:col>
      <xdr:colOff>592475</xdr:colOff>
      <xdr:row>80</xdr:row>
      <xdr:rowOff>354402</xdr:rowOff>
    </xdr:to>
    <xdr:pic>
      <xdr:nvPicPr>
        <xdr:cNvPr id="62" name="Grafik 1810">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22144" r="5516" b="15793"/>
        <a:stretch>
          <a:fillRect/>
        </a:stretch>
      </xdr:blipFill>
      <xdr:spPr bwMode="auto">
        <a:xfrm>
          <a:off x="1467030" y="2271946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76</xdr:row>
      <xdr:rowOff>53737</xdr:rowOff>
    </xdr:from>
    <xdr:to>
      <xdr:col>2</xdr:col>
      <xdr:colOff>564622</xdr:colOff>
      <xdr:row>76</xdr:row>
      <xdr:rowOff>347213</xdr:rowOff>
    </xdr:to>
    <xdr:pic>
      <xdr:nvPicPr>
        <xdr:cNvPr id="63" name="Grafik 1805">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6499" t="9016" r="15376" b="9836"/>
        <a:stretch>
          <a:fillRect/>
        </a:stretch>
      </xdr:blipFill>
      <xdr:spPr bwMode="auto">
        <a:xfrm>
          <a:off x="1489315" y="203229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81</xdr:row>
      <xdr:rowOff>48883</xdr:rowOff>
    </xdr:from>
    <xdr:to>
      <xdr:col>2</xdr:col>
      <xdr:colOff>530349</xdr:colOff>
      <xdr:row>81</xdr:row>
      <xdr:rowOff>350808</xdr:rowOff>
    </xdr:to>
    <xdr:pic>
      <xdr:nvPicPr>
        <xdr:cNvPr id="64" name="Grafik 1811">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27184" t="16817" r="33038" b="16847"/>
        <a:stretch>
          <a:fillRect/>
        </a:stretch>
      </xdr:blipFill>
      <xdr:spPr bwMode="auto">
        <a:xfrm>
          <a:off x="1548984" y="2311843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82</xdr:row>
      <xdr:rowOff>52476</xdr:rowOff>
    </xdr:from>
    <xdr:to>
      <xdr:col>2</xdr:col>
      <xdr:colOff>549693</xdr:colOff>
      <xdr:row>82</xdr:row>
      <xdr:rowOff>354402</xdr:rowOff>
    </xdr:to>
    <xdr:pic>
      <xdr:nvPicPr>
        <xdr:cNvPr id="65" name="Grafik 1811">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8040" t="8603" r="18645" b="5231"/>
        <a:stretch>
          <a:fillRect/>
        </a:stretch>
      </xdr:blipFill>
      <xdr:spPr bwMode="auto">
        <a:xfrm>
          <a:off x="1507646" y="2352207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84</xdr:row>
      <xdr:rowOff>52477</xdr:rowOff>
    </xdr:from>
    <xdr:to>
      <xdr:col>2</xdr:col>
      <xdr:colOff>503461</xdr:colOff>
      <xdr:row>84</xdr:row>
      <xdr:rowOff>350808</xdr:rowOff>
    </xdr:to>
    <xdr:pic>
      <xdr:nvPicPr>
        <xdr:cNvPr id="66" name="Grafik 1811">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24019" t="12331" r="36412" b="22742"/>
        <a:stretch>
          <a:fillRect/>
        </a:stretch>
      </xdr:blipFill>
      <xdr:spPr bwMode="auto">
        <a:xfrm>
          <a:off x="1524719" y="2392212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85</xdr:row>
      <xdr:rowOff>47445</xdr:rowOff>
    </xdr:from>
    <xdr:to>
      <xdr:col>2</xdr:col>
      <xdr:colOff>564635</xdr:colOff>
      <xdr:row>85</xdr:row>
      <xdr:rowOff>350807</xdr:rowOff>
    </xdr:to>
    <xdr:pic>
      <xdr:nvPicPr>
        <xdr:cNvPr id="67" name="Grafik 1812">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43171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51039</xdr:rowOff>
    </xdr:from>
    <xdr:to>
      <xdr:col>2</xdr:col>
      <xdr:colOff>564635</xdr:colOff>
      <xdr:row>86</xdr:row>
      <xdr:rowOff>354401</xdr:rowOff>
    </xdr:to>
    <xdr:pic>
      <xdr:nvPicPr>
        <xdr:cNvPr id="68" name="Grafik 1812">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472078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47445</xdr:rowOff>
    </xdr:from>
    <xdr:to>
      <xdr:col>2</xdr:col>
      <xdr:colOff>564635</xdr:colOff>
      <xdr:row>87</xdr:row>
      <xdr:rowOff>350807</xdr:rowOff>
    </xdr:to>
    <xdr:pic>
      <xdr:nvPicPr>
        <xdr:cNvPr id="69" name="Grafik 181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1172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51038</xdr:rowOff>
    </xdr:from>
    <xdr:to>
      <xdr:col>2</xdr:col>
      <xdr:colOff>564635</xdr:colOff>
      <xdr:row>88</xdr:row>
      <xdr:rowOff>354400</xdr:rowOff>
    </xdr:to>
    <xdr:pic>
      <xdr:nvPicPr>
        <xdr:cNvPr id="70" name="Grafik 1812">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5208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51038</xdr:rowOff>
    </xdr:from>
    <xdr:to>
      <xdr:col>2</xdr:col>
      <xdr:colOff>564635</xdr:colOff>
      <xdr:row>89</xdr:row>
      <xdr:rowOff>354400</xdr:rowOff>
    </xdr:to>
    <xdr:pic>
      <xdr:nvPicPr>
        <xdr:cNvPr id="71" name="Grafik 181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9209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91</xdr:row>
      <xdr:rowOff>48883</xdr:rowOff>
    </xdr:from>
    <xdr:to>
      <xdr:col>2</xdr:col>
      <xdr:colOff>594684</xdr:colOff>
      <xdr:row>91</xdr:row>
      <xdr:rowOff>353683</xdr:rowOff>
    </xdr:to>
    <xdr:pic>
      <xdr:nvPicPr>
        <xdr:cNvPr id="72" name="Grafik 181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32884" y="2671888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100</xdr:row>
      <xdr:rowOff>53735</xdr:rowOff>
    </xdr:from>
    <xdr:to>
      <xdr:col>2</xdr:col>
      <xdr:colOff>588843</xdr:colOff>
      <xdr:row>100</xdr:row>
      <xdr:rowOff>350807</xdr:rowOff>
    </xdr:to>
    <xdr:pic>
      <xdr:nvPicPr>
        <xdr:cNvPr id="73" name="Grafik 10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438635" y="2832393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92</xdr:row>
      <xdr:rowOff>113401</xdr:rowOff>
    </xdr:from>
    <xdr:to>
      <xdr:col>2</xdr:col>
      <xdr:colOff>554607</xdr:colOff>
      <xdr:row>92</xdr:row>
      <xdr:rowOff>294376</xdr:rowOff>
    </xdr:to>
    <xdr:pic>
      <xdr:nvPicPr>
        <xdr:cNvPr id="79" name="Grafik 54">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l="27550" t="29231" r="22266" b="35603"/>
        <a:stretch>
          <a:fillRect/>
        </a:stretch>
      </xdr:blipFill>
      <xdr:spPr bwMode="auto">
        <a:xfrm>
          <a:off x="1507107" y="2718345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101</xdr:row>
      <xdr:rowOff>166338</xdr:rowOff>
    </xdr:from>
    <xdr:to>
      <xdr:col>2</xdr:col>
      <xdr:colOff>602047</xdr:colOff>
      <xdr:row>101</xdr:row>
      <xdr:rowOff>402940</xdr:rowOff>
    </xdr:to>
    <xdr:pic>
      <xdr:nvPicPr>
        <xdr:cNvPr id="89" name="Grafik 102">
          <a:extLst>
            <a:ext uri="{FF2B5EF4-FFF2-40B4-BE49-F238E27FC236}">
              <a16:creationId xmlns:a16="http://schemas.microsoft.com/office/drawing/2014/main" id="{00000000-0008-0000-0200-000059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2263" t="15510" r="13074" b="10428"/>
        <a:stretch/>
      </xdr:blipFill>
      <xdr:spPr bwMode="auto">
        <a:xfrm>
          <a:off x="1466433" y="35256438"/>
          <a:ext cx="461494" cy="236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183672</xdr:colOff>
      <xdr:row>33</xdr:row>
      <xdr:rowOff>52477</xdr:rowOff>
    </xdr:from>
    <xdr:to>
      <xdr:col>2</xdr:col>
      <xdr:colOff>568804</xdr:colOff>
      <xdr:row>33</xdr:row>
      <xdr:rowOff>354256</xdr:rowOff>
    </xdr:to>
    <xdr:pic>
      <xdr:nvPicPr>
        <xdr:cNvPr id="93" name="Grafik 90">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3716" t="8041" r="15440" b="7491"/>
        <a:stretch>
          <a:fillRect/>
        </a:stretch>
      </xdr:blipFill>
      <xdr:spPr bwMode="auto">
        <a:xfrm>
          <a:off x="147907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96612</xdr:colOff>
      <xdr:row>77</xdr:row>
      <xdr:rowOff>54430</xdr:rowOff>
    </xdr:from>
    <xdr:to>
      <xdr:col>2</xdr:col>
      <xdr:colOff>651783</xdr:colOff>
      <xdr:row>77</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134994</xdr:colOff>
      <xdr:row>30</xdr:row>
      <xdr:rowOff>80410</xdr:rowOff>
    </xdr:from>
    <xdr:to>
      <xdr:col>2</xdr:col>
      <xdr:colOff>622922</xdr:colOff>
      <xdr:row>30</xdr:row>
      <xdr:rowOff>322358</xdr:rowOff>
    </xdr:to>
    <xdr:pic>
      <xdr:nvPicPr>
        <xdr:cNvPr id="95" name="Grafik 101">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9753" t="10518" r="7292" b="28365"/>
        <a:stretch>
          <a:fillRect/>
        </a:stretch>
      </xdr:blipFill>
      <xdr:spPr bwMode="auto">
        <a:xfrm>
          <a:off x="1430394" y="5147710"/>
          <a:ext cx="487928" cy="24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60531</xdr:colOff>
      <xdr:row>31</xdr:row>
      <xdr:rowOff>87012</xdr:rowOff>
    </xdr:from>
    <xdr:to>
      <xdr:col>2</xdr:col>
      <xdr:colOff>685976</xdr:colOff>
      <xdr:row>31</xdr:row>
      <xdr:rowOff>304801</xdr:rowOff>
    </xdr:to>
    <xdr:pic>
      <xdr:nvPicPr>
        <xdr:cNvPr id="96" name="Grafik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5679" t="28117" r="6544" b="25198"/>
        <a:stretch>
          <a:fillRect/>
        </a:stretch>
      </xdr:blipFill>
      <xdr:spPr bwMode="auto">
        <a:xfrm>
          <a:off x="1355931" y="5554362"/>
          <a:ext cx="625445" cy="217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32</xdr:row>
      <xdr:rowOff>55545</xdr:rowOff>
    </xdr:from>
    <xdr:to>
      <xdr:col>2</xdr:col>
      <xdr:colOff>533534</xdr:colOff>
      <xdr:row>32</xdr:row>
      <xdr:rowOff>342091</xdr:rowOff>
    </xdr:to>
    <xdr:pic>
      <xdr:nvPicPr>
        <xdr:cNvPr id="99" name="Grafik 1">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0777" t="23737" r="18845" b="13014"/>
        <a:stretch>
          <a:fillRect/>
        </a:stretch>
      </xdr:blipFill>
      <xdr:spPr bwMode="auto">
        <a:xfrm>
          <a:off x="1482064" y="592294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5" name="Grafik 46">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87" name="Grafik 23">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63008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88" name="Grafik 23">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91" name="Grafik 24">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2" name="Grafik 24">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100" name="Grafik 25">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97</xdr:row>
      <xdr:rowOff>63027</xdr:rowOff>
    </xdr:from>
    <xdr:to>
      <xdr:col>2</xdr:col>
      <xdr:colOff>607876</xdr:colOff>
      <xdr:row>97</xdr:row>
      <xdr:rowOff>337922</xdr:rowOff>
    </xdr:to>
    <xdr:pic>
      <xdr:nvPicPr>
        <xdr:cNvPr id="103" name="Grafik 68">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96</xdr:row>
      <xdr:rowOff>86183</xdr:rowOff>
    </xdr:from>
    <xdr:to>
      <xdr:col>2</xdr:col>
      <xdr:colOff>637189</xdr:colOff>
      <xdr:row>96</xdr:row>
      <xdr:rowOff>357629</xdr:rowOff>
    </xdr:to>
    <xdr:pic>
      <xdr:nvPicPr>
        <xdr:cNvPr id="104" name="Grafik 68">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70</xdr:row>
      <xdr:rowOff>34380</xdr:rowOff>
    </xdr:from>
    <xdr:to>
      <xdr:col>2</xdr:col>
      <xdr:colOff>621565</xdr:colOff>
      <xdr:row>70</xdr:row>
      <xdr:rowOff>380999</xdr:rowOff>
    </xdr:to>
    <xdr:pic>
      <xdr:nvPicPr>
        <xdr:cNvPr id="102" name="Grafik 18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93</xdr:row>
      <xdr:rowOff>71438</xdr:rowOff>
    </xdr:from>
    <xdr:to>
      <xdr:col>2</xdr:col>
      <xdr:colOff>565715</xdr:colOff>
      <xdr:row>93</xdr:row>
      <xdr:rowOff>330653</xdr:rowOff>
    </xdr:to>
    <xdr:pic>
      <xdr:nvPicPr>
        <xdr:cNvPr id="98" name="Grafik 54">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72293" y="307419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283330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25660" name="Group Box 60" hidden="1">
              <a:extLst>
                <a:ext uri="{63B3BB69-23CF-44E3-9099-C40C66FF867C}">
                  <a14:compatExt spid="_x0000_s25660"/>
                </a:ext>
                <a:ext uri="{FF2B5EF4-FFF2-40B4-BE49-F238E27FC236}">
                  <a16:creationId xmlns:a16="http://schemas.microsoft.com/office/drawing/2014/main" id="{00000000-0008-0000-0200-00003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14</xdr:row>
          <xdr:rowOff>106680</xdr:rowOff>
        </xdr:from>
        <xdr:to>
          <xdr:col>12</xdr:col>
          <xdr:colOff>182880</xdr:colOff>
          <xdr:row>14</xdr:row>
          <xdr:rowOff>144780</xdr:rowOff>
        </xdr:to>
        <xdr:sp macro="" textlink="">
          <xdr:nvSpPr>
            <xdr:cNvPr id="25670" name="Option Button 70" hidden="1">
              <a:extLst>
                <a:ext uri="{63B3BB69-23CF-44E3-9099-C40C66FF867C}">
                  <a14:compatExt spid="_x0000_s25670"/>
                </a:ext>
                <a:ext uri="{FF2B5EF4-FFF2-40B4-BE49-F238E27FC236}">
                  <a16:creationId xmlns:a16="http://schemas.microsoft.com/office/drawing/2014/main" id="{00000000-0008-0000-0200-000046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190500</xdr:colOff>
      <xdr:row>53</xdr:row>
      <xdr:rowOff>17545</xdr:rowOff>
    </xdr:from>
    <xdr:to>
      <xdr:col>2</xdr:col>
      <xdr:colOff>636671</xdr:colOff>
      <xdr:row>53</xdr:row>
      <xdr:rowOff>393834</xdr:rowOff>
    </xdr:to>
    <xdr:pic>
      <xdr:nvPicPr>
        <xdr:cNvPr id="105" name="Grafik 20">
          <a:extLst>
            <a:ext uri="{FF2B5EF4-FFF2-40B4-BE49-F238E27FC236}">
              <a16:creationId xmlns:a16="http://schemas.microsoft.com/office/drawing/2014/main" id="{00000000-0008-0000-0200-00006900000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4441" t="9715" r="13355" b="9325"/>
        <a:stretch/>
      </xdr:blipFill>
      <xdr:spPr bwMode="auto">
        <a:xfrm>
          <a:off x="1579145" y="14976808"/>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51</xdr:row>
      <xdr:rowOff>30078</xdr:rowOff>
    </xdr:from>
    <xdr:to>
      <xdr:col>2</xdr:col>
      <xdr:colOff>643566</xdr:colOff>
      <xdr:row>51</xdr:row>
      <xdr:rowOff>390196</xdr:rowOff>
    </xdr:to>
    <xdr:pic>
      <xdr:nvPicPr>
        <xdr:cNvPr id="110" name="Grafik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46"/>
        <a:stretch>
          <a:fillRect/>
        </a:stretch>
      </xdr:blipFill>
      <xdr:spPr>
        <a:xfrm>
          <a:off x="1580148" y="14989341"/>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11" name="Grafik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46"/>
        <a:stretch>
          <a:fillRect/>
        </a:stretch>
      </xdr:blipFill>
      <xdr:spPr>
        <a:xfrm>
          <a:off x="1580148" y="15397412"/>
          <a:ext cx="452063" cy="360118"/>
        </a:xfrm>
        <a:prstGeom prst="rect">
          <a:avLst/>
        </a:prstGeom>
      </xdr:spPr>
    </xdr:pic>
    <xdr:clientData/>
  </xdr:twoCellAnchor>
  <xdr:twoCellAnchor>
    <xdr:from>
      <xdr:col>2</xdr:col>
      <xdr:colOff>274757</xdr:colOff>
      <xdr:row>95</xdr:row>
      <xdr:rowOff>18316</xdr:rowOff>
    </xdr:from>
    <xdr:to>
      <xdr:col>2</xdr:col>
      <xdr:colOff>532488</xdr:colOff>
      <xdr:row>95</xdr:row>
      <xdr:rowOff>373673</xdr:rowOff>
    </xdr:to>
    <xdr:pic>
      <xdr:nvPicPr>
        <xdr:cNvPr id="116" name="Grafik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47"/>
        <a:stretch>
          <a:fillRect/>
        </a:stretch>
      </xdr:blipFill>
      <xdr:spPr>
        <a:xfrm>
          <a:off x="1665407" y="32741454"/>
          <a:ext cx="257731" cy="355357"/>
        </a:xfrm>
        <a:prstGeom prst="rect">
          <a:avLst/>
        </a:prstGeom>
      </xdr:spPr>
    </xdr:pic>
    <xdr:clientData/>
  </xdr:twoCellAnchor>
  <xdr:twoCellAnchor>
    <xdr:from>
      <xdr:col>2</xdr:col>
      <xdr:colOff>315055</xdr:colOff>
      <xdr:row>94</xdr:row>
      <xdr:rowOff>19366</xdr:rowOff>
    </xdr:from>
    <xdr:to>
      <xdr:col>2</xdr:col>
      <xdr:colOff>461593</xdr:colOff>
      <xdr:row>94</xdr:row>
      <xdr:rowOff>391991</xdr:rowOff>
    </xdr:to>
    <xdr:pic>
      <xdr:nvPicPr>
        <xdr:cNvPr id="117" name="Grafik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48"/>
        <a:stretch>
          <a:fillRect/>
        </a:stretch>
      </xdr:blipFill>
      <xdr:spPr>
        <a:xfrm>
          <a:off x="1610455" y="31251841"/>
          <a:ext cx="146538" cy="372625"/>
        </a:xfrm>
        <a:prstGeom prst="rect">
          <a:avLst/>
        </a:prstGeom>
      </xdr:spPr>
    </xdr:pic>
    <xdr:clientData/>
  </xdr:twoCellAnchor>
  <xdr:twoCellAnchor>
    <xdr:from>
      <xdr:col>2</xdr:col>
      <xdr:colOff>109538</xdr:colOff>
      <xdr:row>90</xdr:row>
      <xdr:rowOff>33340</xdr:rowOff>
    </xdr:from>
    <xdr:to>
      <xdr:col>2</xdr:col>
      <xdr:colOff>686247</xdr:colOff>
      <xdr:row>90</xdr:row>
      <xdr:rowOff>370378</xdr:rowOff>
    </xdr:to>
    <xdr:pic>
      <xdr:nvPicPr>
        <xdr:cNvPr id="118" name="Grafik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57150</xdr:colOff>
      <xdr:row>50</xdr:row>
      <xdr:rowOff>28575</xdr:rowOff>
    </xdr:from>
    <xdr:to>
      <xdr:col>2</xdr:col>
      <xdr:colOff>719710</xdr:colOff>
      <xdr:row>50</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3"/>
        <a:stretch>
          <a:fillRect/>
        </a:stretch>
      </xdr:blipFill>
      <xdr:spPr>
        <a:xfrm>
          <a:off x="1352550" y="14458950"/>
          <a:ext cx="662560" cy="352425"/>
        </a:xfrm>
        <a:prstGeom prst="rect">
          <a:avLst/>
        </a:prstGeom>
      </xdr:spPr>
    </xdr:pic>
    <xdr:clientData/>
  </xdr:twoCellAnchor>
  <xdr:twoCellAnchor>
    <xdr:from>
      <xdr:col>2</xdr:col>
      <xdr:colOff>171450</xdr:colOff>
      <xdr:row>79</xdr:row>
      <xdr:rowOff>13098</xdr:rowOff>
    </xdr:from>
    <xdr:to>
      <xdr:col>2</xdr:col>
      <xdr:colOff>581519</xdr:colOff>
      <xdr:row>79</xdr:row>
      <xdr:rowOff>384572</xdr:rowOff>
    </xdr:to>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83</xdr:row>
      <xdr:rowOff>23812</xdr:rowOff>
    </xdr:from>
    <xdr:to>
      <xdr:col>2</xdr:col>
      <xdr:colOff>550436</xdr:colOff>
      <xdr:row>83</xdr:row>
      <xdr:rowOff>369093</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203528</xdr:colOff>
      <xdr:row>98</xdr:row>
      <xdr:rowOff>37425</xdr:rowOff>
    </xdr:from>
    <xdr:to>
      <xdr:col>2</xdr:col>
      <xdr:colOff>632460</xdr:colOff>
      <xdr:row>98</xdr:row>
      <xdr:rowOff>374055</xdr:rowOff>
    </xdr:to>
    <xdr:pic>
      <xdr:nvPicPr>
        <xdr:cNvPr id="8" name="Grafik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9408" y="355694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99</xdr:row>
      <xdr:rowOff>45720</xdr:rowOff>
    </xdr:from>
    <xdr:to>
      <xdr:col>2</xdr:col>
      <xdr:colOff>627423</xdr:colOff>
      <xdr:row>99</xdr:row>
      <xdr:rowOff>381000</xdr:rowOff>
    </xdr:to>
    <xdr:pic>
      <xdr:nvPicPr>
        <xdr:cNvPr id="14" name="Grafik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6089" y="359816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62466" name="Group Box 2" hidden="1">
              <a:extLst>
                <a:ext uri="{63B3BB69-23CF-44E3-9099-C40C66FF867C}">
                  <a14:compatExt spid="_x0000_s62466"/>
                </a:ext>
                <a:ext uri="{FF2B5EF4-FFF2-40B4-BE49-F238E27FC236}">
                  <a16:creationId xmlns:a16="http://schemas.microsoft.com/office/drawing/2014/main" id="{00000000-0008-0000-0300-000002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34</xdr:row>
      <xdr:rowOff>104878</xdr:rowOff>
    </xdr:from>
    <xdr:to>
      <xdr:col>2</xdr:col>
      <xdr:colOff>532303</xdr:colOff>
      <xdr:row>34</xdr:row>
      <xdr:rowOff>294835</xdr:rowOff>
    </xdr:to>
    <xdr:pic>
      <xdr:nvPicPr>
        <xdr:cNvPr id="5" name="Grafik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37</xdr:row>
      <xdr:rowOff>53975</xdr:rowOff>
    </xdr:from>
    <xdr:to>
      <xdr:col>2</xdr:col>
      <xdr:colOff>606320</xdr:colOff>
      <xdr:row>37</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525780</xdr:colOff>
          <xdr:row>18</xdr:row>
          <xdr:rowOff>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62475" name="Option Button 11" hidden="1">
              <a:extLst>
                <a:ext uri="{63B3BB69-23CF-44E3-9099-C40C66FF867C}">
                  <a14:compatExt spid="_x0000_s62475"/>
                </a:ext>
                <a:ext uri="{FF2B5EF4-FFF2-40B4-BE49-F238E27FC236}">
                  <a16:creationId xmlns:a16="http://schemas.microsoft.com/office/drawing/2014/main" id="{00000000-0008-0000-0300-00000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38</xdr:row>
      <xdr:rowOff>70450</xdr:rowOff>
    </xdr:from>
    <xdr:to>
      <xdr:col>2</xdr:col>
      <xdr:colOff>645534</xdr:colOff>
      <xdr:row>38</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39</xdr:row>
      <xdr:rowOff>48884</xdr:rowOff>
    </xdr:from>
    <xdr:to>
      <xdr:col>2</xdr:col>
      <xdr:colOff>525673</xdr:colOff>
      <xdr:row>39</xdr:row>
      <xdr:rowOff>345541</xdr:rowOff>
    </xdr:to>
    <xdr:pic>
      <xdr:nvPicPr>
        <xdr:cNvPr id="19" name="Grafik 1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40</xdr:row>
      <xdr:rowOff>48882</xdr:rowOff>
    </xdr:from>
    <xdr:to>
      <xdr:col>2</xdr:col>
      <xdr:colOff>593018</xdr:colOff>
      <xdr:row>40</xdr:row>
      <xdr:rowOff>354401</xdr:rowOff>
    </xdr:to>
    <xdr:pic>
      <xdr:nvPicPr>
        <xdr:cNvPr id="20" name="Grafik 12">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41</xdr:row>
      <xdr:rowOff>52477</xdr:rowOff>
    </xdr:from>
    <xdr:to>
      <xdr:col>2</xdr:col>
      <xdr:colOff>597559</xdr:colOff>
      <xdr:row>41</xdr:row>
      <xdr:rowOff>354402</xdr:rowOff>
    </xdr:to>
    <xdr:pic>
      <xdr:nvPicPr>
        <xdr:cNvPr id="21" name="Grafik 13">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42</xdr:row>
      <xdr:rowOff>49601</xdr:rowOff>
    </xdr:from>
    <xdr:to>
      <xdr:col>2</xdr:col>
      <xdr:colOff>583183</xdr:colOff>
      <xdr:row>42</xdr:row>
      <xdr:rowOff>354401</xdr:rowOff>
    </xdr:to>
    <xdr:pic>
      <xdr:nvPicPr>
        <xdr:cNvPr id="22" name="Grafik 14">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48885</xdr:rowOff>
    </xdr:from>
    <xdr:to>
      <xdr:col>2</xdr:col>
      <xdr:colOff>611935</xdr:colOff>
      <xdr:row>43</xdr:row>
      <xdr:rowOff>357999</xdr:rowOff>
    </xdr:to>
    <xdr:pic>
      <xdr:nvPicPr>
        <xdr:cNvPr id="23" name="Grafik 15">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45</xdr:row>
      <xdr:rowOff>45287</xdr:rowOff>
    </xdr:from>
    <xdr:to>
      <xdr:col>2</xdr:col>
      <xdr:colOff>608342</xdr:colOff>
      <xdr:row>45</xdr:row>
      <xdr:rowOff>354400</xdr:rowOff>
    </xdr:to>
    <xdr:pic>
      <xdr:nvPicPr>
        <xdr:cNvPr id="24" name="Grafik 16">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45290</xdr:rowOff>
    </xdr:from>
    <xdr:to>
      <xdr:col>2</xdr:col>
      <xdr:colOff>611935</xdr:colOff>
      <xdr:row>44</xdr:row>
      <xdr:rowOff>354404</xdr:rowOff>
    </xdr:to>
    <xdr:pic>
      <xdr:nvPicPr>
        <xdr:cNvPr id="26" name="Grafik 1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54</xdr:row>
      <xdr:rowOff>52478</xdr:rowOff>
    </xdr:from>
    <xdr:to>
      <xdr:col>2</xdr:col>
      <xdr:colOff>575814</xdr:colOff>
      <xdr:row>54</xdr:row>
      <xdr:rowOff>347753</xdr:rowOff>
    </xdr:to>
    <xdr:pic>
      <xdr:nvPicPr>
        <xdr:cNvPr id="30" name="Grafik 46">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31" name="Grafik 46">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53736</xdr:rowOff>
    </xdr:from>
    <xdr:to>
      <xdr:col>2</xdr:col>
      <xdr:colOff>597556</xdr:colOff>
      <xdr:row>60</xdr:row>
      <xdr:rowOff>355164</xdr:rowOff>
    </xdr:to>
    <xdr:pic>
      <xdr:nvPicPr>
        <xdr:cNvPr id="32" name="Grafik 24">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63224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51008</xdr:rowOff>
    </xdr:from>
    <xdr:to>
      <xdr:col>2</xdr:col>
      <xdr:colOff>514890</xdr:colOff>
      <xdr:row>57</xdr:row>
      <xdr:rowOff>347214</xdr:rowOff>
    </xdr:to>
    <xdr:pic>
      <xdr:nvPicPr>
        <xdr:cNvPr id="33" name="Grafik 69">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732" t="12195" r="25610" b="8130"/>
        <a:stretch>
          <a:fillRect/>
        </a:stretch>
      </xdr:blipFill>
      <xdr:spPr bwMode="auto">
        <a:xfrm>
          <a:off x="1546106" y="1511955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50141</xdr:rowOff>
    </xdr:from>
    <xdr:to>
      <xdr:col>2</xdr:col>
      <xdr:colOff>597556</xdr:colOff>
      <xdr:row>61</xdr:row>
      <xdr:rowOff>351569</xdr:rowOff>
    </xdr:to>
    <xdr:pic>
      <xdr:nvPicPr>
        <xdr:cNvPr id="34" name="Grafik 24">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67188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53735</xdr:rowOff>
    </xdr:from>
    <xdr:to>
      <xdr:col>2</xdr:col>
      <xdr:colOff>597556</xdr:colOff>
      <xdr:row>62</xdr:row>
      <xdr:rowOff>355163</xdr:rowOff>
    </xdr:to>
    <xdr:pic>
      <xdr:nvPicPr>
        <xdr:cNvPr id="35" name="Grafik 2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1225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36" name="Grafik 24">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37" name="Grafik 25">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53736</xdr:rowOff>
    </xdr:from>
    <xdr:to>
      <xdr:col>2</xdr:col>
      <xdr:colOff>554074</xdr:colOff>
      <xdr:row>69</xdr:row>
      <xdr:rowOff>350807</xdr:rowOff>
    </xdr:to>
    <xdr:pic>
      <xdr:nvPicPr>
        <xdr:cNvPr id="38" name="Grafik 1800">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3045" t="20753" r="25102" b="13525"/>
        <a:stretch>
          <a:fillRect/>
        </a:stretch>
      </xdr:blipFill>
      <xdr:spPr bwMode="auto">
        <a:xfrm>
          <a:off x="1504229" y="1992288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72</xdr:row>
      <xdr:rowOff>47805</xdr:rowOff>
    </xdr:from>
    <xdr:to>
      <xdr:col>2</xdr:col>
      <xdr:colOff>569077</xdr:colOff>
      <xdr:row>72</xdr:row>
      <xdr:rowOff>354402</xdr:rowOff>
    </xdr:to>
    <xdr:pic>
      <xdr:nvPicPr>
        <xdr:cNvPr id="39" name="Grafik 1802">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 r="7126"/>
        <a:stretch>
          <a:fillRect/>
        </a:stretch>
      </xdr:blipFill>
      <xdr:spPr bwMode="auto">
        <a:xfrm>
          <a:off x="1444923" y="2071705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73</xdr:row>
      <xdr:rowOff>57330</xdr:rowOff>
    </xdr:from>
    <xdr:to>
      <xdr:col>2</xdr:col>
      <xdr:colOff>629917</xdr:colOff>
      <xdr:row>73</xdr:row>
      <xdr:rowOff>347214</xdr:rowOff>
    </xdr:to>
    <xdr:pic>
      <xdr:nvPicPr>
        <xdr:cNvPr id="40" name="Grafik 86">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4172" t="11102" r="4005" b="9978"/>
        <a:stretch>
          <a:fillRect/>
        </a:stretch>
      </xdr:blipFill>
      <xdr:spPr bwMode="auto">
        <a:xfrm>
          <a:off x="1423896" y="2112663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50139</xdr:rowOff>
    </xdr:from>
    <xdr:to>
      <xdr:col>2</xdr:col>
      <xdr:colOff>524416</xdr:colOff>
      <xdr:row>68</xdr:row>
      <xdr:rowOff>354402</xdr:rowOff>
    </xdr:to>
    <xdr:pic>
      <xdr:nvPicPr>
        <xdr:cNvPr id="41" name="Grafik 33">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19933" r="14037" b="12170"/>
        <a:stretch>
          <a:fillRect/>
        </a:stretch>
      </xdr:blipFill>
      <xdr:spPr bwMode="auto">
        <a:xfrm>
          <a:off x="1515553" y="1951923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48883</xdr:rowOff>
    </xdr:from>
    <xdr:to>
      <xdr:col>2</xdr:col>
      <xdr:colOff>477051</xdr:colOff>
      <xdr:row>74</xdr:row>
      <xdr:rowOff>350807</xdr:rowOff>
    </xdr:to>
    <xdr:pic>
      <xdr:nvPicPr>
        <xdr:cNvPr id="42" name="Grafik 1803">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37877" t="2940" r="23587" b="3934"/>
        <a:stretch>
          <a:fillRect/>
        </a:stretch>
      </xdr:blipFill>
      <xdr:spPr bwMode="auto">
        <a:xfrm>
          <a:off x="1565872" y="2151823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52478</xdr:rowOff>
    </xdr:from>
    <xdr:to>
      <xdr:col>2</xdr:col>
      <xdr:colOff>477051</xdr:colOff>
      <xdr:row>75</xdr:row>
      <xdr:rowOff>354402</xdr:rowOff>
    </xdr:to>
    <xdr:pic>
      <xdr:nvPicPr>
        <xdr:cNvPr id="43" name="Grafik 1803">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37877" t="2940" r="23587" b="3934"/>
        <a:stretch>
          <a:fillRect/>
        </a:stretch>
      </xdr:blipFill>
      <xdr:spPr bwMode="auto">
        <a:xfrm>
          <a:off x="1565872" y="2192187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76</xdr:row>
      <xdr:rowOff>52478</xdr:rowOff>
    </xdr:from>
    <xdr:to>
      <xdr:col>2</xdr:col>
      <xdr:colOff>600642</xdr:colOff>
      <xdr:row>76</xdr:row>
      <xdr:rowOff>350808</xdr:rowOff>
    </xdr:to>
    <xdr:pic>
      <xdr:nvPicPr>
        <xdr:cNvPr id="44" name="Grafik 1804">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7597" t="13477" r="10893" b="7732"/>
        <a:stretch>
          <a:fillRect/>
        </a:stretch>
      </xdr:blipFill>
      <xdr:spPr bwMode="auto">
        <a:xfrm>
          <a:off x="1428390" y="2232192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79</xdr:row>
      <xdr:rowOff>50143</xdr:rowOff>
    </xdr:from>
    <xdr:to>
      <xdr:col>2</xdr:col>
      <xdr:colOff>496724</xdr:colOff>
      <xdr:row>79</xdr:row>
      <xdr:rowOff>350809</xdr:rowOff>
    </xdr:to>
    <xdr:pic>
      <xdr:nvPicPr>
        <xdr:cNvPr id="48" name="Grafik 1809">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27708" t="13861" r="31795" b="14694"/>
        <a:stretch>
          <a:fillRect/>
        </a:stretch>
      </xdr:blipFill>
      <xdr:spPr bwMode="auto">
        <a:xfrm>
          <a:off x="1532089" y="2471989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81</xdr:row>
      <xdr:rowOff>49961</xdr:rowOff>
    </xdr:from>
    <xdr:to>
      <xdr:col>2</xdr:col>
      <xdr:colOff>592475</xdr:colOff>
      <xdr:row>81</xdr:row>
      <xdr:rowOff>354402</xdr:rowOff>
    </xdr:to>
    <xdr:pic>
      <xdr:nvPicPr>
        <xdr:cNvPr id="49" name="Grafik 1810">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22144" r="5516" b="15793"/>
        <a:stretch>
          <a:fillRect/>
        </a:stretch>
      </xdr:blipFill>
      <xdr:spPr bwMode="auto">
        <a:xfrm>
          <a:off x="1467030" y="2511976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77</xdr:row>
      <xdr:rowOff>53737</xdr:rowOff>
    </xdr:from>
    <xdr:to>
      <xdr:col>2</xdr:col>
      <xdr:colOff>564622</xdr:colOff>
      <xdr:row>77</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82</xdr:row>
      <xdr:rowOff>48883</xdr:rowOff>
    </xdr:from>
    <xdr:to>
      <xdr:col>2</xdr:col>
      <xdr:colOff>530349</xdr:colOff>
      <xdr:row>82</xdr:row>
      <xdr:rowOff>350808</xdr:rowOff>
    </xdr:to>
    <xdr:pic>
      <xdr:nvPicPr>
        <xdr:cNvPr id="51" name="Grafik 1811">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7184" t="16817" r="33038" b="16847"/>
        <a:stretch>
          <a:fillRect/>
        </a:stretch>
      </xdr:blipFill>
      <xdr:spPr bwMode="auto">
        <a:xfrm>
          <a:off x="1548984" y="2551873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83</xdr:row>
      <xdr:rowOff>52476</xdr:rowOff>
    </xdr:from>
    <xdr:to>
      <xdr:col>2</xdr:col>
      <xdr:colOff>549693</xdr:colOff>
      <xdr:row>83</xdr:row>
      <xdr:rowOff>354402</xdr:rowOff>
    </xdr:to>
    <xdr:pic>
      <xdr:nvPicPr>
        <xdr:cNvPr id="52" name="Grafik 181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8040" t="8603" r="18645" b="5231"/>
        <a:stretch>
          <a:fillRect/>
        </a:stretch>
      </xdr:blipFill>
      <xdr:spPr bwMode="auto">
        <a:xfrm>
          <a:off x="1507646" y="2592237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85</xdr:row>
      <xdr:rowOff>52477</xdr:rowOff>
    </xdr:from>
    <xdr:to>
      <xdr:col>2</xdr:col>
      <xdr:colOff>503461</xdr:colOff>
      <xdr:row>85</xdr:row>
      <xdr:rowOff>350808</xdr:rowOff>
    </xdr:to>
    <xdr:pic>
      <xdr:nvPicPr>
        <xdr:cNvPr id="53" name="Grafik 1811">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24019" t="12331" r="36412" b="22742"/>
        <a:stretch>
          <a:fillRect/>
        </a:stretch>
      </xdr:blipFill>
      <xdr:spPr bwMode="auto">
        <a:xfrm>
          <a:off x="1524719" y="2632242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47445</xdr:rowOff>
    </xdr:from>
    <xdr:to>
      <xdr:col>2</xdr:col>
      <xdr:colOff>564635</xdr:colOff>
      <xdr:row>86</xdr:row>
      <xdr:rowOff>350807</xdr:rowOff>
    </xdr:to>
    <xdr:pic>
      <xdr:nvPicPr>
        <xdr:cNvPr id="54" name="Grafik 181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67174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51039</xdr:rowOff>
    </xdr:from>
    <xdr:to>
      <xdr:col>2</xdr:col>
      <xdr:colOff>564635</xdr:colOff>
      <xdr:row>87</xdr:row>
      <xdr:rowOff>354401</xdr:rowOff>
    </xdr:to>
    <xdr:pic>
      <xdr:nvPicPr>
        <xdr:cNvPr id="55" name="Grafik 1812">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12108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47445</xdr:rowOff>
    </xdr:from>
    <xdr:to>
      <xdr:col>2</xdr:col>
      <xdr:colOff>564635</xdr:colOff>
      <xdr:row>88</xdr:row>
      <xdr:rowOff>350807</xdr:rowOff>
    </xdr:to>
    <xdr:pic>
      <xdr:nvPicPr>
        <xdr:cNvPr id="56" name="Grafik 1812">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5175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51038</xdr:rowOff>
    </xdr:from>
    <xdr:to>
      <xdr:col>2</xdr:col>
      <xdr:colOff>564635</xdr:colOff>
      <xdr:row>89</xdr:row>
      <xdr:rowOff>354400</xdr:rowOff>
    </xdr:to>
    <xdr:pic>
      <xdr:nvPicPr>
        <xdr:cNvPr id="57" name="Grafik 1812">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9211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51038</xdr:rowOff>
    </xdr:from>
    <xdr:to>
      <xdr:col>2</xdr:col>
      <xdr:colOff>564635</xdr:colOff>
      <xdr:row>90</xdr:row>
      <xdr:rowOff>354400</xdr:rowOff>
    </xdr:to>
    <xdr:pic>
      <xdr:nvPicPr>
        <xdr:cNvPr id="58" name="Grafik 1812">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83212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92</xdr:row>
      <xdr:rowOff>48883</xdr:rowOff>
    </xdr:from>
    <xdr:to>
      <xdr:col>2</xdr:col>
      <xdr:colOff>594684</xdr:colOff>
      <xdr:row>92</xdr:row>
      <xdr:rowOff>353683</xdr:rowOff>
    </xdr:to>
    <xdr:pic>
      <xdr:nvPicPr>
        <xdr:cNvPr id="59" name="Grafik 1813">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32884" y="2911918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101</xdr:row>
      <xdr:rowOff>53735</xdr:rowOff>
    </xdr:from>
    <xdr:to>
      <xdr:col>2</xdr:col>
      <xdr:colOff>588843</xdr:colOff>
      <xdr:row>101</xdr:row>
      <xdr:rowOff>350807</xdr:rowOff>
    </xdr:to>
    <xdr:pic>
      <xdr:nvPicPr>
        <xdr:cNvPr id="60" name="Grafik 102">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438635" y="3152433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113401</xdr:rowOff>
    </xdr:from>
    <xdr:to>
      <xdr:col>2</xdr:col>
      <xdr:colOff>554607</xdr:colOff>
      <xdr:row>93</xdr:row>
      <xdr:rowOff>294376</xdr:rowOff>
    </xdr:to>
    <xdr:pic>
      <xdr:nvPicPr>
        <xdr:cNvPr id="65" name="Grafik 5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l="27550" t="29231" r="22266" b="35603"/>
        <a:stretch>
          <a:fillRect/>
        </a:stretch>
      </xdr:blipFill>
      <xdr:spPr bwMode="auto">
        <a:xfrm>
          <a:off x="1507107" y="2958375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102</xdr:row>
      <xdr:rowOff>166338</xdr:rowOff>
    </xdr:from>
    <xdr:to>
      <xdr:col>2</xdr:col>
      <xdr:colOff>602047</xdr:colOff>
      <xdr:row>102</xdr:row>
      <xdr:rowOff>402940</xdr:rowOff>
    </xdr:to>
    <xdr:pic>
      <xdr:nvPicPr>
        <xdr:cNvPr id="71" name="Grafik 102">
          <a:extLst>
            <a:ext uri="{FF2B5EF4-FFF2-40B4-BE49-F238E27FC236}">
              <a16:creationId xmlns:a16="http://schemas.microsoft.com/office/drawing/2014/main" id="{00000000-0008-0000-0300-000047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2263" t="15510" r="13074" b="10428"/>
        <a:stretch/>
      </xdr:blipFill>
      <xdr:spPr bwMode="auto">
        <a:xfrm>
          <a:off x="1466433" y="35660298"/>
          <a:ext cx="461494" cy="236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144780</xdr:colOff>
          <xdr:row>14</xdr:row>
          <xdr:rowOff>106680</xdr:rowOff>
        </xdr:from>
        <xdr:to>
          <xdr:col>12</xdr:col>
          <xdr:colOff>182880</xdr:colOff>
          <xdr:row>14</xdr:row>
          <xdr:rowOff>144780</xdr:rowOff>
        </xdr:to>
        <xdr:sp macro="" textlink="">
          <xdr:nvSpPr>
            <xdr:cNvPr id="62481" name="Option Button 17" hidden="1">
              <a:extLst>
                <a:ext uri="{63B3BB69-23CF-44E3-9099-C40C66FF867C}">
                  <a14:compatExt spid="_x0000_s62481"/>
                </a:ext>
                <a:ext uri="{FF2B5EF4-FFF2-40B4-BE49-F238E27FC236}">
                  <a16:creationId xmlns:a16="http://schemas.microsoft.com/office/drawing/2014/main" id="{00000000-0008-0000-0300-00001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33</xdr:row>
      <xdr:rowOff>52477</xdr:rowOff>
    </xdr:from>
    <xdr:to>
      <xdr:col>2</xdr:col>
      <xdr:colOff>568804</xdr:colOff>
      <xdr:row>33</xdr:row>
      <xdr:rowOff>354256</xdr:rowOff>
    </xdr:to>
    <xdr:pic>
      <xdr:nvPicPr>
        <xdr:cNvPr id="73" name="Grafik 90">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3716" t="8041" r="15440" b="7491"/>
        <a:stretch>
          <a:fillRect/>
        </a:stretch>
      </xdr:blipFill>
      <xdr:spPr bwMode="auto">
        <a:xfrm>
          <a:off x="147907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96612</xdr:colOff>
      <xdr:row>78</xdr:row>
      <xdr:rowOff>54430</xdr:rowOff>
    </xdr:from>
    <xdr:to>
      <xdr:col>2</xdr:col>
      <xdr:colOff>651783</xdr:colOff>
      <xdr:row>78</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31</xdr:row>
      <xdr:rowOff>55404</xdr:rowOff>
    </xdr:from>
    <xdr:to>
      <xdr:col>2</xdr:col>
      <xdr:colOff>593147</xdr:colOff>
      <xdr:row>31</xdr:row>
      <xdr:rowOff>342034</xdr:rowOff>
    </xdr:to>
    <xdr:pic>
      <xdr:nvPicPr>
        <xdr:cNvPr id="76" name="Grafik 75">
          <a:extLst>
            <a:ext uri="{FF2B5EF4-FFF2-40B4-BE49-F238E27FC236}">
              <a16:creationId xmlns:a16="http://schemas.microsoft.com/office/drawing/2014/main" id="{00000000-0008-0000-0300-00004C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6671" t="21573" r="14662" b="13254"/>
        <a:stretch/>
      </xdr:blipFill>
      <xdr:spPr bwMode="auto">
        <a:xfrm>
          <a:off x="1489364" y="5523620"/>
          <a:ext cx="402647" cy="286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32</xdr:row>
      <xdr:rowOff>55545</xdr:rowOff>
    </xdr:from>
    <xdr:to>
      <xdr:col>2</xdr:col>
      <xdr:colOff>533534</xdr:colOff>
      <xdr:row>32</xdr:row>
      <xdr:rowOff>342091</xdr:rowOff>
    </xdr:to>
    <xdr:pic>
      <xdr:nvPicPr>
        <xdr:cNvPr id="79" name="Grafik 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30777" t="23737" r="18845" b="13014"/>
        <a:stretch>
          <a:fillRect/>
        </a:stretch>
      </xdr:blipFill>
      <xdr:spPr bwMode="auto">
        <a:xfrm>
          <a:off x="1482064" y="592294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56</xdr:row>
      <xdr:rowOff>52477</xdr:rowOff>
    </xdr:from>
    <xdr:to>
      <xdr:col>2</xdr:col>
      <xdr:colOff>575814</xdr:colOff>
      <xdr:row>56</xdr:row>
      <xdr:rowOff>347752</xdr:rowOff>
    </xdr:to>
    <xdr:pic>
      <xdr:nvPicPr>
        <xdr:cNvPr id="83" name="Grafik 4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84" name="Grafik 2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85" name="Grafik 2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86" name="Grafik 24">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5189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87" name="Grafik 24">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88" name="Grafik 25">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90" name="Grafik 68">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91" name="Grafik 68">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30</xdr:row>
      <xdr:rowOff>74445</xdr:rowOff>
    </xdr:from>
    <xdr:to>
      <xdr:col>2</xdr:col>
      <xdr:colOff>685800</xdr:colOff>
      <xdr:row>30</xdr:row>
      <xdr:rowOff>382755</xdr:rowOff>
    </xdr:to>
    <xdr:pic>
      <xdr:nvPicPr>
        <xdr:cNvPr id="92" name="Grafik 99">
          <a:extLst>
            <a:ext uri="{FF2B5EF4-FFF2-40B4-BE49-F238E27FC236}">
              <a16:creationId xmlns:a16="http://schemas.microsoft.com/office/drawing/2014/main" id="{00000000-0008-0000-0300-00005C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5424" t="19050" r="3207" b="15228"/>
        <a:stretch/>
      </xdr:blipFill>
      <xdr:spPr bwMode="auto">
        <a:xfrm>
          <a:off x="1409700" y="5141745"/>
          <a:ext cx="571500" cy="308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93" name="Grafik 1801">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54806" y="2070363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94" name="Grafik 54">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72293" y="299418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593911</xdr:colOff>
      <xdr:row>69</xdr:row>
      <xdr:rowOff>347383</xdr:rowOff>
    </xdr:from>
    <xdr:to>
      <xdr:col>3</xdr:col>
      <xdr:colOff>36109</xdr:colOff>
      <xdr:row>71</xdr:row>
      <xdr:rowOff>33618</xdr:rowOff>
    </xdr:to>
    <xdr:pic>
      <xdr:nvPicPr>
        <xdr:cNvPr id="95" name="Grafik 1800">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247054" y="19615097"/>
          <a:ext cx="870948" cy="47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705189</xdr:colOff>
      <xdr:row>4</xdr:row>
      <xdr:rowOff>147920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96" name="Grafik 95">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45"/>
        <a:stretch>
          <a:fillRect/>
        </a:stretch>
      </xdr:blipFill>
      <xdr:spPr>
        <a:xfrm>
          <a:off x="1665407" y="31955641"/>
          <a:ext cx="257731" cy="355357"/>
        </a:xfrm>
        <a:prstGeom prst="rect">
          <a:avLst/>
        </a:prstGeom>
      </xdr:spPr>
    </xdr:pic>
    <xdr:clientData/>
  </xdr:twoCellAnchor>
  <xdr:twoCellAnchor>
    <xdr:from>
      <xdr:col>2</xdr:col>
      <xdr:colOff>324580</xdr:colOff>
      <xdr:row>95</xdr:row>
      <xdr:rowOff>19366</xdr:rowOff>
    </xdr:from>
    <xdr:to>
      <xdr:col>2</xdr:col>
      <xdr:colOff>471118</xdr:colOff>
      <xdr:row>95</xdr:row>
      <xdr:rowOff>391991</xdr:rowOff>
    </xdr:to>
    <xdr:pic>
      <xdr:nvPicPr>
        <xdr:cNvPr id="99" name="Grafik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46"/>
        <a:stretch>
          <a:fillRect/>
        </a:stretch>
      </xdr:blipFill>
      <xdr:spPr>
        <a:xfrm>
          <a:off x="1619980" y="3125184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47"/>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47"/>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05" name="Grafik 20">
          <a:extLst>
            <a:ext uri="{FF2B5EF4-FFF2-40B4-BE49-F238E27FC236}">
              <a16:creationId xmlns:a16="http://schemas.microsoft.com/office/drawing/2014/main" id="{00000000-0008-0000-0300-000069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06" name="Grafik 105">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19051</xdr:colOff>
      <xdr:row>50</xdr:row>
      <xdr:rowOff>19051</xdr:rowOff>
    </xdr:from>
    <xdr:to>
      <xdr:col>2</xdr:col>
      <xdr:colOff>750995</xdr:colOff>
      <xdr:row>50</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3"/>
        <a:stretch>
          <a:fillRect/>
        </a:stretch>
      </xdr:blipFill>
      <xdr:spPr>
        <a:xfrm>
          <a:off x="1314451" y="14449426"/>
          <a:ext cx="731944" cy="361950"/>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185945</xdr:colOff>
      <xdr:row>35</xdr:row>
      <xdr:rowOff>52793</xdr:rowOff>
    </xdr:from>
    <xdr:to>
      <xdr:col>2</xdr:col>
      <xdr:colOff>584993</xdr:colOff>
      <xdr:row>35</xdr:row>
      <xdr:rowOff>347663</xdr:rowOff>
    </xdr:to>
    <xdr:pic>
      <xdr:nvPicPr>
        <xdr:cNvPr id="16" name="Grafik 2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6" name="Grafik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7" name="Grafik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15363" name="Group Box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186692</xdr:colOff>
      <xdr:row>32</xdr:row>
      <xdr:rowOff>114403</xdr:rowOff>
    </xdr:from>
    <xdr:to>
      <xdr:col>2</xdr:col>
      <xdr:colOff>541828</xdr:colOff>
      <xdr:row>32</xdr:row>
      <xdr:rowOff>304360</xdr:rowOff>
    </xdr:to>
    <xdr:pic>
      <xdr:nvPicPr>
        <xdr:cNvPr id="6" name="Grafik 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64681" y="589921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171740</xdr:colOff>
      <xdr:row>35</xdr:row>
      <xdr:rowOff>63500</xdr:rowOff>
    </xdr:from>
    <xdr:to>
      <xdr:col>2</xdr:col>
      <xdr:colOff>615845</xdr:colOff>
      <xdr:row>35</xdr:row>
      <xdr:rowOff>359570</xdr:rowOff>
    </xdr:to>
    <xdr:pic>
      <xdr:nvPicPr>
        <xdr:cNvPr id="9" name="Grafik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140" y="713105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182880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107471</xdr:colOff>
      <xdr:row>36</xdr:row>
      <xdr:rowOff>79975</xdr:rowOff>
    </xdr:from>
    <xdr:to>
      <xdr:col>2</xdr:col>
      <xdr:colOff>655059</xdr:colOff>
      <xdr:row>36</xdr:row>
      <xdr:rowOff>342361</xdr:rowOff>
    </xdr:to>
    <xdr:pic>
      <xdr:nvPicPr>
        <xdr:cNvPr id="28" name="Grafik 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402871" y="754757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208114</xdr:colOff>
      <xdr:row>37</xdr:row>
      <xdr:rowOff>58409</xdr:rowOff>
    </xdr:from>
    <xdr:to>
      <xdr:col>2</xdr:col>
      <xdr:colOff>535198</xdr:colOff>
      <xdr:row>37</xdr:row>
      <xdr:rowOff>355066</xdr:rowOff>
    </xdr:to>
    <xdr:pic>
      <xdr:nvPicPr>
        <xdr:cNvPr id="29" name="Grafik 1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503514" y="792605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136225</xdr:colOff>
      <xdr:row>38</xdr:row>
      <xdr:rowOff>58407</xdr:rowOff>
    </xdr:from>
    <xdr:to>
      <xdr:col>2</xdr:col>
      <xdr:colOff>602543</xdr:colOff>
      <xdr:row>38</xdr:row>
      <xdr:rowOff>363926</xdr:rowOff>
    </xdr:to>
    <xdr:pic>
      <xdr:nvPicPr>
        <xdr:cNvPr id="30" name="Grafik 12">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31625" y="832610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181293</xdr:colOff>
      <xdr:row>39</xdr:row>
      <xdr:rowOff>62002</xdr:rowOff>
    </xdr:from>
    <xdr:to>
      <xdr:col>2</xdr:col>
      <xdr:colOff>607084</xdr:colOff>
      <xdr:row>39</xdr:row>
      <xdr:rowOff>363927</xdr:rowOff>
    </xdr:to>
    <xdr:pic>
      <xdr:nvPicPr>
        <xdr:cNvPr id="31" name="Grafik 13">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76693" y="872975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135709</xdr:colOff>
      <xdr:row>41</xdr:row>
      <xdr:rowOff>58410</xdr:rowOff>
    </xdr:from>
    <xdr:to>
      <xdr:col>2</xdr:col>
      <xdr:colOff>621460</xdr:colOff>
      <xdr:row>41</xdr:row>
      <xdr:rowOff>367524</xdr:rowOff>
    </xdr:to>
    <xdr:pic>
      <xdr:nvPicPr>
        <xdr:cNvPr id="33" name="Grafik 15">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31109" y="952626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162332</xdr:colOff>
      <xdr:row>43</xdr:row>
      <xdr:rowOff>54812</xdr:rowOff>
    </xdr:from>
    <xdr:to>
      <xdr:col>2</xdr:col>
      <xdr:colOff>617867</xdr:colOff>
      <xdr:row>43</xdr:row>
      <xdr:rowOff>363925</xdr:rowOff>
    </xdr:to>
    <xdr:pic>
      <xdr:nvPicPr>
        <xdr:cNvPr id="34" name="Grafik 16">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57732" y="1032276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135709</xdr:colOff>
      <xdr:row>42</xdr:row>
      <xdr:rowOff>54815</xdr:rowOff>
    </xdr:from>
    <xdr:to>
      <xdr:col>2</xdr:col>
      <xdr:colOff>621460</xdr:colOff>
      <xdr:row>42</xdr:row>
      <xdr:rowOff>363929</xdr:rowOff>
    </xdr:to>
    <xdr:pic>
      <xdr:nvPicPr>
        <xdr:cNvPr id="36" name="Grafik 1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31109" y="992271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52</xdr:row>
      <xdr:rowOff>62003</xdr:rowOff>
    </xdr:from>
    <xdr:to>
      <xdr:col>2</xdr:col>
      <xdr:colOff>585339</xdr:colOff>
      <xdr:row>52</xdr:row>
      <xdr:rowOff>357278</xdr:rowOff>
    </xdr:to>
    <xdr:pic>
      <xdr:nvPicPr>
        <xdr:cNvPr id="41" name="Grafik 46">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2330203"/>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53</xdr:row>
      <xdr:rowOff>62002</xdr:rowOff>
    </xdr:from>
    <xdr:to>
      <xdr:col>2</xdr:col>
      <xdr:colOff>585339</xdr:colOff>
      <xdr:row>53</xdr:row>
      <xdr:rowOff>357277</xdr:rowOff>
    </xdr:to>
    <xdr:pic>
      <xdr:nvPicPr>
        <xdr:cNvPr id="43" name="Grafik 4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273025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58</xdr:row>
      <xdr:rowOff>63261</xdr:rowOff>
    </xdr:from>
    <xdr:to>
      <xdr:col>2</xdr:col>
      <xdr:colOff>607081</xdr:colOff>
      <xdr:row>58</xdr:row>
      <xdr:rowOff>364689</xdr:rowOff>
    </xdr:to>
    <xdr:pic>
      <xdr:nvPicPr>
        <xdr:cNvPr id="45" name="Grafik 2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393166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260231</xdr:colOff>
      <xdr:row>55</xdr:row>
      <xdr:rowOff>60533</xdr:rowOff>
    </xdr:from>
    <xdr:to>
      <xdr:col>2</xdr:col>
      <xdr:colOff>524415</xdr:colOff>
      <xdr:row>55</xdr:row>
      <xdr:rowOff>356739</xdr:rowOff>
    </xdr:to>
    <xdr:pic>
      <xdr:nvPicPr>
        <xdr:cNvPr id="46" name="Grafik 69">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732" t="12195" r="25610" b="8130"/>
        <a:stretch>
          <a:fillRect/>
        </a:stretch>
      </xdr:blipFill>
      <xdr:spPr bwMode="auto">
        <a:xfrm>
          <a:off x="1555631" y="1312883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59</xdr:row>
      <xdr:rowOff>59666</xdr:rowOff>
    </xdr:from>
    <xdr:to>
      <xdr:col>2</xdr:col>
      <xdr:colOff>607081</xdr:colOff>
      <xdr:row>59</xdr:row>
      <xdr:rowOff>361094</xdr:rowOff>
    </xdr:to>
    <xdr:pic>
      <xdr:nvPicPr>
        <xdr:cNvPr id="47" name="Grafik 24">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432811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60</xdr:row>
      <xdr:rowOff>63260</xdr:rowOff>
    </xdr:from>
    <xdr:to>
      <xdr:col>2</xdr:col>
      <xdr:colOff>607081</xdr:colOff>
      <xdr:row>60</xdr:row>
      <xdr:rowOff>364688</xdr:rowOff>
    </xdr:to>
    <xdr:pic>
      <xdr:nvPicPr>
        <xdr:cNvPr id="48" name="Grafik 24">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473176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61</xdr:row>
      <xdr:rowOff>59665</xdr:rowOff>
    </xdr:from>
    <xdr:to>
      <xdr:col>2</xdr:col>
      <xdr:colOff>607081</xdr:colOff>
      <xdr:row>61</xdr:row>
      <xdr:rowOff>361093</xdr:rowOff>
    </xdr:to>
    <xdr:pic>
      <xdr:nvPicPr>
        <xdr:cNvPr id="49" name="Grafik 24">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512821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218354</xdr:colOff>
      <xdr:row>67</xdr:row>
      <xdr:rowOff>63261</xdr:rowOff>
    </xdr:from>
    <xdr:to>
      <xdr:col>2</xdr:col>
      <xdr:colOff>563599</xdr:colOff>
      <xdr:row>67</xdr:row>
      <xdr:rowOff>360332</xdr:rowOff>
    </xdr:to>
    <xdr:pic>
      <xdr:nvPicPr>
        <xdr:cNvPr id="51" name="Grafik 180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3045" t="20753" r="25102" b="13525"/>
        <a:stretch>
          <a:fillRect/>
        </a:stretch>
      </xdr:blipFill>
      <xdr:spPr bwMode="auto">
        <a:xfrm>
          <a:off x="1513754" y="1633196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159048</xdr:colOff>
      <xdr:row>70</xdr:row>
      <xdr:rowOff>57330</xdr:rowOff>
    </xdr:from>
    <xdr:to>
      <xdr:col>2</xdr:col>
      <xdr:colOff>578602</xdr:colOff>
      <xdr:row>70</xdr:row>
      <xdr:rowOff>363927</xdr:rowOff>
    </xdr:to>
    <xdr:pic>
      <xdr:nvPicPr>
        <xdr:cNvPr id="52" name="Grafik 1802">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 r="7126"/>
        <a:stretch>
          <a:fillRect/>
        </a:stretch>
      </xdr:blipFill>
      <xdr:spPr bwMode="auto">
        <a:xfrm>
          <a:off x="1454448" y="1712613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138021</xdr:colOff>
      <xdr:row>71</xdr:row>
      <xdr:rowOff>66855</xdr:rowOff>
    </xdr:from>
    <xdr:to>
      <xdr:col>2</xdr:col>
      <xdr:colOff>639442</xdr:colOff>
      <xdr:row>71</xdr:row>
      <xdr:rowOff>356739</xdr:rowOff>
    </xdr:to>
    <xdr:pic>
      <xdr:nvPicPr>
        <xdr:cNvPr id="53" name="Grafik 86">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4172" t="11102" r="4005" b="9978"/>
        <a:stretch>
          <a:fillRect/>
        </a:stretch>
      </xdr:blipFill>
      <xdr:spPr bwMode="auto">
        <a:xfrm>
          <a:off x="1433421" y="1753570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229678</xdr:colOff>
      <xdr:row>66</xdr:row>
      <xdr:rowOff>59664</xdr:rowOff>
    </xdr:from>
    <xdr:to>
      <xdr:col>2</xdr:col>
      <xdr:colOff>533941</xdr:colOff>
      <xdr:row>66</xdr:row>
      <xdr:rowOff>363927</xdr:rowOff>
    </xdr:to>
    <xdr:pic>
      <xdr:nvPicPr>
        <xdr:cNvPr id="54" name="Grafik 3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9933" r="14037" b="12170"/>
        <a:stretch>
          <a:fillRect/>
        </a:stretch>
      </xdr:blipFill>
      <xdr:spPr bwMode="auto">
        <a:xfrm>
          <a:off x="1525078" y="1592831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279997</xdr:colOff>
      <xdr:row>72</xdr:row>
      <xdr:rowOff>58408</xdr:rowOff>
    </xdr:from>
    <xdr:to>
      <xdr:col>2</xdr:col>
      <xdr:colOff>486576</xdr:colOff>
      <xdr:row>72</xdr:row>
      <xdr:rowOff>360332</xdr:rowOff>
    </xdr:to>
    <xdr:pic>
      <xdr:nvPicPr>
        <xdr:cNvPr id="55" name="Grafik 1803">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7877" t="2940" r="23587" b="3934"/>
        <a:stretch>
          <a:fillRect/>
        </a:stretch>
      </xdr:blipFill>
      <xdr:spPr bwMode="auto">
        <a:xfrm>
          <a:off x="1575397" y="1792730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279997</xdr:colOff>
      <xdr:row>73</xdr:row>
      <xdr:rowOff>62003</xdr:rowOff>
    </xdr:from>
    <xdr:to>
      <xdr:col>2</xdr:col>
      <xdr:colOff>486576</xdr:colOff>
      <xdr:row>73</xdr:row>
      <xdr:rowOff>363927</xdr:rowOff>
    </xdr:to>
    <xdr:pic>
      <xdr:nvPicPr>
        <xdr:cNvPr id="56" name="Grafik 1803">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7877" t="2940" r="23587" b="3934"/>
        <a:stretch>
          <a:fillRect/>
        </a:stretch>
      </xdr:blipFill>
      <xdr:spPr bwMode="auto">
        <a:xfrm>
          <a:off x="1575397" y="1833095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142515</xdr:colOff>
      <xdr:row>74</xdr:row>
      <xdr:rowOff>62003</xdr:rowOff>
    </xdr:from>
    <xdr:to>
      <xdr:col>2</xdr:col>
      <xdr:colOff>610167</xdr:colOff>
      <xdr:row>74</xdr:row>
      <xdr:rowOff>360333</xdr:rowOff>
    </xdr:to>
    <xdr:pic>
      <xdr:nvPicPr>
        <xdr:cNvPr id="57" name="Grafik 1804">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7597" t="13477" r="10893" b="7732"/>
        <a:stretch>
          <a:fillRect/>
        </a:stretch>
      </xdr:blipFill>
      <xdr:spPr bwMode="auto">
        <a:xfrm>
          <a:off x="1437915" y="187310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246214</xdr:colOff>
      <xdr:row>77</xdr:row>
      <xdr:rowOff>59668</xdr:rowOff>
    </xdr:from>
    <xdr:to>
      <xdr:col>2</xdr:col>
      <xdr:colOff>506249</xdr:colOff>
      <xdr:row>77</xdr:row>
      <xdr:rowOff>360334</xdr:rowOff>
    </xdr:to>
    <xdr:pic>
      <xdr:nvPicPr>
        <xdr:cNvPr id="61" name="Grafik 1809">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7708" t="13861" r="31795" b="14694"/>
        <a:stretch>
          <a:fillRect/>
        </a:stretch>
      </xdr:blipFill>
      <xdr:spPr bwMode="auto">
        <a:xfrm>
          <a:off x="1541614" y="2112896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181155</xdr:colOff>
      <xdr:row>79</xdr:row>
      <xdr:rowOff>59486</xdr:rowOff>
    </xdr:from>
    <xdr:to>
      <xdr:col>2</xdr:col>
      <xdr:colOff>602000</xdr:colOff>
      <xdr:row>79</xdr:row>
      <xdr:rowOff>363927</xdr:rowOff>
    </xdr:to>
    <xdr:pic>
      <xdr:nvPicPr>
        <xdr:cNvPr id="62" name="Grafik 1810">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22144" r="5516" b="15793"/>
        <a:stretch>
          <a:fillRect/>
        </a:stretch>
      </xdr:blipFill>
      <xdr:spPr bwMode="auto">
        <a:xfrm>
          <a:off x="1476555" y="2152883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203440</xdr:colOff>
      <xdr:row>75</xdr:row>
      <xdr:rowOff>63262</xdr:rowOff>
    </xdr:from>
    <xdr:to>
      <xdr:col>2</xdr:col>
      <xdr:colOff>574147</xdr:colOff>
      <xdr:row>75</xdr:row>
      <xdr:rowOff>356738</xdr:rowOff>
    </xdr:to>
    <xdr:pic>
      <xdr:nvPicPr>
        <xdr:cNvPr id="63" name="Grafik 1805">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6499" t="9016" r="15376" b="9836"/>
        <a:stretch>
          <a:fillRect/>
        </a:stretch>
      </xdr:blipFill>
      <xdr:spPr bwMode="auto">
        <a:xfrm>
          <a:off x="1498840" y="1913231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263109</xdr:colOff>
      <xdr:row>80</xdr:row>
      <xdr:rowOff>58408</xdr:rowOff>
    </xdr:from>
    <xdr:to>
      <xdr:col>2</xdr:col>
      <xdr:colOff>539874</xdr:colOff>
      <xdr:row>80</xdr:row>
      <xdr:rowOff>360333</xdr:rowOff>
    </xdr:to>
    <xdr:pic>
      <xdr:nvPicPr>
        <xdr:cNvPr id="64" name="Grafik 181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27184" t="16817" r="33038" b="16847"/>
        <a:stretch>
          <a:fillRect/>
        </a:stretch>
      </xdr:blipFill>
      <xdr:spPr bwMode="auto">
        <a:xfrm>
          <a:off x="1558509" y="2192780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221771</xdr:colOff>
      <xdr:row>81</xdr:row>
      <xdr:rowOff>62001</xdr:rowOff>
    </xdr:from>
    <xdr:to>
      <xdr:col>2</xdr:col>
      <xdr:colOff>559218</xdr:colOff>
      <xdr:row>81</xdr:row>
      <xdr:rowOff>363927</xdr:rowOff>
    </xdr:to>
    <xdr:pic>
      <xdr:nvPicPr>
        <xdr:cNvPr id="65" name="Grafik 1811">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8040" t="8603" r="18645" b="5231"/>
        <a:stretch>
          <a:fillRect/>
        </a:stretch>
      </xdr:blipFill>
      <xdr:spPr bwMode="auto">
        <a:xfrm>
          <a:off x="1517171" y="2233145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238844</xdr:colOff>
      <xdr:row>83</xdr:row>
      <xdr:rowOff>62002</xdr:rowOff>
    </xdr:from>
    <xdr:to>
      <xdr:col>2</xdr:col>
      <xdr:colOff>512986</xdr:colOff>
      <xdr:row>83</xdr:row>
      <xdr:rowOff>360333</xdr:rowOff>
    </xdr:to>
    <xdr:pic>
      <xdr:nvPicPr>
        <xdr:cNvPr id="66" name="Grafik 1811">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24019" t="12331" r="36412" b="22742"/>
        <a:stretch>
          <a:fillRect/>
        </a:stretch>
      </xdr:blipFill>
      <xdr:spPr bwMode="auto">
        <a:xfrm>
          <a:off x="1534244" y="2273150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84</xdr:row>
      <xdr:rowOff>56970</xdr:rowOff>
    </xdr:from>
    <xdr:to>
      <xdr:col>2</xdr:col>
      <xdr:colOff>574160</xdr:colOff>
      <xdr:row>84</xdr:row>
      <xdr:rowOff>360332</xdr:rowOff>
    </xdr:to>
    <xdr:pic>
      <xdr:nvPicPr>
        <xdr:cNvPr id="67" name="Grafik 1812">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12652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85</xdr:row>
      <xdr:rowOff>60564</xdr:rowOff>
    </xdr:from>
    <xdr:to>
      <xdr:col>2</xdr:col>
      <xdr:colOff>574160</xdr:colOff>
      <xdr:row>85</xdr:row>
      <xdr:rowOff>363926</xdr:rowOff>
    </xdr:to>
    <xdr:pic>
      <xdr:nvPicPr>
        <xdr:cNvPr id="68" name="Grafik 1812">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53016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86</xdr:row>
      <xdr:rowOff>56970</xdr:rowOff>
    </xdr:from>
    <xdr:to>
      <xdr:col>2</xdr:col>
      <xdr:colOff>574160</xdr:colOff>
      <xdr:row>86</xdr:row>
      <xdr:rowOff>360332</xdr:rowOff>
    </xdr:to>
    <xdr:pic>
      <xdr:nvPicPr>
        <xdr:cNvPr id="69" name="Grafik 1812">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92662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87</xdr:row>
      <xdr:rowOff>60563</xdr:rowOff>
    </xdr:from>
    <xdr:to>
      <xdr:col>2</xdr:col>
      <xdr:colOff>574160</xdr:colOff>
      <xdr:row>87</xdr:row>
      <xdr:rowOff>363925</xdr:rowOff>
    </xdr:to>
    <xdr:pic>
      <xdr:nvPicPr>
        <xdr:cNvPr id="70" name="Grafik 1812">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43302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88</xdr:row>
      <xdr:rowOff>60563</xdr:rowOff>
    </xdr:from>
    <xdr:to>
      <xdr:col>2</xdr:col>
      <xdr:colOff>574160</xdr:colOff>
      <xdr:row>88</xdr:row>
      <xdr:rowOff>363925</xdr:rowOff>
    </xdr:to>
    <xdr:pic>
      <xdr:nvPicPr>
        <xdr:cNvPr id="71" name="Grafik 1812">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47303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147009</xdr:colOff>
      <xdr:row>90</xdr:row>
      <xdr:rowOff>58408</xdr:rowOff>
    </xdr:from>
    <xdr:to>
      <xdr:col>2</xdr:col>
      <xdr:colOff>604209</xdr:colOff>
      <xdr:row>90</xdr:row>
      <xdr:rowOff>363208</xdr:rowOff>
    </xdr:to>
    <xdr:pic>
      <xdr:nvPicPr>
        <xdr:cNvPr id="72" name="Grafik 1813">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42409" y="2552825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152760</xdr:colOff>
      <xdr:row>99</xdr:row>
      <xdr:rowOff>63260</xdr:rowOff>
    </xdr:from>
    <xdr:to>
      <xdr:col>2</xdr:col>
      <xdr:colOff>598368</xdr:colOff>
      <xdr:row>99</xdr:row>
      <xdr:rowOff>360332</xdr:rowOff>
    </xdr:to>
    <xdr:pic>
      <xdr:nvPicPr>
        <xdr:cNvPr id="73" name="Grafik 102">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448160" y="2713331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221232</xdr:colOff>
      <xdr:row>91</xdr:row>
      <xdr:rowOff>122926</xdr:rowOff>
    </xdr:from>
    <xdr:to>
      <xdr:col>2</xdr:col>
      <xdr:colOff>564132</xdr:colOff>
      <xdr:row>91</xdr:row>
      <xdr:rowOff>303901</xdr:rowOff>
    </xdr:to>
    <xdr:pic>
      <xdr:nvPicPr>
        <xdr:cNvPr id="79" name="Grafik 54">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l="27550" t="29231" r="22266" b="35603"/>
        <a:stretch>
          <a:fillRect/>
        </a:stretch>
      </xdr:blipFill>
      <xdr:spPr bwMode="auto">
        <a:xfrm>
          <a:off x="1516632" y="2599282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182880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150078</xdr:colOff>
      <xdr:row>100</xdr:row>
      <xdr:rowOff>132048</xdr:rowOff>
    </xdr:from>
    <xdr:to>
      <xdr:col>2</xdr:col>
      <xdr:colOff>611572</xdr:colOff>
      <xdr:row>100</xdr:row>
      <xdr:rowOff>480060</xdr:rowOff>
    </xdr:to>
    <xdr:pic>
      <xdr:nvPicPr>
        <xdr:cNvPr id="89" name="Grafik 102">
          <a:extLst>
            <a:ext uri="{FF2B5EF4-FFF2-40B4-BE49-F238E27FC236}">
              <a16:creationId xmlns:a16="http://schemas.microsoft.com/office/drawing/2014/main" id="{00000000-0008-0000-0400-000059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2263" t="15510" r="13074" b="10428"/>
        <a:stretch/>
      </xdr:blipFill>
      <xdr:spPr bwMode="auto">
        <a:xfrm>
          <a:off x="1475958" y="34010568"/>
          <a:ext cx="461494" cy="348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106680</xdr:colOff>
          <xdr:row>14</xdr:row>
          <xdr:rowOff>121920</xdr:rowOff>
        </xdr:from>
        <xdr:to>
          <xdr:col>12</xdr:col>
          <xdr:colOff>152400</xdr:colOff>
          <xdr:row>14</xdr:row>
          <xdr:rowOff>182880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400-00001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193197</xdr:colOff>
      <xdr:row>31</xdr:row>
      <xdr:rowOff>62002</xdr:rowOff>
    </xdr:from>
    <xdr:to>
      <xdr:col>2</xdr:col>
      <xdr:colOff>578329</xdr:colOff>
      <xdr:row>31</xdr:row>
      <xdr:rowOff>363781</xdr:rowOff>
    </xdr:to>
    <xdr:pic>
      <xdr:nvPicPr>
        <xdr:cNvPr id="93" name="Grafik 90">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3716" t="8041" r="15440" b="7491"/>
        <a:stretch>
          <a:fillRect/>
        </a:stretch>
      </xdr:blipFill>
      <xdr:spPr bwMode="auto">
        <a:xfrm>
          <a:off x="1488597" y="552935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198120</xdr:colOff>
          <xdr:row>68</xdr:row>
          <xdr:rowOff>68580</xdr:rowOff>
        </xdr:from>
        <xdr:to>
          <xdr:col>2</xdr:col>
          <xdr:colOff>609600</xdr:colOff>
          <xdr:row>68</xdr:row>
          <xdr:rowOff>373380</xdr:rowOff>
        </xdr:to>
        <xdr:sp macro="" textlink="">
          <xdr:nvSpPr>
            <xdr:cNvPr id="15388" name="Object 28" hidden="1">
              <a:extLst>
                <a:ext uri="{63B3BB69-23CF-44E3-9099-C40C66FF867C}">
                  <a14:compatExt spid="_x0000_s15388"/>
                </a:ext>
                <a:ext uri="{FF2B5EF4-FFF2-40B4-BE49-F238E27FC236}">
                  <a16:creationId xmlns:a16="http://schemas.microsoft.com/office/drawing/2014/main" id="{00000000-0008-0000-0400-00001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106137</xdr:colOff>
      <xdr:row>76</xdr:row>
      <xdr:rowOff>63955</xdr:rowOff>
    </xdr:from>
    <xdr:to>
      <xdr:col>2</xdr:col>
      <xdr:colOff>661308</xdr:colOff>
      <xdr:row>76</xdr:row>
      <xdr:rowOff>362893</xdr:rowOff>
    </xdr:to>
    <xdr:pic>
      <xdr:nvPicPr>
        <xdr:cNvPr id="96" name="Grafik 180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1279" t="15874" r="5510" b="17451"/>
        <a:stretch>
          <a:fillRect/>
        </a:stretch>
      </xdr:blipFill>
      <xdr:spPr bwMode="auto">
        <a:xfrm>
          <a:off x="1401537" y="19533055"/>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274320</xdr:colOff>
          <xdr:row>12</xdr:row>
          <xdr:rowOff>182880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175764</xdr:colOff>
      <xdr:row>54</xdr:row>
      <xdr:rowOff>62002</xdr:rowOff>
    </xdr:from>
    <xdr:to>
      <xdr:col>2</xdr:col>
      <xdr:colOff>585339</xdr:colOff>
      <xdr:row>54</xdr:row>
      <xdr:rowOff>357277</xdr:rowOff>
    </xdr:to>
    <xdr:pic>
      <xdr:nvPicPr>
        <xdr:cNvPr id="82" name="Grafik 46">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313030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57</xdr:row>
      <xdr:rowOff>32133</xdr:rowOff>
    </xdr:from>
    <xdr:to>
      <xdr:col>2</xdr:col>
      <xdr:colOff>645842</xdr:colOff>
      <xdr:row>57</xdr:row>
      <xdr:rowOff>394938</xdr:rowOff>
    </xdr:to>
    <xdr:pic>
      <xdr:nvPicPr>
        <xdr:cNvPr id="84" name="Grafik 2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56</xdr:row>
      <xdr:rowOff>32133</xdr:rowOff>
    </xdr:from>
    <xdr:to>
      <xdr:col>2</xdr:col>
      <xdr:colOff>645842</xdr:colOff>
      <xdr:row>56</xdr:row>
      <xdr:rowOff>394938</xdr:rowOff>
    </xdr:to>
    <xdr:pic>
      <xdr:nvPicPr>
        <xdr:cNvPr id="86" name="Grafik 23">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87" name="Grafik 24">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50140</xdr:rowOff>
    </xdr:from>
    <xdr:to>
      <xdr:col>2</xdr:col>
      <xdr:colOff>597556</xdr:colOff>
      <xdr:row>62</xdr:row>
      <xdr:rowOff>351568</xdr:rowOff>
    </xdr:to>
    <xdr:pic>
      <xdr:nvPicPr>
        <xdr:cNvPr id="88" name="Grafik 24">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65</xdr:row>
      <xdr:rowOff>52478</xdr:rowOff>
    </xdr:from>
    <xdr:to>
      <xdr:col>2</xdr:col>
      <xdr:colOff>588516</xdr:colOff>
      <xdr:row>65</xdr:row>
      <xdr:rowOff>347214</xdr:rowOff>
    </xdr:to>
    <xdr:pic>
      <xdr:nvPicPr>
        <xdr:cNvPr id="90" name="Grafik 25">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64</xdr:row>
      <xdr:rowOff>52478</xdr:rowOff>
    </xdr:from>
    <xdr:to>
      <xdr:col>2</xdr:col>
      <xdr:colOff>588516</xdr:colOff>
      <xdr:row>64</xdr:row>
      <xdr:rowOff>347214</xdr:rowOff>
    </xdr:to>
    <xdr:pic>
      <xdr:nvPicPr>
        <xdr:cNvPr id="91" name="Grafik 25">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96</xdr:row>
      <xdr:rowOff>63027</xdr:rowOff>
    </xdr:from>
    <xdr:to>
      <xdr:col>2</xdr:col>
      <xdr:colOff>607876</xdr:colOff>
      <xdr:row>96</xdr:row>
      <xdr:rowOff>337922</xdr:rowOff>
    </xdr:to>
    <xdr:pic>
      <xdr:nvPicPr>
        <xdr:cNvPr id="92" name="Grafik 68">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95</xdr:row>
      <xdr:rowOff>86183</xdr:rowOff>
    </xdr:from>
    <xdr:to>
      <xdr:col>2</xdr:col>
      <xdr:colOff>637189</xdr:colOff>
      <xdr:row>95</xdr:row>
      <xdr:rowOff>357629</xdr:rowOff>
    </xdr:to>
    <xdr:pic>
      <xdr:nvPicPr>
        <xdr:cNvPr id="95" name="Grafik 68">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69</xdr:row>
      <xdr:rowOff>34380</xdr:rowOff>
    </xdr:from>
    <xdr:to>
      <xdr:col>2</xdr:col>
      <xdr:colOff>621565</xdr:colOff>
      <xdr:row>69</xdr:row>
      <xdr:rowOff>380999</xdr:rowOff>
    </xdr:to>
    <xdr:pic>
      <xdr:nvPicPr>
        <xdr:cNvPr id="97" name="Grafik 1801">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92</xdr:row>
      <xdr:rowOff>71438</xdr:rowOff>
    </xdr:from>
    <xdr:to>
      <xdr:col>2</xdr:col>
      <xdr:colOff>565715</xdr:colOff>
      <xdr:row>92</xdr:row>
      <xdr:rowOff>330653</xdr:rowOff>
    </xdr:to>
    <xdr:pic>
      <xdr:nvPicPr>
        <xdr:cNvPr id="98" name="Grafik 54">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72293" y="2954178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341779</xdr:colOff>
      <xdr:row>5</xdr:row>
      <xdr:rowOff>141547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8383" t="5950" r="8283" b="11209"/>
        <a:stretch/>
      </xdr:blipFill>
      <xdr:spPr bwMode="auto">
        <a:xfrm>
          <a:off x="2084294" y="0"/>
          <a:ext cx="1977838" cy="147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94</xdr:row>
      <xdr:rowOff>18316</xdr:rowOff>
    </xdr:from>
    <xdr:to>
      <xdr:col>2</xdr:col>
      <xdr:colOff>532488</xdr:colOff>
      <xdr:row>94</xdr:row>
      <xdr:rowOff>373673</xdr:rowOff>
    </xdr:to>
    <xdr:pic>
      <xdr:nvPicPr>
        <xdr:cNvPr id="101" name="Grafik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42"/>
        <a:stretch>
          <a:fillRect/>
        </a:stretch>
      </xdr:blipFill>
      <xdr:spPr>
        <a:xfrm>
          <a:off x="1665407" y="31955641"/>
          <a:ext cx="257731" cy="355357"/>
        </a:xfrm>
        <a:prstGeom prst="rect">
          <a:avLst/>
        </a:prstGeom>
      </xdr:spPr>
    </xdr:pic>
    <xdr:clientData/>
  </xdr:twoCellAnchor>
  <xdr:twoCellAnchor>
    <xdr:from>
      <xdr:col>2</xdr:col>
      <xdr:colOff>324580</xdr:colOff>
      <xdr:row>93</xdr:row>
      <xdr:rowOff>19366</xdr:rowOff>
    </xdr:from>
    <xdr:to>
      <xdr:col>2</xdr:col>
      <xdr:colOff>471118</xdr:colOff>
      <xdr:row>93</xdr:row>
      <xdr:rowOff>391991</xdr:rowOff>
    </xdr:to>
    <xdr:pic>
      <xdr:nvPicPr>
        <xdr:cNvPr id="102" name="Grafik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43"/>
        <a:stretch>
          <a:fillRect/>
        </a:stretch>
      </xdr:blipFill>
      <xdr:spPr>
        <a:xfrm>
          <a:off x="1619980" y="30451741"/>
          <a:ext cx="146538" cy="372625"/>
        </a:xfrm>
        <a:prstGeom prst="rect">
          <a:avLst/>
        </a:prstGeom>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44"/>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44"/>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89</xdr:row>
      <xdr:rowOff>33340</xdr:rowOff>
    </xdr:from>
    <xdr:to>
      <xdr:col>2</xdr:col>
      <xdr:colOff>686247</xdr:colOff>
      <xdr:row>89</xdr:row>
      <xdr:rowOff>370378</xdr:rowOff>
    </xdr:to>
    <xdr:pic>
      <xdr:nvPicPr>
        <xdr:cNvPr id="106" name="Grafik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46"/>
        <a:stretch>
          <a:fillRect/>
        </a:stretch>
      </xdr:blipFill>
      <xdr:spPr>
        <a:xfrm>
          <a:off x="1500188" y="29946603"/>
          <a:ext cx="576709" cy="337038"/>
        </a:xfrm>
        <a:prstGeom prst="rect">
          <a:avLst/>
        </a:prstGeom>
      </xdr:spPr>
    </xdr:pic>
    <xdr:clientData/>
  </xdr:twoCellAnchor>
  <xdr:twoCellAnchor>
    <xdr:from>
      <xdr:col>2</xdr:col>
      <xdr:colOff>196745</xdr:colOff>
      <xdr:row>34</xdr:row>
      <xdr:rowOff>47624</xdr:rowOff>
    </xdr:from>
    <xdr:to>
      <xdr:col>2</xdr:col>
      <xdr:colOff>564911</xdr:colOff>
      <xdr:row>34</xdr:row>
      <xdr:rowOff>354805</xdr:rowOff>
    </xdr:to>
    <xdr:pic>
      <xdr:nvPicPr>
        <xdr:cNvPr id="2" name="Grafik 10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44</xdr:row>
      <xdr:rowOff>47625</xdr:rowOff>
    </xdr:from>
    <xdr:to>
      <xdr:col>2</xdr:col>
      <xdr:colOff>599154</xdr:colOff>
      <xdr:row>44</xdr:row>
      <xdr:rowOff>361950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8"/>
        <a:stretch>
          <a:fillRect/>
        </a:stretch>
      </xdr:blipFill>
      <xdr:spPr>
        <a:xfrm>
          <a:off x="1438276" y="13277850"/>
          <a:ext cx="456278" cy="314325"/>
        </a:xfrm>
        <a:prstGeom prst="rect">
          <a:avLst/>
        </a:prstGeom>
      </xdr:spPr>
    </xdr:pic>
    <xdr:clientData/>
  </xdr:twoCellAnchor>
  <xdr:twoCellAnchor>
    <xdr:from>
      <xdr:col>2</xdr:col>
      <xdr:colOff>142876</xdr:colOff>
      <xdr:row>45</xdr:row>
      <xdr:rowOff>47625</xdr:rowOff>
    </xdr:from>
    <xdr:to>
      <xdr:col>2</xdr:col>
      <xdr:colOff>599154</xdr:colOff>
      <xdr:row>45</xdr:row>
      <xdr:rowOff>361950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8"/>
        <a:stretch>
          <a:fillRect/>
        </a:stretch>
      </xdr:blipFill>
      <xdr:spPr>
        <a:xfrm>
          <a:off x="1438276" y="13677900"/>
          <a:ext cx="456278" cy="314325"/>
        </a:xfrm>
        <a:prstGeom prst="rect">
          <a:avLst/>
        </a:prstGeom>
      </xdr:spPr>
    </xdr:pic>
    <xdr:clientData/>
  </xdr:twoCellAnchor>
  <xdr:twoCellAnchor>
    <xdr:from>
      <xdr:col>2</xdr:col>
      <xdr:colOff>142876</xdr:colOff>
      <xdr:row>46</xdr:row>
      <xdr:rowOff>47625</xdr:rowOff>
    </xdr:from>
    <xdr:to>
      <xdr:col>2</xdr:col>
      <xdr:colOff>599154</xdr:colOff>
      <xdr:row>46</xdr:row>
      <xdr:rowOff>361950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8"/>
        <a:stretch>
          <a:fillRect/>
        </a:stretch>
      </xdr:blipFill>
      <xdr:spPr>
        <a:xfrm>
          <a:off x="1438276" y="14077950"/>
          <a:ext cx="456278" cy="314325"/>
        </a:xfrm>
        <a:prstGeom prst="rect">
          <a:avLst/>
        </a:prstGeom>
      </xdr:spPr>
    </xdr:pic>
    <xdr:clientData/>
  </xdr:twoCellAnchor>
  <xdr:twoCellAnchor>
    <xdr:from>
      <xdr:col>2</xdr:col>
      <xdr:colOff>161925</xdr:colOff>
      <xdr:row>47</xdr:row>
      <xdr:rowOff>38100</xdr:rowOff>
    </xdr:from>
    <xdr:to>
      <xdr:col>2</xdr:col>
      <xdr:colOff>598846</xdr:colOff>
      <xdr:row>47</xdr:row>
      <xdr:rowOff>381000</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9"/>
        <a:stretch>
          <a:fillRect/>
        </a:stretch>
      </xdr:blipFill>
      <xdr:spPr>
        <a:xfrm>
          <a:off x="1457325" y="14468475"/>
          <a:ext cx="436921" cy="342900"/>
        </a:xfrm>
        <a:prstGeom prst="rect">
          <a:avLst/>
        </a:prstGeom>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0"/>
        <a:stretch>
          <a:fillRect/>
        </a:stretch>
      </xdr:blipFill>
      <xdr:spPr>
        <a:xfrm>
          <a:off x="1381126" y="13649326"/>
          <a:ext cx="603646" cy="371474"/>
        </a:xfrm>
        <a:prstGeom prst="rect">
          <a:avLst/>
        </a:prstGeom>
      </xdr:spPr>
    </xdr:pic>
    <xdr:clientData/>
  </xdr:twoCellAnchor>
  <xdr:twoCellAnchor>
    <xdr:from>
      <xdr:col>2</xdr:col>
      <xdr:colOff>171450</xdr:colOff>
      <xdr:row>78</xdr:row>
      <xdr:rowOff>13098</xdr:rowOff>
    </xdr:from>
    <xdr:to>
      <xdr:col>2</xdr:col>
      <xdr:colOff>581519</xdr:colOff>
      <xdr:row>78</xdr:row>
      <xdr:rowOff>384572</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1"/>
        <a:stretch>
          <a:fillRect/>
        </a:stretch>
      </xdr:blipFill>
      <xdr:spPr>
        <a:xfrm>
          <a:off x="1466850" y="26845023"/>
          <a:ext cx="410069" cy="371474"/>
        </a:xfrm>
        <a:prstGeom prst="rect">
          <a:avLst/>
        </a:prstGeom>
      </xdr:spPr>
    </xdr:pic>
    <xdr:clientData/>
  </xdr:twoCellAnchor>
  <xdr:twoCellAnchor>
    <xdr:from>
      <xdr:col>2</xdr:col>
      <xdr:colOff>178595</xdr:colOff>
      <xdr:row>82</xdr:row>
      <xdr:rowOff>23812</xdr:rowOff>
    </xdr:from>
    <xdr:to>
      <xdr:col>2</xdr:col>
      <xdr:colOff>550436</xdr:colOff>
      <xdr:row>82</xdr:row>
      <xdr:rowOff>369093</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2"/>
        <a:stretch>
          <a:fillRect/>
        </a:stretch>
      </xdr:blipFill>
      <xdr:spPr>
        <a:xfrm>
          <a:off x="1473995" y="28455937"/>
          <a:ext cx="371841" cy="345281"/>
        </a:xfrm>
        <a:prstGeom prst="rect">
          <a:avLst/>
        </a:prstGeom>
      </xdr:spPr>
    </xdr:pic>
    <xdr:clientData/>
  </xdr:twoCellAnchor>
  <xdr:twoCellAnchor>
    <xdr:from>
      <xdr:col>2</xdr:col>
      <xdr:colOff>185945</xdr:colOff>
      <xdr:row>33</xdr:row>
      <xdr:rowOff>52793</xdr:rowOff>
    </xdr:from>
    <xdr:to>
      <xdr:col>2</xdr:col>
      <xdr:colOff>584993</xdr:colOff>
      <xdr:row>33</xdr:row>
      <xdr:rowOff>347663</xdr:rowOff>
    </xdr:to>
    <xdr:pic>
      <xdr:nvPicPr>
        <xdr:cNvPr id="15" name="Grafik 2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97</xdr:row>
      <xdr:rowOff>37425</xdr:rowOff>
    </xdr:from>
    <xdr:to>
      <xdr:col>2</xdr:col>
      <xdr:colOff>632460</xdr:colOff>
      <xdr:row>97</xdr:row>
      <xdr:rowOff>374055</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98</xdr:row>
      <xdr:rowOff>45720</xdr:rowOff>
    </xdr:from>
    <xdr:to>
      <xdr:col>2</xdr:col>
      <xdr:colOff>627423</xdr:colOff>
      <xdr:row>98</xdr:row>
      <xdr:rowOff>381000</xdr:rowOff>
    </xdr:to>
    <xdr:pic>
      <xdr:nvPicPr>
        <xdr:cNvPr id="8" name="Grafik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34819" name="Group Box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196217</xdr:colOff>
      <xdr:row>34</xdr:row>
      <xdr:rowOff>104878</xdr:rowOff>
    </xdr:from>
    <xdr:to>
      <xdr:col>2</xdr:col>
      <xdr:colOff>551353</xdr:colOff>
      <xdr:row>34</xdr:row>
      <xdr:rowOff>294835</xdr:rowOff>
    </xdr:to>
    <xdr:pic>
      <xdr:nvPicPr>
        <xdr:cNvPr id="6" name="Grafik 2">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7420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181265</xdr:colOff>
      <xdr:row>37</xdr:row>
      <xdr:rowOff>53975</xdr:rowOff>
    </xdr:from>
    <xdr:to>
      <xdr:col>2</xdr:col>
      <xdr:colOff>625370</xdr:colOff>
      <xdr:row>37</xdr:row>
      <xdr:rowOff>350045</xdr:rowOff>
    </xdr:to>
    <xdr:pic>
      <xdr:nvPicPr>
        <xdr:cNvPr id="9" name="Grafik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66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116996</xdr:colOff>
      <xdr:row>38</xdr:row>
      <xdr:rowOff>70450</xdr:rowOff>
    </xdr:from>
    <xdr:to>
      <xdr:col>2</xdr:col>
      <xdr:colOff>664584</xdr:colOff>
      <xdr:row>38</xdr:row>
      <xdr:rowOff>332836</xdr:rowOff>
    </xdr:to>
    <xdr:pic>
      <xdr:nvPicPr>
        <xdr:cNvPr id="28" name="Grafik 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41239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217639</xdr:colOff>
      <xdr:row>39</xdr:row>
      <xdr:rowOff>48884</xdr:rowOff>
    </xdr:from>
    <xdr:to>
      <xdr:col>2</xdr:col>
      <xdr:colOff>544723</xdr:colOff>
      <xdr:row>39</xdr:row>
      <xdr:rowOff>345541</xdr:rowOff>
    </xdr:to>
    <xdr:pic>
      <xdr:nvPicPr>
        <xdr:cNvPr id="29" name="Grafik 1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51303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145750</xdr:colOff>
      <xdr:row>40</xdr:row>
      <xdr:rowOff>48882</xdr:rowOff>
    </xdr:from>
    <xdr:to>
      <xdr:col>2</xdr:col>
      <xdr:colOff>612068</xdr:colOff>
      <xdr:row>40</xdr:row>
      <xdr:rowOff>354401</xdr:rowOff>
    </xdr:to>
    <xdr:pic>
      <xdr:nvPicPr>
        <xdr:cNvPr id="30" name="Grafik 12">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4115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190818</xdr:colOff>
      <xdr:row>41</xdr:row>
      <xdr:rowOff>52477</xdr:rowOff>
    </xdr:from>
    <xdr:to>
      <xdr:col>2</xdr:col>
      <xdr:colOff>616609</xdr:colOff>
      <xdr:row>41</xdr:row>
      <xdr:rowOff>354402</xdr:rowOff>
    </xdr:to>
    <xdr:pic>
      <xdr:nvPicPr>
        <xdr:cNvPr id="31" name="Grafik 13">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8621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145234</xdr:colOff>
      <xdr:row>43</xdr:row>
      <xdr:rowOff>48885</xdr:rowOff>
    </xdr:from>
    <xdr:to>
      <xdr:col>2</xdr:col>
      <xdr:colOff>630985</xdr:colOff>
      <xdr:row>43</xdr:row>
      <xdr:rowOff>357999</xdr:rowOff>
    </xdr:to>
    <xdr:pic>
      <xdr:nvPicPr>
        <xdr:cNvPr id="33" name="Grafik 15">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4063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171857</xdr:colOff>
      <xdr:row>45</xdr:row>
      <xdr:rowOff>45287</xdr:rowOff>
    </xdr:from>
    <xdr:to>
      <xdr:col>2</xdr:col>
      <xdr:colOff>627392</xdr:colOff>
      <xdr:row>45</xdr:row>
      <xdr:rowOff>354400</xdr:rowOff>
    </xdr:to>
    <xdr:pic>
      <xdr:nvPicPr>
        <xdr:cNvPr id="34" name="Grafik 16">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6725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145234</xdr:colOff>
      <xdr:row>44</xdr:row>
      <xdr:rowOff>45290</xdr:rowOff>
    </xdr:from>
    <xdr:to>
      <xdr:col>2</xdr:col>
      <xdr:colOff>630985</xdr:colOff>
      <xdr:row>44</xdr:row>
      <xdr:rowOff>354404</xdr:rowOff>
    </xdr:to>
    <xdr:pic>
      <xdr:nvPicPr>
        <xdr:cNvPr id="36" name="Grafik 1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4063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60</xdr:row>
      <xdr:rowOff>53736</xdr:rowOff>
    </xdr:from>
    <xdr:to>
      <xdr:col>2</xdr:col>
      <xdr:colOff>616606</xdr:colOff>
      <xdr:row>60</xdr:row>
      <xdr:rowOff>355164</xdr:rowOff>
    </xdr:to>
    <xdr:pic>
      <xdr:nvPicPr>
        <xdr:cNvPr id="45" name="Grafik 2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47222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269756</xdr:colOff>
      <xdr:row>57</xdr:row>
      <xdr:rowOff>51008</xdr:rowOff>
    </xdr:from>
    <xdr:to>
      <xdr:col>2</xdr:col>
      <xdr:colOff>533940</xdr:colOff>
      <xdr:row>57</xdr:row>
      <xdr:rowOff>347214</xdr:rowOff>
    </xdr:to>
    <xdr:pic>
      <xdr:nvPicPr>
        <xdr:cNvPr id="46" name="Grafik 69">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65156" y="1391940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61</xdr:row>
      <xdr:rowOff>50141</xdr:rowOff>
    </xdr:from>
    <xdr:to>
      <xdr:col>2</xdr:col>
      <xdr:colOff>616606</xdr:colOff>
      <xdr:row>61</xdr:row>
      <xdr:rowOff>351569</xdr:rowOff>
    </xdr:to>
    <xdr:pic>
      <xdr:nvPicPr>
        <xdr:cNvPr id="47" name="Grafik 24">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1186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62</xdr:row>
      <xdr:rowOff>53735</xdr:rowOff>
    </xdr:from>
    <xdr:to>
      <xdr:col>2</xdr:col>
      <xdr:colOff>616606</xdr:colOff>
      <xdr:row>62</xdr:row>
      <xdr:rowOff>355163</xdr:rowOff>
    </xdr:to>
    <xdr:pic>
      <xdr:nvPicPr>
        <xdr:cNvPr id="48" name="Grafik 24">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5223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63</xdr:row>
      <xdr:rowOff>50140</xdr:rowOff>
    </xdr:from>
    <xdr:to>
      <xdr:col>2</xdr:col>
      <xdr:colOff>616606</xdr:colOff>
      <xdr:row>63</xdr:row>
      <xdr:rowOff>351568</xdr:rowOff>
    </xdr:to>
    <xdr:pic>
      <xdr:nvPicPr>
        <xdr:cNvPr id="49" name="Grafik 24">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9187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227879</xdr:colOff>
      <xdr:row>69</xdr:row>
      <xdr:rowOff>53736</xdr:rowOff>
    </xdr:from>
    <xdr:to>
      <xdr:col>2</xdr:col>
      <xdr:colOff>573124</xdr:colOff>
      <xdr:row>69</xdr:row>
      <xdr:rowOff>350807</xdr:rowOff>
    </xdr:to>
    <xdr:pic>
      <xdr:nvPicPr>
        <xdr:cNvPr id="51" name="Grafik 180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23279" y="1712253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168573</xdr:colOff>
      <xdr:row>72</xdr:row>
      <xdr:rowOff>47805</xdr:rowOff>
    </xdr:from>
    <xdr:to>
      <xdr:col>2</xdr:col>
      <xdr:colOff>588127</xdr:colOff>
      <xdr:row>72</xdr:row>
      <xdr:rowOff>354402</xdr:rowOff>
    </xdr:to>
    <xdr:pic>
      <xdr:nvPicPr>
        <xdr:cNvPr id="52" name="Grafik 1802">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63973" y="1791670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147546</xdr:colOff>
      <xdr:row>73</xdr:row>
      <xdr:rowOff>57330</xdr:rowOff>
    </xdr:from>
    <xdr:to>
      <xdr:col>2</xdr:col>
      <xdr:colOff>648967</xdr:colOff>
      <xdr:row>73</xdr:row>
      <xdr:rowOff>347214</xdr:rowOff>
    </xdr:to>
    <xdr:pic>
      <xdr:nvPicPr>
        <xdr:cNvPr id="53" name="Grafik 86">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42946" y="1832628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239203</xdr:colOff>
      <xdr:row>68</xdr:row>
      <xdr:rowOff>50139</xdr:rowOff>
    </xdr:from>
    <xdr:to>
      <xdr:col>2</xdr:col>
      <xdr:colOff>543466</xdr:colOff>
      <xdr:row>68</xdr:row>
      <xdr:rowOff>354402</xdr:rowOff>
    </xdr:to>
    <xdr:pic>
      <xdr:nvPicPr>
        <xdr:cNvPr id="54" name="Grafik 3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34603" y="1671888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289522</xdr:colOff>
      <xdr:row>74</xdr:row>
      <xdr:rowOff>48883</xdr:rowOff>
    </xdr:from>
    <xdr:to>
      <xdr:col>2</xdr:col>
      <xdr:colOff>496101</xdr:colOff>
      <xdr:row>74</xdr:row>
      <xdr:rowOff>350807</xdr:rowOff>
    </xdr:to>
    <xdr:pic>
      <xdr:nvPicPr>
        <xdr:cNvPr id="55" name="Grafik 1803">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84922" y="1871788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289522</xdr:colOff>
      <xdr:row>75</xdr:row>
      <xdr:rowOff>52478</xdr:rowOff>
    </xdr:from>
    <xdr:to>
      <xdr:col>2</xdr:col>
      <xdr:colOff>496101</xdr:colOff>
      <xdr:row>75</xdr:row>
      <xdr:rowOff>354402</xdr:rowOff>
    </xdr:to>
    <xdr:pic>
      <xdr:nvPicPr>
        <xdr:cNvPr id="56" name="Grafik 1803">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84922" y="1912152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152040</xdr:colOff>
      <xdr:row>76</xdr:row>
      <xdr:rowOff>52478</xdr:rowOff>
    </xdr:from>
    <xdr:to>
      <xdr:col>2</xdr:col>
      <xdr:colOff>619692</xdr:colOff>
      <xdr:row>76</xdr:row>
      <xdr:rowOff>350808</xdr:rowOff>
    </xdr:to>
    <xdr:pic>
      <xdr:nvPicPr>
        <xdr:cNvPr id="57" name="Grafik 1804">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47440" y="1952157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255739</xdr:colOff>
      <xdr:row>79</xdr:row>
      <xdr:rowOff>50143</xdr:rowOff>
    </xdr:from>
    <xdr:to>
      <xdr:col>2</xdr:col>
      <xdr:colOff>515774</xdr:colOff>
      <xdr:row>79</xdr:row>
      <xdr:rowOff>350809</xdr:rowOff>
    </xdr:to>
    <xdr:pic>
      <xdr:nvPicPr>
        <xdr:cNvPr id="61" name="Grafik 1809">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51139" y="2191954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190680</xdr:colOff>
      <xdr:row>81</xdr:row>
      <xdr:rowOff>49961</xdr:rowOff>
    </xdr:from>
    <xdr:to>
      <xdr:col>2</xdr:col>
      <xdr:colOff>611525</xdr:colOff>
      <xdr:row>81</xdr:row>
      <xdr:rowOff>354402</xdr:rowOff>
    </xdr:to>
    <xdr:pic>
      <xdr:nvPicPr>
        <xdr:cNvPr id="62" name="Grafik 1810">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86080" y="2231941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272634</xdr:colOff>
      <xdr:row>82</xdr:row>
      <xdr:rowOff>48883</xdr:rowOff>
    </xdr:from>
    <xdr:to>
      <xdr:col>2</xdr:col>
      <xdr:colOff>549399</xdr:colOff>
      <xdr:row>82</xdr:row>
      <xdr:rowOff>350808</xdr:rowOff>
    </xdr:to>
    <xdr:pic>
      <xdr:nvPicPr>
        <xdr:cNvPr id="64" name="Grafik 1811">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68034" y="2271838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231296</xdr:colOff>
      <xdr:row>83</xdr:row>
      <xdr:rowOff>52476</xdr:rowOff>
    </xdr:from>
    <xdr:to>
      <xdr:col>2</xdr:col>
      <xdr:colOff>568743</xdr:colOff>
      <xdr:row>83</xdr:row>
      <xdr:rowOff>354402</xdr:rowOff>
    </xdr:to>
    <xdr:pic>
      <xdr:nvPicPr>
        <xdr:cNvPr id="65" name="Grafik 1811">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26696" y="2312202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248369</xdr:colOff>
      <xdr:row>85</xdr:row>
      <xdr:rowOff>52477</xdr:rowOff>
    </xdr:from>
    <xdr:to>
      <xdr:col>2</xdr:col>
      <xdr:colOff>522511</xdr:colOff>
      <xdr:row>85</xdr:row>
      <xdr:rowOff>350808</xdr:rowOff>
    </xdr:to>
    <xdr:pic>
      <xdr:nvPicPr>
        <xdr:cNvPr id="66" name="Grafik 1811">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43769" y="2352207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86</xdr:row>
      <xdr:rowOff>47445</xdr:rowOff>
    </xdr:from>
    <xdr:to>
      <xdr:col>2</xdr:col>
      <xdr:colOff>583685</xdr:colOff>
      <xdr:row>86</xdr:row>
      <xdr:rowOff>350807</xdr:rowOff>
    </xdr:to>
    <xdr:pic>
      <xdr:nvPicPr>
        <xdr:cNvPr id="67" name="Grafik 1812">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39170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87</xdr:row>
      <xdr:rowOff>51039</xdr:rowOff>
    </xdr:from>
    <xdr:to>
      <xdr:col>2</xdr:col>
      <xdr:colOff>583685</xdr:colOff>
      <xdr:row>87</xdr:row>
      <xdr:rowOff>354401</xdr:rowOff>
    </xdr:to>
    <xdr:pic>
      <xdr:nvPicPr>
        <xdr:cNvPr id="68" name="Grafik 1812">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432073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88</xdr:row>
      <xdr:rowOff>47445</xdr:rowOff>
    </xdr:from>
    <xdr:to>
      <xdr:col>2</xdr:col>
      <xdr:colOff>583685</xdr:colOff>
      <xdr:row>88</xdr:row>
      <xdr:rowOff>350807</xdr:rowOff>
    </xdr:to>
    <xdr:pic>
      <xdr:nvPicPr>
        <xdr:cNvPr id="69" name="Grafik 1812">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47171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89</xdr:row>
      <xdr:rowOff>51038</xdr:rowOff>
    </xdr:from>
    <xdr:to>
      <xdr:col>2</xdr:col>
      <xdr:colOff>583685</xdr:colOff>
      <xdr:row>89</xdr:row>
      <xdr:rowOff>354400</xdr:rowOff>
    </xdr:to>
    <xdr:pic>
      <xdr:nvPicPr>
        <xdr:cNvPr id="70" name="Grafik 1812">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51208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90</xdr:row>
      <xdr:rowOff>51038</xdr:rowOff>
    </xdr:from>
    <xdr:to>
      <xdr:col>2</xdr:col>
      <xdr:colOff>583685</xdr:colOff>
      <xdr:row>90</xdr:row>
      <xdr:rowOff>354400</xdr:rowOff>
    </xdr:to>
    <xdr:pic>
      <xdr:nvPicPr>
        <xdr:cNvPr id="71" name="Grafik 1812">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55208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156534</xdr:colOff>
      <xdr:row>92</xdr:row>
      <xdr:rowOff>48883</xdr:rowOff>
    </xdr:from>
    <xdr:to>
      <xdr:col>2</xdr:col>
      <xdr:colOff>613734</xdr:colOff>
      <xdr:row>92</xdr:row>
      <xdr:rowOff>353683</xdr:rowOff>
    </xdr:to>
    <xdr:pic>
      <xdr:nvPicPr>
        <xdr:cNvPr id="72" name="Grafik 1813">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51934" y="2631883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162285</xdr:colOff>
      <xdr:row>101</xdr:row>
      <xdr:rowOff>53735</xdr:rowOff>
    </xdr:from>
    <xdr:to>
      <xdr:col>2</xdr:col>
      <xdr:colOff>607893</xdr:colOff>
      <xdr:row>101</xdr:row>
      <xdr:rowOff>350807</xdr:rowOff>
    </xdr:to>
    <xdr:pic>
      <xdr:nvPicPr>
        <xdr:cNvPr id="73" name="Grafik 102">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57685" y="2792388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159603</xdr:colOff>
      <xdr:row>102</xdr:row>
      <xdr:rowOff>147288</xdr:rowOff>
    </xdr:from>
    <xdr:to>
      <xdr:col>2</xdr:col>
      <xdr:colOff>621097</xdr:colOff>
      <xdr:row>102</xdr:row>
      <xdr:rowOff>452470</xdr:rowOff>
    </xdr:to>
    <xdr:pic>
      <xdr:nvPicPr>
        <xdr:cNvPr id="89" name="Grafik 102">
          <a:extLst>
            <a:ext uri="{FF2B5EF4-FFF2-40B4-BE49-F238E27FC236}">
              <a16:creationId xmlns:a16="http://schemas.microsoft.com/office/drawing/2014/main" id="{00000000-0008-0000-05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55003" y="284174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83820</xdr:colOff>
          <xdr:row>14</xdr:row>
          <xdr:rowOff>160020</xdr:rowOff>
        </xdr:from>
        <xdr:to>
          <xdr:col>12</xdr:col>
          <xdr:colOff>144780</xdr:colOff>
          <xdr:row>15</xdr:row>
          <xdr:rowOff>30480</xdr:rowOff>
        </xdr:to>
        <xdr:sp macro="" textlink="">
          <xdr:nvSpPr>
            <xdr:cNvPr id="34843" name="Option Button 27" hidden="1">
              <a:extLst>
                <a:ext uri="{63B3BB69-23CF-44E3-9099-C40C66FF867C}">
                  <a14:compatExt spid="_x0000_s34843"/>
                </a:ext>
                <a:ext uri="{FF2B5EF4-FFF2-40B4-BE49-F238E27FC236}">
                  <a16:creationId xmlns:a16="http://schemas.microsoft.com/office/drawing/2014/main" id="{00000000-0008-0000-0500-00001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202722</xdr:colOff>
      <xdr:row>33</xdr:row>
      <xdr:rowOff>52477</xdr:rowOff>
    </xdr:from>
    <xdr:to>
      <xdr:col>2</xdr:col>
      <xdr:colOff>587854</xdr:colOff>
      <xdr:row>33</xdr:row>
      <xdr:rowOff>354256</xdr:rowOff>
    </xdr:to>
    <xdr:pic>
      <xdr:nvPicPr>
        <xdr:cNvPr id="93" name="Grafik 90">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9812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175764</xdr:colOff>
      <xdr:row>54</xdr:row>
      <xdr:rowOff>62003</xdr:rowOff>
    </xdr:from>
    <xdr:to>
      <xdr:col>2</xdr:col>
      <xdr:colOff>585339</xdr:colOff>
      <xdr:row>54</xdr:row>
      <xdr:rowOff>357278</xdr:rowOff>
    </xdr:to>
    <xdr:pic>
      <xdr:nvPicPr>
        <xdr:cNvPr id="88" name="Grafik 46">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2730253"/>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55</xdr:row>
      <xdr:rowOff>62002</xdr:rowOff>
    </xdr:from>
    <xdr:to>
      <xdr:col>2</xdr:col>
      <xdr:colOff>585339</xdr:colOff>
      <xdr:row>55</xdr:row>
      <xdr:rowOff>357277</xdr:rowOff>
    </xdr:to>
    <xdr:pic>
      <xdr:nvPicPr>
        <xdr:cNvPr id="90" name="Grafik 46">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313030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56</xdr:row>
      <xdr:rowOff>62002</xdr:rowOff>
    </xdr:from>
    <xdr:to>
      <xdr:col>2</xdr:col>
      <xdr:colOff>585339</xdr:colOff>
      <xdr:row>56</xdr:row>
      <xdr:rowOff>357277</xdr:rowOff>
    </xdr:to>
    <xdr:pic>
      <xdr:nvPicPr>
        <xdr:cNvPr id="91" name="Grafik 46">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353035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2" name="Grafik 23">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397035" y="163008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99" name="Grafik 23">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100" name="Grafik 24">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7191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101" name="Grafik 24">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102" name="Grafik 25">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490935" y="195215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103" name="Grafik 25">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104" name="Grafik 68">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105" name="Grafik 68">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106" name="Grafik 1801">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54806" y="195034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107" name="Grafik 54">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72293" y="291417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790523</xdr:colOff>
      <xdr:row>5</xdr:row>
      <xdr:rowOff>143183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110" name="Grafik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45"/>
        <a:stretch>
          <a:fillRect/>
        </a:stretch>
      </xdr:blipFill>
      <xdr:spPr>
        <a:xfrm>
          <a:off x="1665407" y="31955641"/>
          <a:ext cx="257731" cy="355357"/>
        </a:xfrm>
        <a:prstGeom prst="rect">
          <a:avLst/>
        </a:prstGeom>
      </xdr:spPr>
    </xdr:pic>
    <xdr:clientData/>
  </xdr:twoCellAnchor>
  <xdr:twoCellAnchor>
    <xdr:from>
      <xdr:col>2</xdr:col>
      <xdr:colOff>315055</xdr:colOff>
      <xdr:row>95</xdr:row>
      <xdr:rowOff>19366</xdr:rowOff>
    </xdr:from>
    <xdr:to>
      <xdr:col>2</xdr:col>
      <xdr:colOff>461593</xdr:colOff>
      <xdr:row>95</xdr:row>
      <xdr:rowOff>391991</xdr:rowOff>
    </xdr:to>
    <xdr:pic>
      <xdr:nvPicPr>
        <xdr:cNvPr id="111" name="Grafik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46"/>
        <a:stretch>
          <a:fillRect/>
        </a:stretch>
      </xdr:blipFill>
      <xdr:spPr>
        <a:xfrm>
          <a:off x="1610455" y="3125184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12" name="Grafik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47"/>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13" name="Grafik 11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47"/>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15" name="Grafik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3"/>
        <a:stretch>
          <a:fillRect/>
        </a:stretch>
      </xdr:blipFill>
      <xdr:spPr>
        <a:xfrm>
          <a:off x="1400174" y="14446044"/>
          <a:ext cx="571501" cy="374855"/>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185945</xdr:colOff>
      <xdr:row>35</xdr:row>
      <xdr:rowOff>52793</xdr:rowOff>
    </xdr:from>
    <xdr:to>
      <xdr:col>2</xdr:col>
      <xdr:colOff>584993</xdr:colOff>
      <xdr:row>35</xdr:row>
      <xdr:rowOff>347663</xdr:rowOff>
    </xdr:to>
    <xdr:pic>
      <xdr:nvPicPr>
        <xdr:cNvPr id="15" name="Grafik 2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43011" name="Group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35</xdr:row>
      <xdr:rowOff>114403</xdr:rowOff>
    </xdr:from>
    <xdr:to>
      <xdr:col>2</xdr:col>
      <xdr:colOff>532303</xdr:colOff>
      <xdr:row>35</xdr:row>
      <xdr:rowOff>304360</xdr:rowOff>
    </xdr:to>
    <xdr:pic>
      <xdr:nvPicPr>
        <xdr:cNvPr id="6" name="Grafik 2">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709936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38</xdr:row>
      <xdr:rowOff>63500</xdr:rowOff>
    </xdr:from>
    <xdr:to>
      <xdr:col>2</xdr:col>
      <xdr:colOff>606320</xdr:colOff>
      <xdr:row>38</xdr:row>
      <xdr:rowOff>359570</xdr:rowOff>
    </xdr:to>
    <xdr:pic>
      <xdr:nvPicPr>
        <xdr:cNvPr id="9" name="Grafik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833120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16</xdr:row>
          <xdr:rowOff>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388620</xdr:colOff>
          <xdr:row>18</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79975</xdr:rowOff>
    </xdr:from>
    <xdr:to>
      <xdr:col>2</xdr:col>
      <xdr:colOff>645534</xdr:colOff>
      <xdr:row>39</xdr:row>
      <xdr:rowOff>342361</xdr:rowOff>
    </xdr:to>
    <xdr:pic>
      <xdr:nvPicPr>
        <xdr:cNvPr id="28" name="Grafik 3">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874772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40</xdr:row>
      <xdr:rowOff>58409</xdr:rowOff>
    </xdr:from>
    <xdr:to>
      <xdr:col>2</xdr:col>
      <xdr:colOff>525673</xdr:colOff>
      <xdr:row>40</xdr:row>
      <xdr:rowOff>355066</xdr:rowOff>
    </xdr:to>
    <xdr:pic>
      <xdr:nvPicPr>
        <xdr:cNvPr id="29" name="Grafik 1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912620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41</xdr:row>
      <xdr:rowOff>58407</xdr:rowOff>
    </xdr:from>
    <xdr:to>
      <xdr:col>2</xdr:col>
      <xdr:colOff>593018</xdr:colOff>
      <xdr:row>41</xdr:row>
      <xdr:rowOff>363926</xdr:rowOff>
    </xdr:to>
    <xdr:pic>
      <xdr:nvPicPr>
        <xdr:cNvPr id="30" name="Grafik 12">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952625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42</xdr:row>
      <xdr:rowOff>62002</xdr:rowOff>
    </xdr:from>
    <xdr:to>
      <xdr:col>2</xdr:col>
      <xdr:colOff>597559</xdr:colOff>
      <xdr:row>42</xdr:row>
      <xdr:rowOff>363927</xdr:rowOff>
    </xdr:to>
    <xdr:pic>
      <xdr:nvPicPr>
        <xdr:cNvPr id="31" name="Grafik 13">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92990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58410</xdr:rowOff>
    </xdr:from>
    <xdr:to>
      <xdr:col>2</xdr:col>
      <xdr:colOff>611935</xdr:colOff>
      <xdr:row>44</xdr:row>
      <xdr:rowOff>367524</xdr:rowOff>
    </xdr:to>
    <xdr:pic>
      <xdr:nvPicPr>
        <xdr:cNvPr id="33" name="Grafik 15">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72641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46</xdr:row>
      <xdr:rowOff>54812</xdr:rowOff>
    </xdr:from>
    <xdr:to>
      <xdr:col>2</xdr:col>
      <xdr:colOff>608342</xdr:colOff>
      <xdr:row>46</xdr:row>
      <xdr:rowOff>363925</xdr:rowOff>
    </xdr:to>
    <xdr:pic>
      <xdr:nvPicPr>
        <xdr:cNvPr id="34" name="Grafik 16">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152291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45</xdr:row>
      <xdr:rowOff>54815</xdr:rowOff>
    </xdr:from>
    <xdr:to>
      <xdr:col>2</xdr:col>
      <xdr:colOff>611935</xdr:colOff>
      <xdr:row>45</xdr:row>
      <xdr:rowOff>363929</xdr:rowOff>
    </xdr:to>
    <xdr:pic>
      <xdr:nvPicPr>
        <xdr:cNvPr id="36" name="Grafik 1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112286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63261</xdr:rowOff>
    </xdr:from>
    <xdr:to>
      <xdr:col>2</xdr:col>
      <xdr:colOff>597556</xdr:colOff>
      <xdr:row>61</xdr:row>
      <xdr:rowOff>364689</xdr:rowOff>
    </xdr:to>
    <xdr:pic>
      <xdr:nvPicPr>
        <xdr:cNvPr id="45" name="Grafik 2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13181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58</xdr:row>
      <xdr:rowOff>60533</xdr:rowOff>
    </xdr:from>
    <xdr:to>
      <xdr:col>2</xdr:col>
      <xdr:colOff>514890</xdr:colOff>
      <xdr:row>58</xdr:row>
      <xdr:rowOff>356739</xdr:rowOff>
    </xdr:to>
    <xdr:pic>
      <xdr:nvPicPr>
        <xdr:cNvPr id="46" name="Grafik 69">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46106" y="1432898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59666</xdr:rowOff>
    </xdr:from>
    <xdr:to>
      <xdr:col>2</xdr:col>
      <xdr:colOff>597556</xdr:colOff>
      <xdr:row>62</xdr:row>
      <xdr:rowOff>361094</xdr:rowOff>
    </xdr:to>
    <xdr:pic>
      <xdr:nvPicPr>
        <xdr:cNvPr id="47" name="Grafik 24">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52826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63260</xdr:rowOff>
    </xdr:from>
    <xdr:to>
      <xdr:col>2</xdr:col>
      <xdr:colOff>597556</xdr:colOff>
      <xdr:row>63</xdr:row>
      <xdr:rowOff>364688</xdr:rowOff>
    </xdr:to>
    <xdr:pic>
      <xdr:nvPicPr>
        <xdr:cNvPr id="48" name="Grafik 24">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93191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59665</xdr:rowOff>
    </xdr:from>
    <xdr:to>
      <xdr:col>2</xdr:col>
      <xdr:colOff>597556</xdr:colOff>
      <xdr:row>64</xdr:row>
      <xdr:rowOff>361093</xdr:rowOff>
    </xdr:to>
    <xdr:pic>
      <xdr:nvPicPr>
        <xdr:cNvPr id="49" name="Grafik 24">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632836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70</xdr:row>
      <xdr:rowOff>63261</xdr:rowOff>
    </xdr:from>
    <xdr:to>
      <xdr:col>2</xdr:col>
      <xdr:colOff>554074</xdr:colOff>
      <xdr:row>70</xdr:row>
      <xdr:rowOff>360332</xdr:rowOff>
    </xdr:to>
    <xdr:pic>
      <xdr:nvPicPr>
        <xdr:cNvPr id="51" name="Grafik 180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04229" y="1753211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73</xdr:row>
      <xdr:rowOff>57330</xdr:rowOff>
    </xdr:from>
    <xdr:to>
      <xdr:col>2</xdr:col>
      <xdr:colOff>569077</xdr:colOff>
      <xdr:row>73</xdr:row>
      <xdr:rowOff>363927</xdr:rowOff>
    </xdr:to>
    <xdr:pic>
      <xdr:nvPicPr>
        <xdr:cNvPr id="52" name="Grafik 180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44923" y="1832628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74</xdr:row>
      <xdr:rowOff>66855</xdr:rowOff>
    </xdr:from>
    <xdr:to>
      <xdr:col>2</xdr:col>
      <xdr:colOff>629917</xdr:colOff>
      <xdr:row>74</xdr:row>
      <xdr:rowOff>356739</xdr:rowOff>
    </xdr:to>
    <xdr:pic>
      <xdr:nvPicPr>
        <xdr:cNvPr id="53" name="Grafik 86">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23896" y="1873585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69</xdr:row>
      <xdr:rowOff>59664</xdr:rowOff>
    </xdr:from>
    <xdr:to>
      <xdr:col>2</xdr:col>
      <xdr:colOff>524416</xdr:colOff>
      <xdr:row>69</xdr:row>
      <xdr:rowOff>363927</xdr:rowOff>
    </xdr:to>
    <xdr:pic>
      <xdr:nvPicPr>
        <xdr:cNvPr id="54" name="Grafik 3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15553" y="1712846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58408</xdr:rowOff>
    </xdr:from>
    <xdr:to>
      <xdr:col>2</xdr:col>
      <xdr:colOff>477051</xdr:colOff>
      <xdr:row>75</xdr:row>
      <xdr:rowOff>360332</xdr:rowOff>
    </xdr:to>
    <xdr:pic>
      <xdr:nvPicPr>
        <xdr:cNvPr id="55" name="Grafik 1803">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912745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76</xdr:row>
      <xdr:rowOff>62003</xdr:rowOff>
    </xdr:from>
    <xdr:to>
      <xdr:col>2</xdr:col>
      <xdr:colOff>477051</xdr:colOff>
      <xdr:row>76</xdr:row>
      <xdr:rowOff>363927</xdr:rowOff>
    </xdr:to>
    <xdr:pic>
      <xdr:nvPicPr>
        <xdr:cNvPr id="56" name="Grafik 180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953110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77</xdr:row>
      <xdr:rowOff>62003</xdr:rowOff>
    </xdr:from>
    <xdr:to>
      <xdr:col>2</xdr:col>
      <xdr:colOff>600642</xdr:colOff>
      <xdr:row>77</xdr:row>
      <xdr:rowOff>360333</xdr:rowOff>
    </xdr:to>
    <xdr:pic>
      <xdr:nvPicPr>
        <xdr:cNvPr id="57" name="Grafik 180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28390" y="1993115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80</xdr:row>
      <xdr:rowOff>59668</xdr:rowOff>
    </xdr:from>
    <xdr:to>
      <xdr:col>2</xdr:col>
      <xdr:colOff>496724</xdr:colOff>
      <xdr:row>80</xdr:row>
      <xdr:rowOff>360334</xdr:rowOff>
    </xdr:to>
    <xdr:pic>
      <xdr:nvPicPr>
        <xdr:cNvPr id="61" name="Grafik 1809">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32089" y="2232911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82</xdr:row>
      <xdr:rowOff>59486</xdr:rowOff>
    </xdr:from>
    <xdr:to>
      <xdr:col>2</xdr:col>
      <xdr:colOff>592475</xdr:colOff>
      <xdr:row>82</xdr:row>
      <xdr:rowOff>363927</xdr:rowOff>
    </xdr:to>
    <xdr:pic>
      <xdr:nvPicPr>
        <xdr:cNvPr id="62" name="Grafik 1810">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67030" y="2272898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63262</xdr:rowOff>
    </xdr:from>
    <xdr:to>
      <xdr:col>2</xdr:col>
      <xdr:colOff>564622</xdr:colOff>
      <xdr:row>78</xdr:row>
      <xdr:rowOff>356738</xdr:rowOff>
    </xdr:to>
    <xdr:pic>
      <xdr:nvPicPr>
        <xdr:cNvPr id="63" name="Grafik 1805">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489315" y="2033246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83</xdr:row>
      <xdr:rowOff>58408</xdr:rowOff>
    </xdr:from>
    <xdr:to>
      <xdr:col>2</xdr:col>
      <xdr:colOff>530349</xdr:colOff>
      <xdr:row>83</xdr:row>
      <xdr:rowOff>360333</xdr:rowOff>
    </xdr:to>
    <xdr:pic>
      <xdr:nvPicPr>
        <xdr:cNvPr id="64" name="Grafik 1811">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48984" y="2312795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84</xdr:row>
      <xdr:rowOff>62001</xdr:rowOff>
    </xdr:from>
    <xdr:to>
      <xdr:col>2</xdr:col>
      <xdr:colOff>549693</xdr:colOff>
      <xdr:row>84</xdr:row>
      <xdr:rowOff>363927</xdr:rowOff>
    </xdr:to>
    <xdr:pic>
      <xdr:nvPicPr>
        <xdr:cNvPr id="65" name="Grafik 1811">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07646" y="2353160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86</xdr:row>
      <xdr:rowOff>62002</xdr:rowOff>
    </xdr:from>
    <xdr:to>
      <xdr:col>2</xdr:col>
      <xdr:colOff>503461</xdr:colOff>
      <xdr:row>86</xdr:row>
      <xdr:rowOff>360333</xdr:rowOff>
    </xdr:to>
    <xdr:pic>
      <xdr:nvPicPr>
        <xdr:cNvPr id="66" name="Grafik 1811">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24719" y="2393165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56970</xdr:rowOff>
    </xdr:from>
    <xdr:to>
      <xdr:col>2</xdr:col>
      <xdr:colOff>564635</xdr:colOff>
      <xdr:row>87</xdr:row>
      <xdr:rowOff>360332</xdr:rowOff>
    </xdr:to>
    <xdr:pic>
      <xdr:nvPicPr>
        <xdr:cNvPr id="67" name="Grafik 1812">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3266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60564</xdr:rowOff>
    </xdr:from>
    <xdr:to>
      <xdr:col>2</xdr:col>
      <xdr:colOff>564635</xdr:colOff>
      <xdr:row>88</xdr:row>
      <xdr:rowOff>363926</xdr:rowOff>
    </xdr:to>
    <xdr:pic>
      <xdr:nvPicPr>
        <xdr:cNvPr id="68" name="Grafik 1812">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73031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56970</xdr:rowOff>
    </xdr:from>
    <xdr:to>
      <xdr:col>2</xdr:col>
      <xdr:colOff>564635</xdr:colOff>
      <xdr:row>89</xdr:row>
      <xdr:rowOff>360332</xdr:rowOff>
    </xdr:to>
    <xdr:pic>
      <xdr:nvPicPr>
        <xdr:cNvPr id="69" name="Grafik 181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1267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60563</xdr:rowOff>
    </xdr:from>
    <xdr:to>
      <xdr:col>2</xdr:col>
      <xdr:colOff>564635</xdr:colOff>
      <xdr:row>90</xdr:row>
      <xdr:rowOff>363925</xdr:rowOff>
    </xdr:to>
    <xdr:pic>
      <xdr:nvPicPr>
        <xdr:cNvPr id="70" name="Grafik 1812">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5304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91</xdr:row>
      <xdr:rowOff>60563</xdr:rowOff>
    </xdr:from>
    <xdr:to>
      <xdr:col>2</xdr:col>
      <xdr:colOff>564635</xdr:colOff>
      <xdr:row>91</xdr:row>
      <xdr:rowOff>363925</xdr:rowOff>
    </xdr:to>
    <xdr:pic>
      <xdr:nvPicPr>
        <xdr:cNvPr id="71" name="Grafik 18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9304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93</xdr:row>
      <xdr:rowOff>58408</xdr:rowOff>
    </xdr:from>
    <xdr:to>
      <xdr:col>2</xdr:col>
      <xdr:colOff>594684</xdr:colOff>
      <xdr:row>93</xdr:row>
      <xdr:rowOff>363208</xdr:rowOff>
    </xdr:to>
    <xdr:pic>
      <xdr:nvPicPr>
        <xdr:cNvPr id="72" name="Grafik 1813">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32884" y="2672840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102</xdr:row>
      <xdr:rowOff>63260</xdr:rowOff>
    </xdr:from>
    <xdr:to>
      <xdr:col>2</xdr:col>
      <xdr:colOff>588843</xdr:colOff>
      <xdr:row>102</xdr:row>
      <xdr:rowOff>360332</xdr:rowOff>
    </xdr:to>
    <xdr:pic>
      <xdr:nvPicPr>
        <xdr:cNvPr id="73" name="Grafik 102">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38635" y="2833346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103</xdr:row>
      <xdr:rowOff>166338</xdr:rowOff>
    </xdr:from>
    <xdr:to>
      <xdr:col>2</xdr:col>
      <xdr:colOff>602047</xdr:colOff>
      <xdr:row>103</xdr:row>
      <xdr:rowOff>471520</xdr:rowOff>
    </xdr:to>
    <xdr:pic>
      <xdr:nvPicPr>
        <xdr:cNvPr id="89" name="Grafik 102">
          <a:extLst>
            <a:ext uri="{FF2B5EF4-FFF2-40B4-BE49-F238E27FC236}">
              <a16:creationId xmlns:a16="http://schemas.microsoft.com/office/drawing/2014/main" id="{00000000-0008-0000-06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35953" y="288365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106680</xdr:colOff>
          <xdr:row>14</xdr:row>
          <xdr:rowOff>114300</xdr:rowOff>
        </xdr:from>
        <xdr:to>
          <xdr:col>12</xdr:col>
          <xdr:colOff>144780</xdr:colOff>
          <xdr:row>14</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34</xdr:row>
      <xdr:rowOff>62002</xdr:rowOff>
    </xdr:from>
    <xdr:to>
      <xdr:col>2</xdr:col>
      <xdr:colOff>568804</xdr:colOff>
      <xdr:row>34</xdr:row>
      <xdr:rowOff>363781</xdr:rowOff>
    </xdr:to>
    <xdr:pic>
      <xdr:nvPicPr>
        <xdr:cNvPr id="93" name="Grafik 90">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79072" y="672950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55</xdr:row>
      <xdr:rowOff>52478</xdr:rowOff>
    </xdr:from>
    <xdr:to>
      <xdr:col>2</xdr:col>
      <xdr:colOff>575814</xdr:colOff>
      <xdr:row>55</xdr:row>
      <xdr:rowOff>347753</xdr:rowOff>
    </xdr:to>
    <xdr:pic>
      <xdr:nvPicPr>
        <xdr:cNvPr id="84" name="Grafik 46">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5" name="Grafik 46">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57</xdr:row>
      <xdr:rowOff>52477</xdr:rowOff>
    </xdr:from>
    <xdr:to>
      <xdr:col>2</xdr:col>
      <xdr:colOff>575814</xdr:colOff>
      <xdr:row>57</xdr:row>
      <xdr:rowOff>347752</xdr:rowOff>
    </xdr:to>
    <xdr:pic>
      <xdr:nvPicPr>
        <xdr:cNvPr id="86" name="Grafik 46">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60</xdr:row>
      <xdr:rowOff>32133</xdr:rowOff>
    </xdr:from>
    <xdr:to>
      <xdr:col>2</xdr:col>
      <xdr:colOff>645842</xdr:colOff>
      <xdr:row>60</xdr:row>
      <xdr:rowOff>394938</xdr:rowOff>
    </xdr:to>
    <xdr:pic>
      <xdr:nvPicPr>
        <xdr:cNvPr id="88" name="Grafik 23">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0" name="Grafik 23">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66</xdr:row>
      <xdr:rowOff>50140</xdr:rowOff>
    </xdr:from>
    <xdr:to>
      <xdr:col>2</xdr:col>
      <xdr:colOff>597556</xdr:colOff>
      <xdr:row>66</xdr:row>
      <xdr:rowOff>351568</xdr:rowOff>
    </xdr:to>
    <xdr:pic>
      <xdr:nvPicPr>
        <xdr:cNvPr id="91" name="Grafik 24">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68</xdr:row>
      <xdr:rowOff>52478</xdr:rowOff>
    </xdr:from>
    <xdr:to>
      <xdr:col>2</xdr:col>
      <xdr:colOff>588516</xdr:colOff>
      <xdr:row>68</xdr:row>
      <xdr:rowOff>347214</xdr:rowOff>
    </xdr:to>
    <xdr:pic>
      <xdr:nvPicPr>
        <xdr:cNvPr id="92" name="Grafik 25">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9" name="Grafik 24">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101" name="Grafik 25">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99</xdr:row>
      <xdr:rowOff>63027</xdr:rowOff>
    </xdr:from>
    <xdr:to>
      <xdr:col>2</xdr:col>
      <xdr:colOff>607876</xdr:colOff>
      <xdr:row>99</xdr:row>
      <xdr:rowOff>337922</xdr:rowOff>
    </xdr:to>
    <xdr:pic>
      <xdr:nvPicPr>
        <xdr:cNvPr id="102" name="Grafik 68">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98</xdr:row>
      <xdr:rowOff>86183</xdr:rowOff>
    </xdr:from>
    <xdr:to>
      <xdr:col>2</xdr:col>
      <xdr:colOff>637189</xdr:colOff>
      <xdr:row>98</xdr:row>
      <xdr:rowOff>357629</xdr:rowOff>
    </xdr:to>
    <xdr:pic>
      <xdr:nvPicPr>
        <xdr:cNvPr id="103" name="Grafik 68">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72</xdr:row>
      <xdr:rowOff>34380</xdr:rowOff>
    </xdr:from>
    <xdr:to>
      <xdr:col>2</xdr:col>
      <xdr:colOff>621565</xdr:colOff>
      <xdr:row>72</xdr:row>
      <xdr:rowOff>380999</xdr:rowOff>
    </xdr:to>
    <xdr:pic>
      <xdr:nvPicPr>
        <xdr:cNvPr id="104" name="Grafik 1801">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54806" y="203035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95</xdr:row>
      <xdr:rowOff>71438</xdr:rowOff>
    </xdr:from>
    <xdr:to>
      <xdr:col>2</xdr:col>
      <xdr:colOff>565715</xdr:colOff>
      <xdr:row>95</xdr:row>
      <xdr:rowOff>330653</xdr:rowOff>
    </xdr:to>
    <xdr:pic>
      <xdr:nvPicPr>
        <xdr:cNvPr id="106" name="Grafik 54">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1472293" y="299418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65555</xdr:colOff>
      <xdr:row>5</xdr:row>
      <xdr:rowOff>142875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97</xdr:row>
      <xdr:rowOff>18316</xdr:rowOff>
    </xdr:from>
    <xdr:to>
      <xdr:col>2</xdr:col>
      <xdr:colOff>532488</xdr:colOff>
      <xdr:row>97</xdr:row>
      <xdr:rowOff>373673</xdr:rowOff>
    </xdr:to>
    <xdr:pic>
      <xdr:nvPicPr>
        <xdr:cNvPr id="109" name="Grafik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46"/>
        <a:stretch>
          <a:fillRect/>
        </a:stretch>
      </xdr:blipFill>
      <xdr:spPr>
        <a:xfrm>
          <a:off x="1665407" y="31955641"/>
          <a:ext cx="257731" cy="355357"/>
        </a:xfrm>
        <a:prstGeom prst="rect">
          <a:avLst/>
        </a:prstGeom>
      </xdr:spPr>
    </xdr:pic>
    <xdr:clientData/>
  </xdr:twoCellAnchor>
  <xdr:twoCellAnchor>
    <xdr:from>
      <xdr:col>2</xdr:col>
      <xdr:colOff>305530</xdr:colOff>
      <xdr:row>96</xdr:row>
      <xdr:rowOff>19366</xdr:rowOff>
    </xdr:from>
    <xdr:to>
      <xdr:col>2</xdr:col>
      <xdr:colOff>452068</xdr:colOff>
      <xdr:row>96</xdr:row>
      <xdr:rowOff>391991</xdr:rowOff>
    </xdr:to>
    <xdr:pic>
      <xdr:nvPicPr>
        <xdr:cNvPr id="110" name="Grafik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47"/>
        <a:stretch>
          <a:fillRect/>
        </a:stretch>
      </xdr:blipFill>
      <xdr:spPr>
        <a:xfrm>
          <a:off x="1600930" y="32051941"/>
          <a:ext cx="146538" cy="372625"/>
        </a:xfrm>
        <a:prstGeom prst="rect">
          <a:avLst/>
        </a:prstGeom>
      </xdr:spPr>
    </xdr:pic>
    <xdr:clientData/>
  </xdr:twoCellAnchor>
  <xdr:twoCellAnchor>
    <xdr:from>
      <xdr:col>2</xdr:col>
      <xdr:colOff>191503</xdr:colOff>
      <xdr:row>52</xdr:row>
      <xdr:rowOff>30078</xdr:rowOff>
    </xdr:from>
    <xdr:to>
      <xdr:col>2</xdr:col>
      <xdr:colOff>643566</xdr:colOff>
      <xdr:row>52</xdr:row>
      <xdr:rowOff>390196</xdr:rowOff>
    </xdr:to>
    <xdr:pic>
      <xdr:nvPicPr>
        <xdr:cNvPr id="111" name="Grafik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48"/>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12" name="Grafik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48"/>
        <a:stretch>
          <a:fillRect/>
        </a:stretch>
      </xdr:blipFill>
      <xdr:spPr>
        <a:xfrm>
          <a:off x="1582153" y="15372096"/>
          <a:ext cx="452063" cy="360118"/>
        </a:xfrm>
        <a:prstGeom prst="rect">
          <a:avLst/>
        </a:prstGeom>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92</xdr:row>
      <xdr:rowOff>33340</xdr:rowOff>
    </xdr:from>
    <xdr:to>
      <xdr:col>2</xdr:col>
      <xdr:colOff>686247</xdr:colOff>
      <xdr:row>92</xdr:row>
      <xdr:rowOff>370378</xdr:rowOff>
    </xdr:to>
    <xdr:pic>
      <xdr:nvPicPr>
        <xdr:cNvPr id="114" name="Grafik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50"/>
        <a:stretch>
          <a:fillRect/>
        </a:stretch>
      </xdr:blipFill>
      <xdr:spPr>
        <a:xfrm>
          <a:off x="1500188" y="29946603"/>
          <a:ext cx="576709" cy="337038"/>
        </a:xfrm>
        <a:prstGeom prst="rect">
          <a:avLst/>
        </a:prstGeom>
      </xdr:spPr>
    </xdr:pic>
    <xdr:clientData/>
  </xdr:twoCellAnchor>
  <xdr:twoCellAnchor>
    <xdr:from>
      <xdr:col>2</xdr:col>
      <xdr:colOff>196745</xdr:colOff>
      <xdr:row>37</xdr:row>
      <xdr:rowOff>47624</xdr:rowOff>
    </xdr:from>
    <xdr:to>
      <xdr:col>2</xdr:col>
      <xdr:colOff>564911</xdr:colOff>
      <xdr:row>37</xdr:row>
      <xdr:rowOff>354805</xdr:rowOff>
    </xdr:to>
    <xdr:pic>
      <xdr:nvPicPr>
        <xdr:cNvPr id="2" name="Grafik 100">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47</xdr:row>
      <xdr:rowOff>47625</xdr:rowOff>
    </xdr:from>
    <xdr:to>
      <xdr:col>2</xdr:col>
      <xdr:colOff>599154</xdr:colOff>
      <xdr:row>47</xdr:row>
      <xdr:rowOff>361950</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52"/>
        <a:stretch>
          <a:fillRect/>
        </a:stretch>
      </xdr:blipFill>
      <xdr:spPr>
        <a:xfrm>
          <a:off x="1438276" y="1327785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2"/>
        <a:stretch>
          <a:fillRect/>
        </a:stretch>
      </xdr:blipFill>
      <xdr:spPr>
        <a:xfrm>
          <a:off x="1438276" y="13677900"/>
          <a:ext cx="456278" cy="314325"/>
        </a:xfrm>
        <a:prstGeom prst="rect">
          <a:avLst/>
        </a:prstGeom>
      </xdr:spPr>
    </xdr:pic>
    <xdr:clientData/>
  </xdr:twoCellAnchor>
  <xdr:twoCellAnchor>
    <xdr:from>
      <xdr:col>2</xdr:col>
      <xdr:colOff>142876</xdr:colOff>
      <xdr:row>49</xdr:row>
      <xdr:rowOff>47625</xdr:rowOff>
    </xdr:from>
    <xdr:to>
      <xdr:col>2</xdr:col>
      <xdr:colOff>599154</xdr:colOff>
      <xdr:row>49</xdr:row>
      <xdr:rowOff>361950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2"/>
        <a:stretch>
          <a:fillRect/>
        </a:stretch>
      </xdr:blipFill>
      <xdr:spPr>
        <a:xfrm>
          <a:off x="1438276" y="14077950"/>
          <a:ext cx="456278" cy="314325"/>
        </a:xfrm>
        <a:prstGeom prst="rect">
          <a:avLst/>
        </a:prstGeom>
      </xdr:spPr>
    </xdr:pic>
    <xdr:clientData/>
  </xdr:twoCellAnchor>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3"/>
        <a:stretch>
          <a:fillRect/>
        </a:stretch>
      </xdr:blipFill>
      <xdr:spPr>
        <a:xfrm>
          <a:off x="1457325" y="14468475"/>
          <a:ext cx="436921" cy="342900"/>
        </a:xfrm>
        <a:prstGeom prst="rect">
          <a:avLst/>
        </a:prstGeom>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4"/>
        <a:stretch>
          <a:fillRect/>
        </a:stretch>
      </xdr:blipFill>
      <xdr:spPr>
        <a:xfrm>
          <a:off x="1381125" y="14849475"/>
          <a:ext cx="581025" cy="366299"/>
        </a:xfrm>
        <a:prstGeom prst="rect">
          <a:avLst/>
        </a:prstGeom>
      </xdr:spPr>
    </xdr:pic>
    <xdr:clientData/>
  </xdr:twoCellAnchor>
  <xdr:twoCellAnchor>
    <xdr:from>
      <xdr:col>2</xdr:col>
      <xdr:colOff>171450</xdr:colOff>
      <xdr:row>81</xdr:row>
      <xdr:rowOff>13098</xdr:rowOff>
    </xdr:from>
    <xdr:to>
      <xdr:col>2</xdr:col>
      <xdr:colOff>581519</xdr:colOff>
      <xdr:row>81</xdr:row>
      <xdr:rowOff>384572</xdr:rowOff>
    </xdr:to>
    <xdr:pic>
      <xdr:nvPicPr>
        <xdr:cNvPr id="12" name="Grafik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5"/>
        <a:stretch>
          <a:fillRect/>
        </a:stretch>
      </xdr:blipFill>
      <xdr:spPr>
        <a:xfrm>
          <a:off x="1466850" y="26845023"/>
          <a:ext cx="410069" cy="371474"/>
        </a:xfrm>
        <a:prstGeom prst="rect">
          <a:avLst/>
        </a:prstGeom>
      </xdr:spPr>
    </xdr:pic>
    <xdr:clientData/>
  </xdr:twoCellAnchor>
  <xdr:twoCellAnchor>
    <xdr:from>
      <xdr:col>2</xdr:col>
      <xdr:colOff>178595</xdr:colOff>
      <xdr:row>85</xdr:row>
      <xdr:rowOff>23812</xdr:rowOff>
    </xdr:from>
    <xdr:to>
      <xdr:col>2</xdr:col>
      <xdr:colOff>550436</xdr:colOff>
      <xdr:row>85</xdr:row>
      <xdr:rowOff>369093</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6"/>
        <a:stretch>
          <a:fillRect/>
        </a:stretch>
      </xdr:blipFill>
      <xdr:spPr>
        <a:xfrm>
          <a:off x="1473995" y="28455937"/>
          <a:ext cx="371841" cy="345281"/>
        </a:xfrm>
        <a:prstGeom prst="rect">
          <a:avLst/>
        </a:prstGeom>
      </xdr:spPr>
    </xdr:pic>
    <xdr:clientData/>
  </xdr:twoCellAnchor>
  <xdr:twoCellAnchor>
    <xdr:from>
      <xdr:col>2</xdr:col>
      <xdr:colOff>185945</xdr:colOff>
      <xdr:row>36</xdr:row>
      <xdr:rowOff>52793</xdr:rowOff>
    </xdr:from>
    <xdr:to>
      <xdr:col>2</xdr:col>
      <xdr:colOff>584993</xdr:colOff>
      <xdr:row>36</xdr:row>
      <xdr:rowOff>347663</xdr:rowOff>
    </xdr:to>
    <xdr:pic>
      <xdr:nvPicPr>
        <xdr:cNvPr id="14" name="Grafik 25">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100</xdr:row>
      <xdr:rowOff>37425</xdr:rowOff>
    </xdr:from>
    <xdr:to>
      <xdr:col>2</xdr:col>
      <xdr:colOff>632460</xdr:colOff>
      <xdr:row>100</xdr:row>
      <xdr:rowOff>374055</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9408" y="335120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101</xdr:row>
      <xdr:rowOff>45720</xdr:rowOff>
    </xdr:from>
    <xdr:to>
      <xdr:col>2</xdr:col>
      <xdr:colOff>627423</xdr:colOff>
      <xdr:row>101</xdr:row>
      <xdr:rowOff>381000</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26089" y="339242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50179" name="Group Box 3" hidden="1">
              <a:extLst>
                <a:ext uri="{63B3BB69-23CF-44E3-9099-C40C66FF867C}">
                  <a14:compatExt spid="_x0000_s50179"/>
                </a:ext>
                <a:ext uri="{FF2B5EF4-FFF2-40B4-BE49-F238E27FC236}">
                  <a16:creationId xmlns:a16="http://schemas.microsoft.com/office/drawing/2014/main" id="{00000000-0008-0000-0700-00000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33</xdr:row>
      <xdr:rowOff>114403</xdr:rowOff>
    </xdr:from>
    <xdr:to>
      <xdr:col>2</xdr:col>
      <xdr:colOff>532303</xdr:colOff>
      <xdr:row>33</xdr:row>
      <xdr:rowOff>304360</xdr:rowOff>
    </xdr:to>
    <xdr:pic>
      <xdr:nvPicPr>
        <xdr:cNvPr id="6" name="Grafik 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29926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36</xdr:row>
      <xdr:rowOff>63500</xdr:rowOff>
    </xdr:from>
    <xdr:to>
      <xdr:col>2</xdr:col>
      <xdr:colOff>606320</xdr:colOff>
      <xdr:row>36</xdr:row>
      <xdr:rowOff>359570</xdr:rowOff>
    </xdr:to>
    <xdr:pic>
      <xdr:nvPicPr>
        <xdr:cNvPr id="9" name="Grafik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753110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16</xdr:row>
          <xdr:rowOff>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388620</xdr:colOff>
          <xdr:row>18</xdr:row>
          <xdr:rowOff>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37</xdr:row>
      <xdr:rowOff>79975</xdr:rowOff>
    </xdr:from>
    <xdr:to>
      <xdr:col>2</xdr:col>
      <xdr:colOff>645534</xdr:colOff>
      <xdr:row>37</xdr:row>
      <xdr:rowOff>342361</xdr:rowOff>
    </xdr:to>
    <xdr:pic>
      <xdr:nvPicPr>
        <xdr:cNvPr id="28" name="Grafik 3">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794762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38</xdr:row>
      <xdr:rowOff>58409</xdr:rowOff>
    </xdr:from>
    <xdr:to>
      <xdr:col>2</xdr:col>
      <xdr:colOff>525673</xdr:colOff>
      <xdr:row>38</xdr:row>
      <xdr:rowOff>355066</xdr:rowOff>
    </xdr:to>
    <xdr:pic>
      <xdr:nvPicPr>
        <xdr:cNvPr id="29" name="Grafik 1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832610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39</xdr:row>
      <xdr:rowOff>58407</xdr:rowOff>
    </xdr:from>
    <xdr:to>
      <xdr:col>2</xdr:col>
      <xdr:colOff>593018</xdr:colOff>
      <xdr:row>39</xdr:row>
      <xdr:rowOff>363926</xdr:rowOff>
    </xdr:to>
    <xdr:pic>
      <xdr:nvPicPr>
        <xdr:cNvPr id="30" name="Grafik 1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872615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40</xdr:row>
      <xdr:rowOff>62002</xdr:rowOff>
    </xdr:from>
    <xdr:to>
      <xdr:col>2</xdr:col>
      <xdr:colOff>597559</xdr:colOff>
      <xdr:row>40</xdr:row>
      <xdr:rowOff>363927</xdr:rowOff>
    </xdr:to>
    <xdr:pic>
      <xdr:nvPicPr>
        <xdr:cNvPr id="31" name="Grafik 13">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12980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42</xdr:row>
      <xdr:rowOff>58410</xdr:rowOff>
    </xdr:from>
    <xdr:to>
      <xdr:col>2</xdr:col>
      <xdr:colOff>611935</xdr:colOff>
      <xdr:row>42</xdr:row>
      <xdr:rowOff>367524</xdr:rowOff>
    </xdr:to>
    <xdr:pic>
      <xdr:nvPicPr>
        <xdr:cNvPr id="33" name="Grafik 15">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992631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44</xdr:row>
      <xdr:rowOff>54812</xdr:rowOff>
    </xdr:from>
    <xdr:to>
      <xdr:col>2</xdr:col>
      <xdr:colOff>608342</xdr:colOff>
      <xdr:row>44</xdr:row>
      <xdr:rowOff>363925</xdr:rowOff>
    </xdr:to>
    <xdr:pic>
      <xdr:nvPicPr>
        <xdr:cNvPr id="34" name="Grafik 16">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072281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54815</xdr:rowOff>
    </xdr:from>
    <xdr:to>
      <xdr:col>2</xdr:col>
      <xdr:colOff>611935</xdr:colOff>
      <xdr:row>43</xdr:row>
      <xdr:rowOff>363929</xdr:rowOff>
    </xdr:to>
    <xdr:pic>
      <xdr:nvPicPr>
        <xdr:cNvPr id="36" name="Grafik 1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32276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63261</xdr:rowOff>
    </xdr:from>
    <xdr:to>
      <xdr:col>2</xdr:col>
      <xdr:colOff>597556</xdr:colOff>
      <xdr:row>60</xdr:row>
      <xdr:rowOff>364689</xdr:rowOff>
    </xdr:to>
    <xdr:pic>
      <xdr:nvPicPr>
        <xdr:cNvPr id="45" name="Grafik 2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433171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60533</xdr:rowOff>
    </xdr:from>
    <xdr:to>
      <xdr:col>2</xdr:col>
      <xdr:colOff>514890</xdr:colOff>
      <xdr:row>57</xdr:row>
      <xdr:rowOff>356739</xdr:rowOff>
    </xdr:to>
    <xdr:pic>
      <xdr:nvPicPr>
        <xdr:cNvPr id="46" name="Grafik 69">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46106" y="1352888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59666</xdr:rowOff>
    </xdr:from>
    <xdr:to>
      <xdr:col>2</xdr:col>
      <xdr:colOff>597556</xdr:colOff>
      <xdr:row>61</xdr:row>
      <xdr:rowOff>361094</xdr:rowOff>
    </xdr:to>
    <xdr:pic>
      <xdr:nvPicPr>
        <xdr:cNvPr id="47" name="Grafik 24">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472816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63260</xdr:rowOff>
    </xdr:from>
    <xdr:to>
      <xdr:col>2</xdr:col>
      <xdr:colOff>597556</xdr:colOff>
      <xdr:row>62</xdr:row>
      <xdr:rowOff>364688</xdr:rowOff>
    </xdr:to>
    <xdr:pic>
      <xdr:nvPicPr>
        <xdr:cNvPr id="48" name="Grafik 24">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13181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59665</xdr:rowOff>
    </xdr:from>
    <xdr:to>
      <xdr:col>2</xdr:col>
      <xdr:colOff>597556</xdr:colOff>
      <xdr:row>63</xdr:row>
      <xdr:rowOff>361093</xdr:rowOff>
    </xdr:to>
    <xdr:pic>
      <xdr:nvPicPr>
        <xdr:cNvPr id="49" name="Grafik 2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52826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63261</xdr:rowOff>
    </xdr:from>
    <xdr:to>
      <xdr:col>2</xdr:col>
      <xdr:colOff>554074</xdr:colOff>
      <xdr:row>69</xdr:row>
      <xdr:rowOff>360332</xdr:rowOff>
    </xdr:to>
    <xdr:pic>
      <xdr:nvPicPr>
        <xdr:cNvPr id="51" name="Grafik 180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04229" y="1673201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72</xdr:row>
      <xdr:rowOff>57330</xdr:rowOff>
    </xdr:from>
    <xdr:to>
      <xdr:col>2</xdr:col>
      <xdr:colOff>569077</xdr:colOff>
      <xdr:row>72</xdr:row>
      <xdr:rowOff>363927</xdr:rowOff>
    </xdr:to>
    <xdr:pic>
      <xdr:nvPicPr>
        <xdr:cNvPr id="52" name="Grafik 1802">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44923" y="1752618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73</xdr:row>
      <xdr:rowOff>66855</xdr:rowOff>
    </xdr:from>
    <xdr:to>
      <xdr:col>2</xdr:col>
      <xdr:colOff>629917</xdr:colOff>
      <xdr:row>73</xdr:row>
      <xdr:rowOff>356739</xdr:rowOff>
    </xdr:to>
    <xdr:pic>
      <xdr:nvPicPr>
        <xdr:cNvPr id="53" name="Grafik 86">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23896" y="1793575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59664</xdr:rowOff>
    </xdr:from>
    <xdr:to>
      <xdr:col>2</xdr:col>
      <xdr:colOff>524416</xdr:colOff>
      <xdr:row>68</xdr:row>
      <xdr:rowOff>363927</xdr:rowOff>
    </xdr:to>
    <xdr:pic>
      <xdr:nvPicPr>
        <xdr:cNvPr id="54" name="Grafik 3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15553" y="1632836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58408</xdr:rowOff>
    </xdr:from>
    <xdr:to>
      <xdr:col>2</xdr:col>
      <xdr:colOff>477051</xdr:colOff>
      <xdr:row>74</xdr:row>
      <xdr:rowOff>360332</xdr:rowOff>
    </xdr:to>
    <xdr:pic>
      <xdr:nvPicPr>
        <xdr:cNvPr id="55" name="Grafik 1803">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832735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62003</xdr:rowOff>
    </xdr:from>
    <xdr:to>
      <xdr:col>2</xdr:col>
      <xdr:colOff>477051</xdr:colOff>
      <xdr:row>75</xdr:row>
      <xdr:rowOff>363927</xdr:rowOff>
    </xdr:to>
    <xdr:pic>
      <xdr:nvPicPr>
        <xdr:cNvPr id="56" name="Grafik 1803">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873100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76</xdr:row>
      <xdr:rowOff>62003</xdr:rowOff>
    </xdr:from>
    <xdr:to>
      <xdr:col>2</xdr:col>
      <xdr:colOff>600642</xdr:colOff>
      <xdr:row>76</xdr:row>
      <xdr:rowOff>360333</xdr:rowOff>
    </xdr:to>
    <xdr:pic>
      <xdr:nvPicPr>
        <xdr:cNvPr id="57" name="Grafik 180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28390" y="1913105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79</xdr:row>
      <xdr:rowOff>59668</xdr:rowOff>
    </xdr:from>
    <xdr:to>
      <xdr:col>2</xdr:col>
      <xdr:colOff>496724</xdr:colOff>
      <xdr:row>79</xdr:row>
      <xdr:rowOff>360334</xdr:rowOff>
    </xdr:to>
    <xdr:pic>
      <xdr:nvPicPr>
        <xdr:cNvPr id="61" name="Grafik 1809">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32089" y="2152901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81</xdr:row>
      <xdr:rowOff>59486</xdr:rowOff>
    </xdr:from>
    <xdr:to>
      <xdr:col>2</xdr:col>
      <xdr:colOff>592475</xdr:colOff>
      <xdr:row>81</xdr:row>
      <xdr:rowOff>363927</xdr:rowOff>
    </xdr:to>
    <xdr:pic>
      <xdr:nvPicPr>
        <xdr:cNvPr id="62" name="Grafik 1810">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67030" y="2192888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77</xdr:row>
      <xdr:rowOff>63262</xdr:rowOff>
    </xdr:from>
    <xdr:to>
      <xdr:col>2</xdr:col>
      <xdr:colOff>564622</xdr:colOff>
      <xdr:row>77</xdr:row>
      <xdr:rowOff>356738</xdr:rowOff>
    </xdr:to>
    <xdr:pic>
      <xdr:nvPicPr>
        <xdr:cNvPr id="63" name="Grafik 1805">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489315" y="1953236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82</xdr:row>
      <xdr:rowOff>58408</xdr:rowOff>
    </xdr:from>
    <xdr:to>
      <xdr:col>2</xdr:col>
      <xdr:colOff>530349</xdr:colOff>
      <xdr:row>82</xdr:row>
      <xdr:rowOff>360333</xdr:rowOff>
    </xdr:to>
    <xdr:pic>
      <xdr:nvPicPr>
        <xdr:cNvPr id="64" name="Grafik 181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48984" y="2232785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83</xdr:row>
      <xdr:rowOff>62001</xdr:rowOff>
    </xdr:from>
    <xdr:to>
      <xdr:col>2</xdr:col>
      <xdr:colOff>549693</xdr:colOff>
      <xdr:row>83</xdr:row>
      <xdr:rowOff>363927</xdr:rowOff>
    </xdr:to>
    <xdr:pic>
      <xdr:nvPicPr>
        <xdr:cNvPr id="65" name="Grafik 181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07646" y="2273150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85</xdr:row>
      <xdr:rowOff>62002</xdr:rowOff>
    </xdr:from>
    <xdr:to>
      <xdr:col>2</xdr:col>
      <xdr:colOff>503461</xdr:colOff>
      <xdr:row>85</xdr:row>
      <xdr:rowOff>360333</xdr:rowOff>
    </xdr:to>
    <xdr:pic>
      <xdr:nvPicPr>
        <xdr:cNvPr id="66" name="Grafik 181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24719" y="2313155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56970</xdr:rowOff>
    </xdr:from>
    <xdr:to>
      <xdr:col>2</xdr:col>
      <xdr:colOff>564635</xdr:colOff>
      <xdr:row>86</xdr:row>
      <xdr:rowOff>360332</xdr:rowOff>
    </xdr:to>
    <xdr:pic>
      <xdr:nvPicPr>
        <xdr:cNvPr id="67" name="Grafik 1812">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35265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60564</xdr:rowOff>
    </xdr:from>
    <xdr:to>
      <xdr:col>2</xdr:col>
      <xdr:colOff>564635</xdr:colOff>
      <xdr:row>87</xdr:row>
      <xdr:rowOff>363926</xdr:rowOff>
    </xdr:to>
    <xdr:pic>
      <xdr:nvPicPr>
        <xdr:cNvPr id="68" name="Grafik 181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393021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56970</xdr:rowOff>
    </xdr:from>
    <xdr:to>
      <xdr:col>2</xdr:col>
      <xdr:colOff>564635</xdr:colOff>
      <xdr:row>88</xdr:row>
      <xdr:rowOff>360332</xdr:rowOff>
    </xdr:to>
    <xdr:pic>
      <xdr:nvPicPr>
        <xdr:cNvPr id="69" name="Grafik 1812">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3266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60563</xdr:rowOff>
    </xdr:from>
    <xdr:to>
      <xdr:col>2</xdr:col>
      <xdr:colOff>564635</xdr:colOff>
      <xdr:row>89</xdr:row>
      <xdr:rowOff>363925</xdr:rowOff>
    </xdr:to>
    <xdr:pic>
      <xdr:nvPicPr>
        <xdr:cNvPr id="70" name="Grafik 1812">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7303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60563</xdr:rowOff>
    </xdr:from>
    <xdr:to>
      <xdr:col>2</xdr:col>
      <xdr:colOff>564635</xdr:colOff>
      <xdr:row>90</xdr:row>
      <xdr:rowOff>363925</xdr:rowOff>
    </xdr:to>
    <xdr:pic>
      <xdr:nvPicPr>
        <xdr:cNvPr id="71" name="Grafik 1812">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1303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92</xdr:row>
      <xdr:rowOff>58408</xdr:rowOff>
    </xdr:from>
    <xdr:to>
      <xdr:col>2</xdr:col>
      <xdr:colOff>594684</xdr:colOff>
      <xdr:row>92</xdr:row>
      <xdr:rowOff>363208</xdr:rowOff>
    </xdr:to>
    <xdr:pic>
      <xdr:nvPicPr>
        <xdr:cNvPr id="72" name="Grafik 1813">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32884" y="2592830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101</xdr:row>
      <xdr:rowOff>63260</xdr:rowOff>
    </xdr:from>
    <xdr:to>
      <xdr:col>2</xdr:col>
      <xdr:colOff>588843</xdr:colOff>
      <xdr:row>101</xdr:row>
      <xdr:rowOff>360332</xdr:rowOff>
    </xdr:to>
    <xdr:pic>
      <xdr:nvPicPr>
        <xdr:cNvPr id="73" name="Grafik 102">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38635" y="2753336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102</xdr:row>
      <xdr:rowOff>153003</xdr:rowOff>
    </xdr:from>
    <xdr:to>
      <xdr:col>2</xdr:col>
      <xdr:colOff>602047</xdr:colOff>
      <xdr:row>102</xdr:row>
      <xdr:rowOff>458185</xdr:rowOff>
    </xdr:to>
    <xdr:pic>
      <xdr:nvPicPr>
        <xdr:cNvPr id="89" name="Grafik 102">
          <a:extLst>
            <a:ext uri="{FF2B5EF4-FFF2-40B4-BE49-F238E27FC236}">
              <a16:creationId xmlns:a16="http://schemas.microsoft.com/office/drawing/2014/main" id="{00000000-0008-0000-07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66433" y="34839243"/>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68580</xdr:colOff>
          <xdr:row>15</xdr:row>
          <xdr:rowOff>7620</xdr:rowOff>
        </xdr:from>
        <xdr:to>
          <xdr:col>12</xdr:col>
          <xdr:colOff>114300</xdr:colOff>
          <xdr:row>15</xdr:row>
          <xdr:rowOff>68580</xdr:rowOff>
        </xdr:to>
        <xdr:sp macro="" textlink="">
          <xdr:nvSpPr>
            <xdr:cNvPr id="50203" name="Option Button 27" hidden="1">
              <a:extLst>
                <a:ext uri="{63B3BB69-23CF-44E3-9099-C40C66FF867C}">
                  <a14:compatExt spid="_x0000_s50203"/>
                </a:ext>
                <a:ext uri="{FF2B5EF4-FFF2-40B4-BE49-F238E27FC236}">
                  <a16:creationId xmlns:a16="http://schemas.microsoft.com/office/drawing/2014/main" id="{00000000-0008-0000-0700-00001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32</xdr:row>
      <xdr:rowOff>62002</xdr:rowOff>
    </xdr:from>
    <xdr:to>
      <xdr:col>2</xdr:col>
      <xdr:colOff>568804</xdr:colOff>
      <xdr:row>32</xdr:row>
      <xdr:rowOff>363781</xdr:rowOff>
    </xdr:to>
    <xdr:pic>
      <xdr:nvPicPr>
        <xdr:cNvPr id="93" name="Grafik 90">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79072" y="592940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63955</xdr:rowOff>
    </xdr:from>
    <xdr:to>
      <xdr:col>2</xdr:col>
      <xdr:colOff>651783</xdr:colOff>
      <xdr:row>78</xdr:row>
      <xdr:rowOff>362893</xdr:rowOff>
    </xdr:to>
    <xdr:pic>
      <xdr:nvPicPr>
        <xdr:cNvPr id="95" name="Grafik 1805">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1279" t="15874" r="5510" b="17451"/>
        <a:stretch>
          <a:fillRect/>
        </a:stretch>
      </xdr:blipFill>
      <xdr:spPr bwMode="auto">
        <a:xfrm>
          <a:off x="1392012" y="19933105"/>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54</xdr:row>
      <xdr:rowOff>52478</xdr:rowOff>
    </xdr:from>
    <xdr:to>
      <xdr:col>2</xdr:col>
      <xdr:colOff>575814</xdr:colOff>
      <xdr:row>54</xdr:row>
      <xdr:rowOff>347753</xdr:rowOff>
    </xdr:to>
    <xdr:pic>
      <xdr:nvPicPr>
        <xdr:cNvPr id="86" name="Grafik 46">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87" name="Grafik 46">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8" name="Grafik 46">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0" name="Grafik 23">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91" name="Grafik 23">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2" name="Grafik 24">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7191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94" name="Grafik 25">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90935" y="195215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8" name="Grafik 24">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99" name="Grafik 25">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100" name="Grafik 68">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101" name="Grafik 68">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102" name="Grafik 180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54806" y="2070363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103" name="Grafik 54">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72293" y="307419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282739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106" name="Grafik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43"/>
        <a:stretch>
          <a:fillRect/>
        </a:stretch>
      </xdr:blipFill>
      <xdr:spPr>
        <a:xfrm>
          <a:off x="1665407" y="31955641"/>
          <a:ext cx="257731" cy="355357"/>
        </a:xfrm>
        <a:prstGeom prst="rect">
          <a:avLst/>
        </a:prstGeom>
      </xdr:spPr>
    </xdr:pic>
    <xdr:clientData/>
  </xdr:twoCellAnchor>
  <xdr:twoCellAnchor>
    <xdr:from>
      <xdr:col>2</xdr:col>
      <xdr:colOff>324580</xdr:colOff>
      <xdr:row>95</xdr:row>
      <xdr:rowOff>19366</xdr:rowOff>
    </xdr:from>
    <xdr:to>
      <xdr:col>2</xdr:col>
      <xdr:colOff>471118</xdr:colOff>
      <xdr:row>95</xdr:row>
      <xdr:rowOff>391991</xdr:rowOff>
    </xdr:to>
    <xdr:pic>
      <xdr:nvPicPr>
        <xdr:cNvPr id="107" name="Grafik 10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44"/>
        <a:stretch>
          <a:fillRect/>
        </a:stretch>
      </xdr:blipFill>
      <xdr:spPr>
        <a:xfrm>
          <a:off x="1619980" y="3085179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08" name="Grafik 107">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45"/>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09" name="Grafik 10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45"/>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11" name="Grafik 11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47"/>
        <a:stretch>
          <a:fillRect/>
        </a:stretch>
      </xdr:blipFill>
      <xdr:spPr>
        <a:xfrm>
          <a:off x="1500188" y="30756228"/>
          <a:ext cx="576709" cy="337038"/>
        </a:xfrm>
        <a:prstGeom prst="rect">
          <a:avLst/>
        </a:prstGeom>
      </xdr:spPr>
    </xdr:pic>
    <xdr:clientData/>
  </xdr:twoCellAnchor>
  <xdr:twoCellAnchor>
    <xdr:from>
      <xdr:col>2</xdr:col>
      <xdr:colOff>196745</xdr:colOff>
      <xdr:row>35</xdr:row>
      <xdr:rowOff>47624</xdr:rowOff>
    </xdr:from>
    <xdr:to>
      <xdr:col>2</xdr:col>
      <xdr:colOff>564911</xdr:colOff>
      <xdr:row>35</xdr:row>
      <xdr:rowOff>354805</xdr:rowOff>
    </xdr:to>
    <xdr:pic>
      <xdr:nvPicPr>
        <xdr:cNvPr id="2" name="Grafik 10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45</xdr:row>
      <xdr:rowOff>47625</xdr:rowOff>
    </xdr:from>
    <xdr:to>
      <xdr:col>2</xdr:col>
      <xdr:colOff>599154</xdr:colOff>
      <xdr:row>45</xdr:row>
      <xdr:rowOff>361950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9"/>
        <a:stretch>
          <a:fillRect/>
        </a:stretch>
      </xdr:blipFill>
      <xdr:spPr>
        <a:xfrm>
          <a:off x="1438276" y="13277850"/>
          <a:ext cx="456278" cy="314325"/>
        </a:xfrm>
        <a:prstGeom prst="rect">
          <a:avLst/>
        </a:prstGeom>
      </xdr:spPr>
    </xdr:pic>
    <xdr:clientData/>
  </xdr:twoCellAnchor>
  <xdr:twoCellAnchor>
    <xdr:from>
      <xdr:col>2</xdr:col>
      <xdr:colOff>142876</xdr:colOff>
      <xdr:row>46</xdr:row>
      <xdr:rowOff>47625</xdr:rowOff>
    </xdr:from>
    <xdr:to>
      <xdr:col>2</xdr:col>
      <xdr:colOff>599154</xdr:colOff>
      <xdr:row>46</xdr:row>
      <xdr:rowOff>361950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9"/>
        <a:stretch>
          <a:fillRect/>
        </a:stretch>
      </xdr:blipFill>
      <xdr:spPr>
        <a:xfrm>
          <a:off x="1438276" y="1367790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9"/>
        <a:stretch>
          <a:fillRect/>
        </a:stretch>
      </xdr:blipFill>
      <xdr:spPr>
        <a:xfrm>
          <a:off x="1438276" y="14077950"/>
          <a:ext cx="456278" cy="314325"/>
        </a:xfrm>
        <a:prstGeom prst="rect">
          <a:avLst/>
        </a:prstGeom>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0"/>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1"/>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2"/>
        <a:stretch>
          <a:fillRect/>
        </a:stretch>
      </xdr:blipFill>
      <xdr:spPr>
        <a:xfrm>
          <a:off x="1343025" y="14049376"/>
          <a:ext cx="708498" cy="361950"/>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3"/>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5" name="Grafik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4"/>
        <a:stretch>
          <a:fillRect/>
        </a:stretch>
      </xdr:blipFill>
      <xdr:spPr>
        <a:xfrm>
          <a:off x="1473995" y="28455937"/>
          <a:ext cx="371841" cy="345281"/>
        </a:xfrm>
        <a:prstGeom prst="rect">
          <a:avLst/>
        </a:prstGeom>
      </xdr:spPr>
    </xdr:pic>
    <xdr:clientData/>
  </xdr:twoCellAnchor>
  <xdr:twoCellAnchor>
    <xdr:from>
      <xdr:col>2</xdr:col>
      <xdr:colOff>185945</xdr:colOff>
      <xdr:row>34</xdr:row>
      <xdr:rowOff>52793</xdr:rowOff>
    </xdr:from>
    <xdr:to>
      <xdr:col>2</xdr:col>
      <xdr:colOff>584993</xdr:colOff>
      <xdr:row>34</xdr:row>
      <xdr:rowOff>347663</xdr:rowOff>
    </xdr:to>
    <xdr:pic>
      <xdr:nvPicPr>
        <xdr:cNvPr id="16" name="Grafik 2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9408" y="3472366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6089" y="3513582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358140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182880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792480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792480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792480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792480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792480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20</xdr:row>
          <xdr:rowOff>30480</xdr:rowOff>
        </xdr:from>
        <xdr:to>
          <xdr:col>8</xdr:col>
          <xdr:colOff>792480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21</xdr:row>
          <xdr:rowOff>30480</xdr:rowOff>
        </xdr:from>
        <xdr:to>
          <xdr:col>8</xdr:col>
          <xdr:colOff>792480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55</xdr:row>
      <xdr:rowOff>51088</xdr:rowOff>
    </xdr:from>
    <xdr:to>
      <xdr:col>2</xdr:col>
      <xdr:colOff>573848</xdr:colOff>
      <xdr:row>55</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56</xdr:row>
      <xdr:rowOff>55418</xdr:rowOff>
    </xdr:from>
    <xdr:to>
      <xdr:col>2</xdr:col>
      <xdr:colOff>583376</xdr:colOff>
      <xdr:row>56</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57</xdr:row>
      <xdr:rowOff>46759</xdr:rowOff>
    </xdr:from>
    <xdr:to>
      <xdr:col>2</xdr:col>
      <xdr:colOff>542062</xdr:colOff>
      <xdr:row>57</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60</xdr:row>
      <xdr:rowOff>46758</xdr:rowOff>
    </xdr:from>
    <xdr:to>
      <xdr:col>2</xdr:col>
      <xdr:colOff>637190</xdr:colOff>
      <xdr:row>60</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61</xdr:row>
      <xdr:rowOff>55418</xdr:rowOff>
    </xdr:from>
    <xdr:to>
      <xdr:col>2</xdr:col>
      <xdr:colOff>521113</xdr:colOff>
      <xdr:row>61</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62</xdr:row>
      <xdr:rowOff>72735</xdr:rowOff>
    </xdr:from>
    <xdr:to>
      <xdr:col>2</xdr:col>
      <xdr:colOff>628650</xdr:colOff>
      <xdr:row>62</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66</xdr:row>
      <xdr:rowOff>51090</xdr:rowOff>
    </xdr:from>
    <xdr:to>
      <xdr:col>2</xdr:col>
      <xdr:colOff>573496</xdr:colOff>
      <xdr:row>66</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162534</xdr:colOff>
      <xdr:row>83</xdr:row>
      <xdr:rowOff>50259</xdr:rowOff>
    </xdr:from>
    <xdr:to>
      <xdr:col>2</xdr:col>
      <xdr:colOff>612440</xdr:colOff>
      <xdr:row>83</xdr:row>
      <xdr:rowOff>350196</xdr:rowOff>
    </xdr:to>
    <xdr:pic>
      <xdr:nvPicPr>
        <xdr:cNvPr id="73" name="Grafik 67">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7934" y="21519609"/>
          <a:ext cx="449906" cy="299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65</xdr:row>
      <xdr:rowOff>54665</xdr:rowOff>
    </xdr:from>
    <xdr:to>
      <xdr:col>2</xdr:col>
      <xdr:colOff>574369</xdr:colOff>
      <xdr:row>65</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67</xdr:row>
      <xdr:rowOff>49530</xdr:rowOff>
    </xdr:from>
    <xdr:to>
      <xdr:col>2</xdr:col>
      <xdr:colOff>562118</xdr:colOff>
      <xdr:row>67</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106680</xdr:colOff>
          <xdr:row>16</xdr:row>
          <xdr:rowOff>7620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7620</xdr:rowOff>
        </xdr:from>
        <xdr:to>
          <xdr:col>11</xdr:col>
          <xdr:colOff>106680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7620</xdr:rowOff>
        </xdr:from>
        <xdr:to>
          <xdr:col>11</xdr:col>
          <xdr:colOff>106680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320040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7620</xdr:rowOff>
        </xdr:from>
        <xdr:to>
          <xdr:col>11</xdr:col>
          <xdr:colOff>106680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19</xdr:row>
          <xdr:rowOff>7620</xdr:rowOff>
        </xdr:from>
        <xdr:to>
          <xdr:col>11</xdr:col>
          <xdr:colOff>106680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275105</xdr:colOff>
      <xdr:row>5</xdr:row>
      <xdr:rowOff>53340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58</xdr:row>
      <xdr:rowOff>14286</xdr:rowOff>
    </xdr:from>
    <xdr:to>
      <xdr:col>2</xdr:col>
      <xdr:colOff>755814</xdr:colOff>
      <xdr:row>58</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a:stretch>
          <a:fillRect/>
        </a:stretch>
      </xdr:blipFill>
      <xdr:spPr>
        <a:xfrm>
          <a:off x="1498763" y="15925799"/>
          <a:ext cx="647701" cy="381001"/>
        </a:xfrm>
        <a:prstGeom prst="rect">
          <a:avLst/>
        </a:prstGeom>
      </xdr:spPr>
    </xdr:pic>
    <xdr:clientData/>
  </xdr:twoCellAnchor>
  <xdr:twoCellAnchor>
    <xdr:from>
      <xdr:col>2</xdr:col>
      <xdr:colOff>123827</xdr:colOff>
      <xdr:row>59</xdr:row>
      <xdr:rowOff>71438</xdr:rowOff>
    </xdr:from>
    <xdr:to>
      <xdr:col>2</xdr:col>
      <xdr:colOff>701972</xdr:colOff>
      <xdr:row>59</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a:stretch>
          <a:fillRect/>
        </a:stretch>
      </xdr:blipFill>
      <xdr:spPr>
        <a:xfrm>
          <a:off x="1514477" y="16387763"/>
          <a:ext cx="578145" cy="276225"/>
        </a:xfrm>
        <a:prstGeom prst="rect">
          <a:avLst/>
        </a:prstGeom>
      </xdr:spPr>
    </xdr:pic>
    <xdr:clientData/>
  </xdr:twoCellAnchor>
  <xdr:twoCellAnchor>
    <xdr:from>
      <xdr:col>2</xdr:col>
      <xdr:colOff>109538</xdr:colOff>
      <xdr:row>72</xdr:row>
      <xdr:rowOff>33340</xdr:rowOff>
    </xdr:from>
    <xdr:to>
      <xdr:col>2</xdr:col>
      <xdr:colOff>686247</xdr:colOff>
      <xdr:row>72</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8"/>
        <a:stretch>
          <a:fillRect/>
        </a:stretch>
      </xdr:blipFill>
      <xdr:spPr>
        <a:xfrm>
          <a:off x="1500188" y="30756228"/>
          <a:ext cx="576709" cy="337038"/>
        </a:xfrm>
        <a:prstGeom prst="rect">
          <a:avLst/>
        </a:prstGeom>
      </xdr:spPr>
    </xdr:pic>
    <xdr:clientData/>
  </xdr:twoCellAnchor>
  <xdr:twoCellAnchor>
    <xdr:from>
      <xdr:col>2</xdr:col>
      <xdr:colOff>228600</xdr:colOff>
      <xdr:row>73</xdr:row>
      <xdr:rowOff>9525</xdr:rowOff>
    </xdr:from>
    <xdr:to>
      <xdr:col>2</xdr:col>
      <xdr:colOff>547837</xdr:colOff>
      <xdr:row>73</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9"/>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0"/>
        <a:stretch>
          <a:fillRect/>
        </a:stretch>
      </xdr:blipFill>
      <xdr:spPr>
        <a:xfrm>
          <a:off x="1660923" y="11887200"/>
          <a:ext cx="286544" cy="361950"/>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29"/>
        <a:stretch>
          <a:fillRect/>
        </a:stretch>
      </xdr:blipFill>
      <xdr:spPr>
        <a:xfrm>
          <a:off x="1619250" y="21993225"/>
          <a:ext cx="319237" cy="371475"/>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9"/>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29"/>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30"/>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1"/>
        <a:stretch>
          <a:fillRect/>
        </a:stretch>
      </xdr:blipFill>
      <xdr:spPr>
        <a:xfrm>
          <a:off x="1562101" y="13916025"/>
          <a:ext cx="458512" cy="347663"/>
        </a:xfrm>
        <a:prstGeom prst="rect">
          <a:avLst/>
        </a:prstGeom>
      </xdr:spPr>
    </xdr:pic>
    <xdr:clientData/>
  </xdr:twoCellAnchor>
  <xdr:twoCellAnchor>
    <xdr:from>
      <xdr:col>2</xdr:col>
      <xdr:colOff>274757</xdr:colOff>
      <xdr:row>78</xdr:row>
      <xdr:rowOff>18316</xdr:rowOff>
    </xdr:from>
    <xdr:to>
      <xdr:col>2</xdr:col>
      <xdr:colOff>532488</xdr:colOff>
      <xdr:row>78</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2"/>
        <a:stretch>
          <a:fillRect/>
        </a:stretch>
      </xdr:blipFill>
      <xdr:spPr>
        <a:xfrm>
          <a:off x="1665407" y="31550829"/>
          <a:ext cx="257731" cy="355357"/>
        </a:xfrm>
        <a:prstGeom prst="rect">
          <a:avLst/>
        </a:prstGeom>
      </xdr:spPr>
    </xdr:pic>
    <xdr:clientData/>
  </xdr:twoCellAnchor>
  <xdr:twoCellAnchor>
    <xdr:from>
      <xdr:col>2</xdr:col>
      <xdr:colOff>315055</xdr:colOff>
      <xdr:row>77</xdr:row>
      <xdr:rowOff>19366</xdr:rowOff>
    </xdr:from>
    <xdr:to>
      <xdr:col>2</xdr:col>
      <xdr:colOff>461593</xdr:colOff>
      <xdr:row>77</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3"/>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6"/>
        <a:stretch>
          <a:fillRect/>
        </a:stretch>
      </xdr:blipFill>
      <xdr:spPr>
        <a:xfrm>
          <a:off x="1447801" y="11849101"/>
          <a:ext cx="505222" cy="361950"/>
        </a:xfrm>
        <a:prstGeom prst="rect">
          <a:avLst/>
        </a:prstGeom>
      </xdr:spPr>
    </xdr:pic>
    <xdr:clientData/>
  </xdr:twoCellAnchor>
  <xdr:twoCellAnchor>
    <xdr:from>
      <xdr:col>2</xdr:col>
      <xdr:colOff>96635</xdr:colOff>
      <xdr:row>79</xdr:row>
      <xdr:rowOff>30478</xdr:rowOff>
    </xdr:from>
    <xdr:to>
      <xdr:col>2</xdr:col>
      <xdr:colOff>695849</xdr:colOff>
      <xdr:row>79</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80</xdr:row>
      <xdr:rowOff>33339</xdr:rowOff>
    </xdr:from>
    <xdr:to>
      <xdr:col>2</xdr:col>
      <xdr:colOff>694464</xdr:colOff>
      <xdr:row>80</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81</xdr:row>
      <xdr:rowOff>14287</xdr:rowOff>
    </xdr:from>
    <xdr:to>
      <xdr:col>2</xdr:col>
      <xdr:colOff>583040</xdr:colOff>
      <xdr:row>81</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544959" y="2743104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82</xdr:row>
      <xdr:rowOff>23811</xdr:rowOff>
    </xdr:from>
    <xdr:to>
      <xdr:col>2</xdr:col>
      <xdr:colOff>696280</xdr:colOff>
      <xdr:row>82</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20</xdr:row>
          <xdr:rowOff>7620</xdr:rowOff>
        </xdr:from>
        <xdr:to>
          <xdr:col>11</xdr:col>
          <xdr:colOff>106680</xdr:colOff>
          <xdr:row>21</xdr:row>
          <xdr:rowOff>0</xdr:rowOff>
        </xdr:to>
        <xdr:sp macro="" textlink="">
          <xdr:nvSpPr>
            <xdr:cNvPr id="57423" name="Option Button 79" hidden="1">
              <a:extLst>
                <a:ext uri="{63B3BB69-23CF-44E3-9099-C40C66FF867C}">
                  <a14:compatExt spid="_x0000_s57423"/>
                </a:ext>
                <a:ext uri="{FF2B5EF4-FFF2-40B4-BE49-F238E27FC236}">
                  <a16:creationId xmlns:a16="http://schemas.microsoft.com/office/drawing/2014/main" id="{00000000-0008-0000-08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 Type="http://schemas.openxmlformats.org/officeDocument/2006/relationships/vmlDrawing" Target="../drawings/vmlDrawing19.vml"/><Relationship Id="rId21" Type="http://schemas.openxmlformats.org/officeDocument/2006/relationships/ctrlProp" Target="../ctrlProps/ctrlProp205.xml"/><Relationship Id="rId34" Type="http://schemas.openxmlformats.org/officeDocument/2006/relationships/ctrlProp" Target="../ctrlProps/ctrlProp218.xml"/><Relationship Id="rId7" Type="http://schemas.openxmlformats.org/officeDocument/2006/relationships/oleObject" Target="../embeddings/oleObject4.bin"/><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2" Type="http://schemas.openxmlformats.org/officeDocument/2006/relationships/drawing" Target="../drawings/drawing10.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1" Type="http://schemas.openxmlformats.org/officeDocument/2006/relationships/printerSettings" Target="../printerSettings/printerSettings10.bin"/><Relationship Id="rId6" Type="http://schemas.openxmlformats.org/officeDocument/2006/relationships/image" Target="../media/image151.emf"/><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5" Type="http://schemas.openxmlformats.org/officeDocument/2006/relationships/oleObject" Target="../embeddings/oleObject3.bin"/><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36" Type="http://schemas.openxmlformats.org/officeDocument/2006/relationships/ctrlProp" Target="../ctrlProps/ctrlProp220.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vmlDrawing" Target="../drawings/vmlDrawing20.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8" Type="http://schemas.openxmlformats.org/officeDocument/2006/relationships/image" Target="../media/image152.emf"/></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24.xml"/><Relationship Id="rId13" Type="http://schemas.openxmlformats.org/officeDocument/2006/relationships/ctrlProp" Target="../ctrlProps/ctrlProp229.xml"/><Relationship Id="rId18" Type="http://schemas.openxmlformats.org/officeDocument/2006/relationships/ctrlProp" Target="../ctrlProps/ctrlProp234.xml"/><Relationship Id="rId3" Type="http://schemas.openxmlformats.org/officeDocument/2006/relationships/vmlDrawing" Target="../drawings/vmlDrawing21.vml"/><Relationship Id="rId7" Type="http://schemas.openxmlformats.org/officeDocument/2006/relationships/ctrlProp" Target="../ctrlProps/ctrlProp223.xml"/><Relationship Id="rId12" Type="http://schemas.openxmlformats.org/officeDocument/2006/relationships/ctrlProp" Target="../ctrlProps/ctrlProp228.xml"/><Relationship Id="rId17" Type="http://schemas.openxmlformats.org/officeDocument/2006/relationships/ctrlProp" Target="../ctrlProps/ctrlProp233.xml"/><Relationship Id="rId2" Type="http://schemas.openxmlformats.org/officeDocument/2006/relationships/drawing" Target="../drawings/drawing11.xml"/><Relationship Id="rId16" Type="http://schemas.openxmlformats.org/officeDocument/2006/relationships/ctrlProp" Target="../ctrlProps/ctrlProp232.xml"/><Relationship Id="rId20" Type="http://schemas.openxmlformats.org/officeDocument/2006/relationships/ctrlProp" Target="../ctrlProps/ctrlProp236.xml"/><Relationship Id="rId1" Type="http://schemas.openxmlformats.org/officeDocument/2006/relationships/printerSettings" Target="../printerSettings/printerSettings11.bin"/><Relationship Id="rId6" Type="http://schemas.openxmlformats.org/officeDocument/2006/relationships/ctrlProp" Target="../ctrlProps/ctrlProp222.xml"/><Relationship Id="rId11" Type="http://schemas.openxmlformats.org/officeDocument/2006/relationships/ctrlProp" Target="../ctrlProps/ctrlProp227.xml"/><Relationship Id="rId5" Type="http://schemas.openxmlformats.org/officeDocument/2006/relationships/ctrlProp" Target="../ctrlProps/ctrlProp221.xml"/><Relationship Id="rId15" Type="http://schemas.openxmlformats.org/officeDocument/2006/relationships/ctrlProp" Target="../ctrlProps/ctrlProp231.xml"/><Relationship Id="rId10" Type="http://schemas.openxmlformats.org/officeDocument/2006/relationships/ctrlProp" Target="../ctrlProps/ctrlProp226.xml"/><Relationship Id="rId19" Type="http://schemas.openxmlformats.org/officeDocument/2006/relationships/ctrlProp" Target="../ctrlProps/ctrlProp235.xml"/><Relationship Id="rId4" Type="http://schemas.openxmlformats.org/officeDocument/2006/relationships/vmlDrawing" Target="../drawings/vmlDrawing22.vml"/><Relationship Id="rId9" Type="http://schemas.openxmlformats.org/officeDocument/2006/relationships/ctrlProp" Target="../ctrlProps/ctrlProp225.xml"/><Relationship Id="rId14" Type="http://schemas.openxmlformats.org/officeDocument/2006/relationships/ctrlProp" Target="../ctrlProps/ctrlProp230.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41.xml"/><Relationship Id="rId18" Type="http://schemas.openxmlformats.org/officeDocument/2006/relationships/ctrlProp" Target="../ctrlProps/ctrlProp246.xml"/><Relationship Id="rId26" Type="http://schemas.openxmlformats.org/officeDocument/2006/relationships/ctrlProp" Target="../ctrlProps/ctrlProp254.xml"/><Relationship Id="rId39" Type="http://schemas.openxmlformats.org/officeDocument/2006/relationships/ctrlProp" Target="../ctrlProps/ctrlProp267.xml"/><Relationship Id="rId21" Type="http://schemas.openxmlformats.org/officeDocument/2006/relationships/ctrlProp" Target="../ctrlProps/ctrlProp249.xml"/><Relationship Id="rId34" Type="http://schemas.openxmlformats.org/officeDocument/2006/relationships/ctrlProp" Target="../ctrlProps/ctrlProp262.xml"/><Relationship Id="rId7" Type="http://schemas.openxmlformats.org/officeDocument/2006/relationships/oleObject" Target="../embeddings/oleObject6.bin"/><Relationship Id="rId12" Type="http://schemas.openxmlformats.org/officeDocument/2006/relationships/ctrlProp" Target="../ctrlProps/ctrlProp240.xml"/><Relationship Id="rId17" Type="http://schemas.openxmlformats.org/officeDocument/2006/relationships/ctrlProp" Target="../ctrlProps/ctrlProp245.xml"/><Relationship Id="rId25" Type="http://schemas.openxmlformats.org/officeDocument/2006/relationships/ctrlProp" Target="../ctrlProps/ctrlProp253.xml"/><Relationship Id="rId33" Type="http://schemas.openxmlformats.org/officeDocument/2006/relationships/ctrlProp" Target="../ctrlProps/ctrlProp261.xml"/><Relationship Id="rId38" Type="http://schemas.openxmlformats.org/officeDocument/2006/relationships/ctrlProp" Target="../ctrlProps/ctrlProp266.xml"/><Relationship Id="rId2" Type="http://schemas.openxmlformats.org/officeDocument/2006/relationships/drawing" Target="../drawings/drawing12.xml"/><Relationship Id="rId16" Type="http://schemas.openxmlformats.org/officeDocument/2006/relationships/ctrlProp" Target="../ctrlProps/ctrlProp244.xml"/><Relationship Id="rId20" Type="http://schemas.openxmlformats.org/officeDocument/2006/relationships/ctrlProp" Target="../ctrlProps/ctrlProp248.xml"/><Relationship Id="rId29" Type="http://schemas.openxmlformats.org/officeDocument/2006/relationships/ctrlProp" Target="../ctrlProps/ctrlProp257.xml"/><Relationship Id="rId1" Type="http://schemas.openxmlformats.org/officeDocument/2006/relationships/printerSettings" Target="../printerSettings/printerSettings12.bin"/><Relationship Id="rId6" Type="http://schemas.openxmlformats.org/officeDocument/2006/relationships/image" Target="../media/image151.emf"/><Relationship Id="rId11" Type="http://schemas.openxmlformats.org/officeDocument/2006/relationships/ctrlProp" Target="../ctrlProps/ctrlProp239.xml"/><Relationship Id="rId24" Type="http://schemas.openxmlformats.org/officeDocument/2006/relationships/ctrlProp" Target="../ctrlProps/ctrlProp252.xml"/><Relationship Id="rId32" Type="http://schemas.openxmlformats.org/officeDocument/2006/relationships/ctrlProp" Target="../ctrlProps/ctrlProp260.xml"/><Relationship Id="rId37" Type="http://schemas.openxmlformats.org/officeDocument/2006/relationships/ctrlProp" Target="../ctrlProps/ctrlProp265.xml"/><Relationship Id="rId5" Type="http://schemas.openxmlformats.org/officeDocument/2006/relationships/oleObject" Target="../embeddings/oleObject5.bin"/><Relationship Id="rId15" Type="http://schemas.openxmlformats.org/officeDocument/2006/relationships/ctrlProp" Target="../ctrlProps/ctrlProp243.xml"/><Relationship Id="rId23" Type="http://schemas.openxmlformats.org/officeDocument/2006/relationships/ctrlProp" Target="../ctrlProps/ctrlProp251.xml"/><Relationship Id="rId28" Type="http://schemas.openxmlformats.org/officeDocument/2006/relationships/ctrlProp" Target="../ctrlProps/ctrlProp256.xml"/><Relationship Id="rId36" Type="http://schemas.openxmlformats.org/officeDocument/2006/relationships/ctrlProp" Target="../ctrlProps/ctrlProp264.xml"/><Relationship Id="rId10" Type="http://schemas.openxmlformats.org/officeDocument/2006/relationships/ctrlProp" Target="../ctrlProps/ctrlProp238.xml"/><Relationship Id="rId19" Type="http://schemas.openxmlformats.org/officeDocument/2006/relationships/ctrlProp" Target="../ctrlProps/ctrlProp247.xml"/><Relationship Id="rId31" Type="http://schemas.openxmlformats.org/officeDocument/2006/relationships/ctrlProp" Target="../ctrlProps/ctrlProp259.xml"/><Relationship Id="rId4" Type="http://schemas.openxmlformats.org/officeDocument/2006/relationships/vmlDrawing" Target="../drawings/vmlDrawing24.v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 Id="rId27" Type="http://schemas.openxmlformats.org/officeDocument/2006/relationships/ctrlProp" Target="../ctrlProps/ctrlProp255.xml"/><Relationship Id="rId30" Type="http://schemas.openxmlformats.org/officeDocument/2006/relationships/ctrlProp" Target="../ctrlProps/ctrlProp258.xml"/><Relationship Id="rId35" Type="http://schemas.openxmlformats.org/officeDocument/2006/relationships/ctrlProp" Target="../ctrlProps/ctrlProp263.xml"/><Relationship Id="rId8" Type="http://schemas.openxmlformats.org/officeDocument/2006/relationships/image" Target="../media/image152.emf"/><Relationship Id="rId3" Type="http://schemas.openxmlformats.org/officeDocument/2006/relationships/vmlDrawing" Target="../drawings/vmlDrawing23.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1.xml"/><Relationship Id="rId13" Type="http://schemas.openxmlformats.org/officeDocument/2006/relationships/ctrlProp" Target="../ctrlProps/ctrlProp276.xml"/><Relationship Id="rId18" Type="http://schemas.openxmlformats.org/officeDocument/2006/relationships/ctrlProp" Target="../ctrlProps/ctrlProp281.xml"/><Relationship Id="rId3" Type="http://schemas.openxmlformats.org/officeDocument/2006/relationships/vmlDrawing" Target="../drawings/vmlDrawing25.vml"/><Relationship Id="rId7" Type="http://schemas.openxmlformats.org/officeDocument/2006/relationships/ctrlProp" Target="../ctrlProps/ctrlProp270.xml"/><Relationship Id="rId12" Type="http://schemas.openxmlformats.org/officeDocument/2006/relationships/ctrlProp" Target="../ctrlProps/ctrlProp275.xml"/><Relationship Id="rId17" Type="http://schemas.openxmlformats.org/officeDocument/2006/relationships/ctrlProp" Target="../ctrlProps/ctrlProp280.xml"/><Relationship Id="rId2" Type="http://schemas.openxmlformats.org/officeDocument/2006/relationships/drawing" Target="../drawings/drawing13.xml"/><Relationship Id="rId16" Type="http://schemas.openxmlformats.org/officeDocument/2006/relationships/ctrlProp" Target="../ctrlProps/ctrlProp279.xml"/><Relationship Id="rId1" Type="http://schemas.openxmlformats.org/officeDocument/2006/relationships/printerSettings" Target="../printerSettings/printerSettings13.bin"/><Relationship Id="rId6" Type="http://schemas.openxmlformats.org/officeDocument/2006/relationships/ctrlProp" Target="../ctrlProps/ctrlProp269.xml"/><Relationship Id="rId11" Type="http://schemas.openxmlformats.org/officeDocument/2006/relationships/ctrlProp" Target="../ctrlProps/ctrlProp274.xml"/><Relationship Id="rId5" Type="http://schemas.openxmlformats.org/officeDocument/2006/relationships/ctrlProp" Target="../ctrlProps/ctrlProp268.xml"/><Relationship Id="rId15" Type="http://schemas.openxmlformats.org/officeDocument/2006/relationships/ctrlProp" Target="../ctrlProps/ctrlProp278.xml"/><Relationship Id="rId10" Type="http://schemas.openxmlformats.org/officeDocument/2006/relationships/ctrlProp" Target="../ctrlProps/ctrlProp273.xml"/><Relationship Id="rId4" Type="http://schemas.openxmlformats.org/officeDocument/2006/relationships/vmlDrawing" Target="../drawings/vmlDrawing26.vml"/><Relationship Id="rId9" Type="http://schemas.openxmlformats.org/officeDocument/2006/relationships/ctrlProp" Target="../ctrlProps/ctrlProp272.xml"/><Relationship Id="rId14" Type="http://schemas.openxmlformats.org/officeDocument/2006/relationships/ctrlProp" Target="../ctrlProps/ctrlProp27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98.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98.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34" Type="http://schemas.openxmlformats.org/officeDocument/2006/relationships/ctrlProp" Target="../ctrlProps/ctrlProp192.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workbookViewId="0">
      <selection activeCell="D2" sqref="D2"/>
    </sheetView>
  </sheetViews>
  <sheetFormatPr baseColWidth="10" defaultColWidth="0" defaultRowHeight="14.4" zeroHeight="1"/>
  <cols>
    <col min="1" max="1" width="3.6640625" customWidth="1"/>
    <col min="2" max="5" width="7.6640625" customWidth="1"/>
    <col min="6" max="6" width="3" customWidth="1"/>
    <col min="7" max="7" width="12.44140625" customWidth="1"/>
    <col min="8" max="8" width="4.6640625" customWidth="1"/>
    <col min="9" max="12" width="7.6640625" customWidth="1"/>
    <col min="13" max="13" width="11.6640625" customWidth="1"/>
    <col min="14" max="14" width="5.6640625" customWidth="1"/>
    <col min="15" max="21" width="1.44140625" hidden="1" customWidth="1"/>
    <col min="22" max="22" width="3" hidden="1" customWidth="1"/>
    <col min="23" max="30" width="1.44140625" hidden="1" customWidth="1"/>
    <col min="31" max="31" width="3" hidden="1" customWidth="1"/>
    <col min="32" max="16384" width="1.44140625" hidden="1"/>
  </cols>
  <sheetData>
    <row r="1" spans="3:31" ht="28.2">
      <c r="E1" s="558" t="str">
        <f>VLOOKUP(853,Sprachindex!$A:$Z,$O$7,FALSE)</f>
        <v>Sprache</v>
      </c>
      <c r="F1" s="559"/>
      <c r="G1" s="560"/>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182">
        <v>15</v>
      </c>
    </row>
    <row r="7" spans="3:31">
      <c r="E7" s="40"/>
      <c r="F7" s="41"/>
      <c r="G7" s="136" t="s">
        <v>11</v>
      </c>
      <c r="J7" s="42" t="s">
        <v>12</v>
      </c>
      <c r="K7" t="str">
        <f>VLOOKUP(260,Sprachindex!$A:$Z,Info!$O$7,FALSE)</f>
        <v>Dachpaneel FX.12</v>
      </c>
      <c r="O7" s="182">
        <f>O6+1</f>
        <v>16</v>
      </c>
      <c r="V7" s="180">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14"/>
      <c r="F12" s="115"/>
      <c r="G12" s="137" t="s">
        <v>21</v>
      </c>
      <c r="J12" s="42"/>
    </row>
    <row r="13" spans="3:31">
      <c r="E13" s="114"/>
      <c r="F13" s="115"/>
      <c r="G13" s="116" t="s">
        <v>22</v>
      </c>
    </row>
    <row r="14" spans="3:31">
      <c r="E14" s="114"/>
      <c r="F14" s="115"/>
      <c r="G14" s="116" t="s">
        <v>23</v>
      </c>
    </row>
    <row r="15" spans="3:31">
      <c r="E15" s="114"/>
      <c r="F15" s="115"/>
      <c r="G15" s="116"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552" t="str">
        <f>VLOOKUP(67,Sprachindex!$A:$Z,$O$7,FALSE)</f>
        <v>2: Sämtliche Felder, die grau hinterlegt sind, können befüllt werden oder sind mit einer vordefinierten Auswahlliste hinterlegt.</v>
      </c>
      <c r="C21" s="553"/>
      <c r="D21" s="553"/>
      <c r="E21" s="553"/>
      <c r="F21" s="553"/>
      <c r="G21" s="553"/>
      <c r="H21" s="553"/>
      <c r="I21" s="553"/>
      <c r="J21" s="553"/>
      <c r="K21" s="553"/>
      <c r="L21" s="553"/>
      <c r="M21" s="554"/>
    </row>
    <row r="22" spans="2:13">
      <c r="B22" s="555"/>
      <c r="C22" s="556"/>
      <c r="D22" s="556"/>
      <c r="E22" s="556"/>
      <c r="F22" s="556"/>
      <c r="G22" s="556"/>
      <c r="H22" s="556"/>
      <c r="I22" s="556"/>
      <c r="J22" s="556"/>
      <c r="K22" s="556"/>
      <c r="L22" s="556"/>
      <c r="M22" s="557"/>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183">
        <v>45511</v>
      </c>
    </row>
    <row r="60" spans="2:13"/>
  </sheetData>
  <sheetProtection algorithmName="SHA-512" hashValue="3Iaa8tkKNQdIDsTVIS5BP/z9nYVMrVY43D7A7MLiGvhczfUEbxkEz8vJLwohY1I3xBjixzZaDc5LTtRT76i+nA==" saltValue="OUibfwC4sCfYnFyB6uVx8g=="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Option Button 2">
              <controlPr defaultSize="0" autoFill="0" autoLine="0" autoPict="0" altText="">
                <anchor moveWithCells="1">
                  <from>
                    <xdr:col>4</xdr:col>
                    <xdr:colOff>144780</xdr:colOff>
                    <xdr:row>2</xdr:row>
                    <xdr:rowOff>30480</xdr:rowOff>
                  </from>
                  <to>
                    <xdr:col>6</xdr:col>
                    <xdr:colOff>609600</xdr:colOff>
                    <xdr:row>3</xdr:row>
                    <xdr:rowOff>0</xdr:rowOff>
                  </to>
                </anchor>
              </controlPr>
            </control>
          </mc:Choice>
        </mc:AlternateContent>
        <mc:AlternateContent xmlns:mc="http://schemas.openxmlformats.org/markup-compatibility/2006">
          <mc:Choice Requires="x14">
            <control shapeId="2049" r:id="rId6" name="Group Box 1">
              <controlPr defaultSize="0" print="0" autoFill="0" autoPict="0" altText="">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51" r:id="rId7" name="Option Button 3">
              <controlPr defaultSize="0" autoFill="0" autoLine="0" autoPict="0" altText="">
                <anchor moveWithCells="1">
                  <from>
                    <xdr:col>4</xdr:col>
                    <xdr:colOff>144780</xdr:colOff>
                    <xdr:row>3</xdr:row>
                    <xdr:rowOff>30480</xdr:rowOff>
                  </from>
                  <to>
                    <xdr:col>6</xdr:col>
                    <xdr:colOff>609600</xdr:colOff>
                    <xdr:row>4</xdr:row>
                    <xdr:rowOff>0</xdr:rowOff>
                  </to>
                </anchor>
              </controlPr>
            </control>
          </mc:Choice>
        </mc:AlternateContent>
        <mc:AlternateContent xmlns:mc="http://schemas.openxmlformats.org/markup-compatibility/2006">
          <mc:Choice Requires="x14">
            <control shapeId="2052" r:id="rId8" name="Option Button 4">
              <controlPr defaultSize="0" autoFill="0" autoLine="0" autoPict="0" altText="">
                <anchor moveWithCells="1">
                  <from>
                    <xdr:col>4</xdr:col>
                    <xdr:colOff>144780</xdr:colOff>
                    <xdr:row>4</xdr:row>
                    <xdr:rowOff>30480</xdr:rowOff>
                  </from>
                  <to>
                    <xdr:col>6</xdr:col>
                    <xdr:colOff>754380</xdr:colOff>
                    <xdr:row>5</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ltText="">
                <anchor moveWithCells="1">
                  <from>
                    <xdr:col>4</xdr:col>
                    <xdr:colOff>144780</xdr:colOff>
                    <xdr:row>5</xdr:row>
                    <xdr:rowOff>30480</xdr:rowOff>
                  </from>
                  <to>
                    <xdr:col>6</xdr:col>
                    <xdr:colOff>609600</xdr:colOff>
                    <xdr:row>6</xdr:row>
                    <xdr:rowOff>0</xdr:rowOff>
                  </to>
                </anchor>
              </controlPr>
            </control>
          </mc:Choice>
        </mc:AlternateContent>
        <mc:AlternateContent xmlns:mc="http://schemas.openxmlformats.org/markup-compatibility/2006">
          <mc:Choice Requires="x14">
            <control shapeId="2054" r:id="rId10" name="Option Button 6">
              <controlPr defaultSize="0" autoFill="0" autoLine="0" autoPict="0" altText="">
                <anchor moveWithCells="1">
                  <from>
                    <xdr:col>6</xdr:col>
                    <xdr:colOff>716280</xdr:colOff>
                    <xdr:row>6</xdr:row>
                    <xdr:rowOff>30480</xdr:rowOff>
                  </from>
                  <to>
                    <xdr:col>6</xdr:col>
                    <xdr:colOff>754380</xdr:colOff>
                    <xdr:row>7</xdr:row>
                    <xdr:rowOff>0</xdr:rowOff>
                  </to>
                </anchor>
              </controlPr>
            </control>
          </mc:Choice>
        </mc:AlternateContent>
        <mc:AlternateContent xmlns:mc="http://schemas.openxmlformats.org/markup-compatibility/2006">
          <mc:Choice Requires="x14">
            <control shapeId="2055" r:id="rId11" name="Option Button 7">
              <controlPr defaultSize="0" autoFill="0" autoLine="0" autoPict="0" altText="">
                <anchor moveWithCells="1">
                  <from>
                    <xdr:col>4</xdr:col>
                    <xdr:colOff>144780</xdr:colOff>
                    <xdr:row>7</xdr:row>
                    <xdr:rowOff>30480</xdr:rowOff>
                  </from>
                  <to>
                    <xdr:col>6</xdr:col>
                    <xdr:colOff>609600</xdr:colOff>
                    <xdr:row>8</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ltText="">
                <anchor moveWithCells="1">
                  <from>
                    <xdr:col>4</xdr:col>
                    <xdr:colOff>144780</xdr:colOff>
                    <xdr:row>8</xdr:row>
                    <xdr:rowOff>30480</xdr:rowOff>
                  </from>
                  <to>
                    <xdr:col>6</xdr:col>
                    <xdr:colOff>609600</xdr:colOff>
                    <xdr:row>9</xdr:row>
                    <xdr:rowOff>0</xdr:rowOff>
                  </to>
                </anchor>
              </controlPr>
            </control>
          </mc:Choice>
        </mc:AlternateContent>
        <mc:AlternateContent xmlns:mc="http://schemas.openxmlformats.org/markup-compatibility/2006">
          <mc:Choice Requires="x14">
            <control shapeId="2057" r:id="rId13" name="Option Button 9">
              <controlPr defaultSize="0" autoFill="0" autoLine="0" autoPict="0" altText="">
                <anchor moveWithCells="1">
                  <from>
                    <xdr:col>4</xdr:col>
                    <xdr:colOff>144780</xdr:colOff>
                    <xdr:row>9</xdr:row>
                    <xdr:rowOff>30480</xdr:rowOff>
                  </from>
                  <to>
                    <xdr:col>6</xdr:col>
                    <xdr:colOff>609600</xdr:colOff>
                    <xdr:row>10</xdr:row>
                    <xdr:rowOff>0</xdr:rowOff>
                  </to>
                </anchor>
              </controlPr>
            </control>
          </mc:Choice>
        </mc:AlternateContent>
        <mc:AlternateContent xmlns:mc="http://schemas.openxmlformats.org/markup-compatibility/2006">
          <mc:Choice Requires="x14">
            <control shapeId="2058" r:id="rId14" name="Option Button 10">
              <controlPr defaultSize="0" autoFill="0" autoLine="0" autoPict="0" altText="">
                <anchor moveWithCells="1">
                  <from>
                    <xdr:col>4</xdr:col>
                    <xdr:colOff>144780</xdr:colOff>
                    <xdr:row>10</xdr:row>
                    <xdr:rowOff>30480</xdr:rowOff>
                  </from>
                  <to>
                    <xdr:col>6</xdr:col>
                    <xdr:colOff>609600</xdr:colOff>
                    <xdr:row>11</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ltText="">
                <anchor moveWithCells="1">
                  <from>
                    <xdr:col>6</xdr:col>
                    <xdr:colOff>716280</xdr:colOff>
                    <xdr:row>11</xdr:row>
                    <xdr:rowOff>30480</xdr:rowOff>
                  </from>
                  <to>
                    <xdr:col>6</xdr:col>
                    <xdr:colOff>754380</xdr:colOff>
                    <xdr:row>12</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ltText="">
                <anchor moveWithCells="1">
                  <from>
                    <xdr:col>4</xdr:col>
                    <xdr:colOff>144780</xdr:colOff>
                    <xdr:row>12</xdr:row>
                    <xdr:rowOff>30480</xdr:rowOff>
                  </from>
                  <to>
                    <xdr:col>6</xdr:col>
                    <xdr:colOff>609600</xdr:colOff>
                    <xdr:row>13</xdr:row>
                    <xdr:rowOff>0</xdr:rowOff>
                  </to>
                </anchor>
              </controlPr>
            </control>
          </mc:Choice>
        </mc:AlternateContent>
        <mc:AlternateContent xmlns:mc="http://schemas.openxmlformats.org/markup-compatibility/2006">
          <mc:Choice Requires="x14">
            <control shapeId="2061" r:id="rId17" name="Option Button 13">
              <controlPr defaultSize="0" autoFill="0" autoLine="0" autoPict="0" altText="">
                <anchor moveWithCells="1">
                  <from>
                    <xdr:col>4</xdr:col>
                    <xdr:colOff>144780</xdr:colOff>
                    <xdr:row>13</xdr:row>
                    <xdr:rowOff>30480</xdr:rowOff>
                  </from>
                  <to>
                    <xdr:col>6</xdr:col>
                    <xdr:colOff>609600</xdr:colOff>
                    <xdr:row>14</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ltText="">
                <anchor moveWithCells="1">
                  <from>
                    <xdr:col>4</xdr:col>
                    <xdr:colOff>144780</xdr:colOff>
                    <xdr:row>14</xdr:row>
                    <xdr:rowOff>30480</xdr:rowOff>
                  </from>
                  <to>
                    <xdr:col>6</xdr:col>
                    <xdr:colOff>609600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ltText="">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ltText="">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GV185"/>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9.6640625" style="5" hidden="1" customWidth="1"/>
    <col min="17" max="18" width="9.6640625" style="135" hidden="1" customWidth="1"/>
    <col min="19" max="19" width="9.6640625" style="5" hidden="1" customWidth="1"/>
    <col min="20" max="20" width="2.6640625" style="5" hidden="1" customWidth="1"/>
    <col min="21" max="21" width="26" style="9" hidden="1" customWidth="1"/>
    <col min="22" max="22" width="26" style="1" hidden="1" customWidth="1"/>
    <col min="23" max="33" width="8.6640625" style="1" hidden="1" customWidth="1"/>
    <col min="34" max="34" width="9" style="1" hidden="1" customWidth="1"/>
    <col min="35" max="35" width="8.6640625" style="1" hidden="1" customWidth="1"/>
    <col min="36" max="36" width="10.88671875" style="1" hidden="1" customWidth="1"/>
    <col min="37" max="46" width="8.6640625" style="1" hidden="1" customWidth="1"/>
    <col min="47" max="47" width="11.6640625" style="1" hidden="1" customWidth="1"/>
    <col min="48" max="50" width="8.6640625" style="1" hidden="1" customWidth="1"/>
    <col min="51" max="52" width="12.6640625" style="1" hidden="1" customWidth="1"/>
    <col min="53" max="165" width="8.6640625" style="1" hidden="1" customWidth="1"/>
    <col min="166" max="166" width="14.6640625" style="1" hidden="1" customWidth="1"/>
    <col min="167" max="204" width="8.6640625" style="1" hidden="1" customWidth="1"/>
    <col min="205" max="16384" width="11.5546875" style="1" hidden="1"/>
  </cols>
  <sheetData>
    <row r="1" spans="1:23" ht="28.2">
      <c r="N1" s="2" t="str">
        <f>VLOOKUP(272,Sprachindex!$A:$Z,Info!$O$7,FALSE)</f>
        <v>Dachrinnensysteme</v>
      </c>
    </row>
    <row r="2" spans="1:23" ht="28.2">
      <c r="D2" s="18"/>
      <c r="N2" s="2" t="str">
        <f>VLOOKUP(1417,Sprachindex!$A:$Z,Info!$O$7,FALSE)</f>
        <v>Dachentwässerung P.10</v>
      </c>
    </row>
    <row r="3" spans="1:23" ht="15" customHeight="1"/>
    <row r="4" spans="1:23" ht="17.25" customHeight="1">
      <c r="A4" s="70"/>
      <c r="B4" s="70"/>
      <c r="C4" s="70"/>
      <c r="D4" s="70"/>
      <c r="E4" s="70"/>
      <c r="F4" s="70"/>
      <c r="G4" s="70"/>
      <c r="H4" s="70"/>
      <c r="I4" s="70"/>
      <c r="J4" s="70"/>
      <c r="K4" s="70"/>
      <c r="L4" s="70"/>
      <c r="M4" s="70"/>
      <c r="N4" s="204"/>
      <c r="O4" s="71"/>
      <c r="P4" s="71"/>
      <c r="Q4" s="93"/>
      <c r="R4" s="93"/>
      <c r="S4" s="71"/>
      <c r="T4" s="71"/>
      <c r="V4" s="3"/>
    </row>
    <row r="5" spans="1:23" ht="17.25" customHeight="1">
      <c r="A5" s="70"/>
      <c r="B5" s="70"/>
      <c r="C5" s="70"/>
      <c r="D5" s="70"/>
      <c r="E5" s="70"/>
      <c r="F5" s="70"/>
      <c r="G5" s="70"/>
      <c r="H5" s="70"/>
      <c r="I5" s="70"/>
      <c r="J5" s="70"/>
      <c r="K5" s="70"/>
      <c r="L5" s="70"/>
      <c r="M5" s="70"/>
      <c r="N5" s="204"/>
      <c r="O5" s="71"/>
      <c r="P5" s="71"/>
      <c r="Q5" s="93"/>
      <c r="R5" s="93"/>
      <c r="S5" s="71"/>
      <c r="T5" s="71"/>
      <c r="V5" s="3"/>
    </row>
    <row r="6" spans="1:23" ht="17.25" customHeight="1">
      <c r="A6" s="70"/>
      <c r="B6" s="70"/>
      <c r="C6" s="70"/>
      <c r="D6" s="70"/>
      <c r="E6" s="70"/>
      <c r="F6" s="70"/>
      <c r="G6" s="70"/>
      <c r="H6" s="70"/>
      <c r="I6" s="70"/>
      <c r="J6" s="70"/>
      <c r="K6" s="70"/>
      <c r="L6" s="70"/>
      <c r="M6" s="70"/>
      <c r="N6" s="204"/>
      <c r="O6" s="99"/>
      <c r="P6" s="99"/>
      <c r="Q6" s="73"/>
      <c r="R6" s="73"/>
      <c r="S6" s="99"/>
      <c r="T6" s="99"/>
      <c r="V6" s="3"/>
    </row>
    <row r="7" spans="1:23" ht="17.25" customHeight="1">
      <c r="A7" s="70"/>
      <c r="B7" s="70"/>
      <c r="C7" s="70"/>
      <c r="D7" s="70"/>
      <c r="E7" s="70"/>
      <c r="F7" s="70"/>
      <c r="G7" s="70"/>
      <c r="H7" s="70"/>
      <c r="I7" s="70"/>
      <c r="J7" s="70"/>
      <c r="K7" s="70"/>
      <c r="L7" s="70"/>
      <c r="M7" s="70"/>
      <c r="N7" s="204"/>
      <c r="O7" s="99"/>
      <c r="P7" s="99"/>
      <c r="Q7" s="73"/>
      <c r="R7" s="73"/>
      <c r="S7" s="99"/>
      <c r="T7" s="99"/>
      <c r="V7" s="3"/>
    </row>
    <row r="8" spans="1:23" ht="17.25" customHeight="1">
      <c r="A8" s="88" t="str">
        <f>VLOOKUP(393,Sprachindex!$A:$Z,Info!$O$7,FALSE)</f>
        <v>Firma / Besteller:</v>
      </c>
      <c r="B8" s="70"/>
      <c r="C8" s="70"/>
      <c r="D8" s="70"/>
      <c r="E8" s="70"/>
      <c r="F8" s="70"/>
      <c r="G8" s="70"/>
      <c r="H8" s="70"/>
      <c r="I8" s="70"/>
      <c r="J8" s="70"/>
      <c r="K8" s="70"/>
      <c r="L8" s="70"/>
      <c r="M8" s="70"/>
      <c r="N8" s="70"/>
      <c r="O8" s="71"/>
      <c r="P8" s="71"/>
      <c r="Q8" s="93"/>
      <c r="R8" s="93"/>
      <c r="S8" s="71"/>
      <c r="T8" s="71"/>
      <c r="U8" s="10"/>
    </row>
    <row r="9" spans="1:23" ht="15" customHeight="1">
      <c r="A9" s="70"/>
      <c r="B9" s="74" t="str">
        <f>VLOOKUP(622,Sprachindex!$A:$Z,Info!$O$7,FALSE)</f>
        <v>Name:</v>
      </c>
      <c r="C9" s="585"/>
      <c r="D9" s="586"/>
      <c r="E9" s="587"/>
      <c r="F9" s="70"/>
      <c r="G9" s="87" t="str">
        <f>VLOOKUP(638,Sprachindex!$A:$Z,Info!$O$7,FALSE)</f>
        <v>Oberfläche:</v>
      </c>
      <c r="H9" s="70"/>
      <c r="I9" s="71"/>
      <c r="J9" s="69"/>
      <c r="K9" s="70"/>
      <c r="L9" s="69" t="str">
        <f>VLOOKUP(433,Sprachindex!$A:$Z,Info!$O$7,FALSE)</f>
        <v>glatt</v>
      </c>
      <c r="M9" s="70"/>
      <c r="N9" s="70"/>
      <c r="O9" s="99">
        <v>0</v>
      </c>
      <c r="P9" s="99"/>
      <c r="Q9" s="73"/>
      <c r="R9" s="73"/>
      <c r="S9" s="99"/>
      <c r="T9" s="99"/>
      <c r="V9" s="4"/>
    </row>
    <row r="10" spans="1:23" ht="15" customHeight="1">
      <c r="A10" s="70"/>
      <c r="B10" s="74" t="str">
        <f>VLOOKUP(884,Sprachindex!$A:$Z,Info!$O$7,FALSE)</f>
        <v>Straße:</v>
      </c>
      <c r="C10" s="585"/>
      <c r="D10" s="586"/>
      <c r="E10" s="587"/>
      <c r="F10" s="70"/>
      <c r="G10" s="70"/>
      <c r="H10" s="70"/>
      <c r="I10" s="70"/>
      <c r="J10" s="71">
        <v>1</v>
      </c>
      <c r="K10" s="70"/>
      <c r="L10" s="70"/>
      <c r="M10" s="70"/>
      <c r="N10" s="70"/>
      <c r="O10" s="71"/>
      <c r="P10" s="71"/>
      <c r="Q10" s="93"/>
      <c r="R10" s="93"/>
      <c r="S10" s="71"/>
      <c r="T10" s="71"/>
      <c r="V10" s="4"/>
    </row>
    <row r="11" spans="1:23"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v>0</v>
      </c>
      <c r="P11" s="99"/>
      <c r="Q11" s="73"/>
      <c r="R11" s="73"/>
      <c r="S11" s="99"/>
      <c r="T11" s="99"/>
      <c r="V11" s="4"/>
    </row>
    <row r="12" spans="1:23" ht="15" customHeight="1">
      <c r="A12" s="70"/>
      <c r="B12" s="70"/>
      <c r="C12" s="70"/>
      <c r="D12" s="70"/>
      <c r="E12" s="70"/>
      <c r="F12" s="70"/>
      <c r="G12" s="70"/>
      <c r="H12" s="70"/>
      <c r="I12" s="74"/>
      <c r="J12" s="71">
        <v>1</v>
      </c>
      <c r="K12" s="70"/>
      <c r="L12" s="70"/>
      <c r="M12" s="70"/>
      <c r="N12" s="70"/>
      <c r="O12" s="71"/>
      <c r="P12" s="71"/>
      <c r="Q12" s="93"/>
      <c r="R12" s="93"/>
      <c r="S12" s="71"/>
      <c r="T12" s="71"/>
    </row>
    <row r="13" spans="1:23"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99"/>
      <c r="P13" s="99"/>
      <c r="Q13" s="73"/>
      <c r="R13" s="73"/>
      <c r="S13" s="99"/>
      <c r="T13" s="99"/>
      <c r="V13" s="4"/>
    </row>
    <row r="14" spans="1:23" ht="15" customHeight="1">
      <c r="A14" s="70"/>
      <c r="B14" s="74" t="str">
        <f>VLOOKUP(901,Sprachindex!$A:$Z,Info!$O$7,FALSE)</f>
        <v>Telefon:</v>
      </c>
      <c r="C14" s="585"/>
      <c r="D14" s="586"/>
      <c r="E14" s="587"/>
      <c r="F14" s="70"/>
      <c r="G14" s="70"/>
      <c r="H14" s="70"/>
      <c r="I14" s="70"/>
      <c r="J14" s="70"/>
      <c r="K14" s="70"/>
      <c r="L14" s="70"/>
      <c r="M14" s="70"/>
      <c r="N14" s="70"/>
      <c r="O14" s="71"/>
      <c r="P14" s="71"/>
      <c r="Q14" s="93"/>
      <c r="R14" s="93"/>
      <c r="S14" s="71"/>
      <c r="T14" s="71"/>
      <c r="V14" s="4"/>
    </row>
    <row r="15" spans="1:23" ht="15" customHeight="1">
      <c r="A15" s="70"/>
      <c r="B15" s="74" t="str">
        <f>VLOOKUP(1698,Sprachindex!$A:$Z,Info!$O$7,FALSE)</f>
        <v>eMail:</v>
      </c>
      <c r="C15" s="585"/>
      <c r="D15" s="586"/>
      <c r="E15" s="587"/>
      <c r="F15" s="70"/>
      <c r="G15" s="94" t="str">
        <f>VLOOKUP(385,Sprachindex!$A:$Z,Info!$O$7,FALSE)</f>
        <v>Farbe:</v>
      </c>
      <c r="K15" s="70"/>
      <c r="L15" s="94" t="str">
        <f>VLOOKUP(146,Sprachindex!$A:$Z,Info!$O$7,FALSE)</f>
        <v>Ablaufdimension:</v>
      </c>
      <c r="M15" s="70"/>
      <c r="N15" s="70"/>
      <c r="O15" s="71"/>
      <c r="P15" s="71"/>
      <c r="Q15" s="93"/>
      <c r="R15" s="93"/>
      <c r="S15" s="71"/>
      <c r="T15" s="71"/>
      <c r="W15" s="70"/>
    </row>
    <row r="16" spans="1:23" ht="15" customHeight="1">
      <c r="A16" s="70"/>
      <c r="B16" s="70"/>
      <c r="C16" s="70"/>
      <c r="D16" s="70"/>
      <c r="E16" s="70"/>
      <c r="F16" s="70"/>
      <c r="G16" s="70" t="str">
        <f>VLOOKUP(25,Sprachindex!$A:$Z,Info!$O$7,FALSE)</f>
        <v>01 P.10 Braun</v>
      </c>
      <c r="K16" s="69"/>
      <c r="L16" s="179" t="str">
        <f>VLOOKUP(125,Sprachindex!$A:$Z,Info!$O$7,FALSE)</f>
        <v>⌀ 60</v>
      </c>
      <c r="M16" s="70" t="str">
        <f>VLOOKUP(53,Sprachindex!$A:$Z,Info!$O$7,FALSE)</f>
        <v>⌀ 120</v>
      </c>
      <c r="N16" s="70"/>
      <c r="O16" s="99">
        <v>0</v>
      </c>
      <c r="P16" s="99"/>
      <c r="Q16" s="73"/>
      <c r="R16" s="73"/>
      <c r="S16" s="99"/>
      <c r="T16" s="99"/>
      <c r="W16" s="70"/>
    </row>
    <row r="17" spans="1:179" ht="15" customHeight="1">
      <c r="A17" s="88" t="str">
        <f>VLOOKUP(580,Sprachindex!$A:$Z,Info!$O$7,FALSE)</f>
        <v>Lieferadresse:</v>
      </c>
      <c r="B17" s="70"/>
      <c r="C17" s="70"/>
      <c r="D17" s="70"/>
      <c r="E17" s="70"/>
      <c r="F17" s="70"/>
      <c r="G17" s="70" t="str">
        <f>VLOOKUP(27,Sprachindex!$A:$Z,Info!$O$7,FALSE)</f>
        <v>02 P.10 Anthrazit</v>
      </c>
      <c r="K17" s="105"/>
      <c r="L17" s="179" t="str">
        <f>VLOOKUP(133,Sprachindex!$A:$Z,Info!$O$7,FALSE)</f>
        <v>⌀ 80</v>
      </c>
      <c r="M17" s="70" t="str">
        <f>VLOOKUP(58,Sprachindex!$A:$Z,Info!$O$7,FALSE)</f>
        <v>⌀ 150</v>
      </c>
      <c r="N17" s="70"/>
      <c r="O17" s="99">
        <v>0</v>
      </c>
      <c r="Q17" s="73"/>
      <c r="R17" s="73"/>
      <c r="S17" s="99"/>
      <c r="T17" s="99"/>
      <c r="W17" s="70"/>
    </row>
    <row r="18" spans="1:179" ht="15" customHeight="1">
      <c r="A18" s="70"/>
      <c r="B18" s="74" t="str">
        <f>VLOOKUP(622,Sprachindex!$A:$Z,Info!$O$7,FALSE)</f>
        <v>Name:</v>
      </c>
      <c r="C18" s="585"/>
      <c r="D18" s="586"/>
      <c r="E18" s="587"/>
      <c r="F18" s="70"/>
      <c r="G18" s="70" t="str">
        <f>VLOOKUP(28,Sprachindex!$A:$Z,Info!$O$7,FALSE)</f>
        <v>03 P.10 Schwarz</v>
      </c>
      <c r="J18" s="70"/>
      <c r="L18" s="179" t="str">
        <f>VLOOKUP(45,Sprachindex!$A:$Z,Info!$O$7,FALSE)</f>
        <v>⌀ 100</v>
      </c>
      <c r="O18" s="99">
        <v>0</v>
      </c>
      <c r="P18" s="99"/>
      <c r="Q18" s="73"/>
      <c r="R18" s="73"/>
      <c r="S18" s="99"/>
      <c r="T18" s="99"/>
      <c r="W18" s="70"/>
    </row>
    <row r="19" spans="1:179" ht="15" customHeight="1">
      <c r="A19" s="70"/>
      <c r="B19" s="74" t="str">
        <f>VLOOKUP(540,Sprachindex!$A:$Z,Info!$O$7,FALSE)</f>
        <v>Kommission:</v>
      </c>
      <c r="C19" s="585"/>
      <c r="D19" s="586"/>
      <c r="E19" s="587"/>
      <c r="F19" s="70"/>
      <c r="G19" s="70" t="str">
        <f>VLOOKUP(37,Sprachindex!$A:$Z,Info!$O$7,FALSE)</f>
        <v>07 P.10 Hellgrau</v>
      </c>
      <c r="J19" s="70"/>
      <c r="O19" s="71"/>
      <c r="P19" s="71"/>
      <c r="Q19" s="93"/>
      <c r="R19" s="93"/>
      <c r="S19" s="71"/>
      <c r="T19" s="71"/>
      <c r="W19" s="70"/>
    </row>
    <row r="20" spans="1:179" ht="15" customHeight="1">
      <c r="A20" s="70"/>
      <c r="B20" s="74" t="str">
        <f>VLOOKUP(884,Sprachindex!$A:$Z,Info!$O$7,FALSE)</f>
        <v>Straße:</v>
      </c>
      <c r="C20" s="585"/>
      <c r="D20" s="586"/>
      <c r="E20" s="587"/>
      <c r="F20" s="70"/>
      <c r="G20" s="70" t="str">
        <f>VLOOKUP(42,Sprachindex!$A:$Z,Info!$O$7,FALSE)</f>
        <v>10 P.10 Prefaweiß</v>
      </c>
      <c r="H20" s="70"/>
      <c r="I20" s="69"/>
      <c r="J20" s="70"/>
      <c r="L20" s="94" t="str">
        <f>VLOOKUP(709,Sprachindex!$A:$Z,Info!$O$7,FALSE)</f>
        <v>Rinnendimension:</v>
      </c>
      <c r="M20" s="5"/>
      <c r="N20" s="5"/>
      <c r="O20" s="71"/>
      <c r="P20" s="71"/>
      <c r="Q20" s="93"/>
      <c r="R20" s="93"/>
      <c r="S20" s="71"/>
      <c r="T20" s="71"/>
      <c r="V20" s="4"/>
    </row>
    <row r="21" spans="1:179" ht="15" customHeight="1">
      <c r="A21" s="70"/>
      <c r="B21" s="74" t="str">
        <f>VLOOKUP(641,Sprachindex!$A:$Z,Info!$O$7,FALSE)</f>
        <v>Ort:</v>
      </c>
      <c r="C21" s="585"/>
      <c r="D21" s="586"/>
      <c r="E21" s="587"/>
      <c r="F21" s="70"/>
      <c r="G21" s="70" t="str">
        <f>VLOOKUP(51,Sprachindex!$A:$Z,Info!$O$7,FALSE)</f>
        <v>11 P.10 Nussbraun</v>
      </c>
      <c r="H21" s="70"/>
      <c r="I21" s="70"/>
      <c r="J21" s="70"/>
      <c r="L21" s="179">
        <f>VLOOKUP(1,Sprachindex!$A:$Z,Info!$O$7,FALSE)</f>
        <v>250</v>
      </c>
      <c r="M21" s="69">
        <f>VLOOKUP(3,Sprachindex!$A:$Z,Info!$O$7,FALSE)</f>
        <v>333</v>
      </c>
      <c r="N21" s="69"/>
      <c r="V21" s="4"/>
    </row>
    <row r="22" spans="1:179" ht="15" customHeight="1">
      <c r="A22" s="70"/>
      <c r="B22" s="74"/>
      <c r="C22" s="70"/>
      <c r="D22" s="70"/>
      <c r="E22" s="70"/>
      <c r="F22" s="70"/>
      <c r="G22" s="70" t="str">
        <f>VLOOKUP(63,Sprachindex!$A:$Z,Info!$O$7,FALSE)</f>
        <v>19 P.10 Dunkelgrau</v>
      </c>
      <c r="H22" s="70"/>
      <c r="I22" s="70"/>
      <c r="J22" s="70"/>
      <c r="L22" s="179">
        <f>VLOOKUP(2,Sprachindex!$A:$Z,Info!$O$7,FALSE)</f>
        <v>280</v>
      </c>
      <c r="M22" s="69">
        <f>VLOOKUP(4,Sprachindex!$A:$Z,Info!$O$7,FALSE)</f>
        <v>400</v>
      </c>
      <c r="N22" s="69"/>
      <c r="V22" s="4"/>
    </row>
    <row r="23" spans="1:179" s="5" customFormat="1" ht="15" customHeight="1">
      <c r="A23" s="88" t="str">
        <f>VLOOKUP(1427,Sprachindex!$A:$Z,Info!$O$7,FALSE)</f>
        <v>Projektdaten:</v>
      </c>
      <c r="B23" s="74"/>
      <c r="C23" s="70"/>
      <c r="D23" s="70"/>
      <c r="E23" s="70"/>
      <c r="F23" s="70"/>
      <c r="G23" s="70"/>
      <c r="I23" s="70"/>
      <c r="O23" s="71"/>
      <c r="P23" s="71"/>
      <c r="Q23" s="93"/>
      <c r="R23" s="93"/>
      <c r="S23" s="71"/>
      <c r="T23" s="71"/>
      <c r="U23" s="54"/>
      <c r="V23" s="14"/>
    </row>
    <row r="24" spans="1:179" s="5" customFormat="1" ht="15" customHeight="1">
      <c r="A24" s="1"/>
      <c r="B24" s="584" t="str">
        <f>VLOOKUP(1430,Sprachindex!$A:$Z,Info!$O$7,FALSE)</f>
        <v>Beschreibung</v>
      </c>
      <c r="C24" s="585"/>
      <c r="D24" s="586"/>
      <c r="E24" s="587"/>
      <c r="K24" s="88" t="str">
        <f>VLOOKUP(1428,Sprachindex!$A:$Z,Info!$O$7,FALSE)</f>
        <v>techn. Ausarbeitung PREFA:</v>
      </c>
      <c r="N24" s="204"/>
      <c r="O24" s="71"/>
      <c r="P24" s="71"/>
      <c r="Q24" s="93"/>
      <c r="R24" s="93"/>
      <c r="S24" s="71"/>
      <c r="T24" s="71"/>
      <c r="U24" s="54"/>
      <c r="V24" s="14"/>
    </row>
    <row r="25" spans="1:179" s="5" customFormat="1" ht="15" customHeight="1">
      <c r="A25" s="1"/>
      <c r="B25" s="584"/>
      <c r="C25" s="585"/>
      <c r="D25" s="586"/>
      <c r="E25" s="587"/>
      <c r="K25" s="74" t="str">
        <f>VLOOKUP(1429,Sprachindex!$A:$Z,Info!$O$7,FALSE)</f>
        <v>Bearbeiter:</v>
      </c>
      <c r="L25" s="450"/>
      <c r="M25" s="204"/>
      <c r="N25" s="204"/>
      <c r="O25" s="71"/>
      <c r="P25" s="71"/>
      <c r="Q25" s="93"/>
      <c r="R25" s="93"/>
      <c r="S25" s="71"/>
      <c r="T25" s="71"/>
      <c r="U25" s="152"/>
      <c r="V25" s="14"/>
    </row>
    <row r="26" spans="1:179" s="5" customFormat="1" ht="15" customHeight="1">
      <c r="A26" s="1"/>
      <c r="B26" s="584"/>
      <c r="C26" s="585"/>
      <c r="D26" s="586"/>
      <c r="E26" s="587"/>
      <c r="K26" s="74" t="str">
        <f>VLOOKUP(2243,Sprachindex!$A:$Z,Info!$O$7,FALSE)</f>
        <v>Projekt-ID:</v>
      </c>
      <c r="L26" s="450"/>
      <c r="M26" s="204"/>
      <c r="N26" s="70"/>
      <c r="O26" s="71"/>
      <c r="P26" s="71"/>
      <c r="Q26" s="93"/>
      <c r="R26" s="93"/>
      <c r="S26" s="71"/>
      <c r="T26" s="71"/>
      <c r="U26" s="54"/>
      <c r="V26" s="14"/>
    </row>
    <row r="27" spans="1:179" s="5" customFormat="1" ht="15" customHeight="1">
      <c r="A27" s="1"/>
      <c r="B27" s="584"/>
      <c r="C27" s="585"/>
      <c r="D27" s="586"/>
      <c r="E27" s="587"/>
      <c r="K27" s="74" t="str">
        <f>VLOOKUP(286,Sprachindex!$A:$Z,Info!$O$7,FALSE)</f>
        <v>Datum:</v>
      </c>
      <c r="L27" s="550">
        <f ca="1">TODAY()</f>
        <v>45580</v>
      </c>
      <c r="M27" s="70"/>
      <c r="N27" s="70"/>
      <c r="O27" s="71"/>
      <c r="P27" s="71"/>
      <c r="Q27" s="93"/>
      <c r="R27" s="93"/>
      <c r="S27" s="71"/>
      <c r="T27" s="71"/>
      <c r="U27" s="54"/>
      <c r="V27" s="14"/>
    </row>
    <row r="28" spans="1:179" ht="15" customHeight="1" thickBot="1">
      <c r="A28" s="70"/>
      <c r="B28" s="74"/>
      <c r="C28" s="70"/>
      <c r="D28" s="70"/>
      <c r="E28" s="70"/>
      <c r="J28" s="70"/>
      <c r="K28" s="70"/>
      <c r="L28" s="70"/>
      <c r="M28" s="70"/>
      <c r="N28" s="70"/>
      <c r="O28" s="71"/>
      <c r="P28" s="71"/>
      <c r="Q28" s="93"/>
      <c r="R28" s="93"/>
      <c r="S28" s="71"/>
      <c r="T28" s="71"/>
      <c r="V28" s="4"/>
    </row>
    <row r="29" spans="1:179" ht="15" customHeight="1" thickBot="1">
      <c r="A29" s="100" t="str">
        <f>VLOOKUP(392,Sprachindex!$A:$Z,Info!$O$7,FALSE)</f>
        <v>Filter:</v>
      </c>
      <c r="B29" s="620"/>
      <c r="C29" s="620"/>
      <c r="D29" s="620"/>
      <c r="E29" s="620"/>
      <c r="F29" s="70"/>
      <c r="G29" s="70"/>
      <c r="H29" s="70"/>
      <c r="I29" s="70"/>
      <c r="J29" s="70"/>
      <c r="K29" s="70"/>
      <c r="L29" s="70"/>
      <c r="M29" s="70"/>
      <c r="N29" s="70"/>
      <c r="O29" s="71"/>
      <c r="P29" s="71"/>
      <c r="T29" s="71"/>
      <c r="U29" s="591" t="s">
        <v>25</v>
      </c>
      <c r="V29" s="591"/>
      <c r="W29" s="591" t="s">
        <v>421</v>
      </c>
      <c r="X29" s="591"/>
      <c r="FJ29" s="641">
        <v>250</v>
      </c>
      <c r="FK29" s="641"/>
      <c r="FL29" s="641"/>
      <c r="FM29" s="641">
        <v>280</v>
      </c>
      <c r="FN29" s="641"/>
      <c r="FO29" s="641"/>
      <c r="FP29" s="641">
        <v>333</v>
      </c>
      <c r="FQ29" s="641"/>
      <c r="FR29" s="641"/>
      <c r="FS29" s="269">
        <v>400</v>
      </c>
      <c r="FT29" s="270"/>
      <c r="FU29" s="93"/>
      <c r="FV29" s="93"/>
      <c r="FW29" s="71"/>
    </row>
    <row r="30" spans="1:179"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T30" s="71"/>
      <c r="U30" s="162" t="s">
        <v>31</v>
      </c>
      <c r="V30" s="162" t="s">
        <v>32</v>
      </c>
      <c r="W30" s="162" t="s">
        <v>31</v>
      </c>
      <c r="X30" s="162" t="s">
        <v>32</v>
      </c>
      <c r="Y30" s="47" t="s">
        <v>108</v>
      </c>
      <c r="Z30" s="47" t="s">
        <v>422</v>
      </c>
      <c r="AA30" s="47" t="s">
        <v>110</v>
      </c>
      <c r="AB30" s="47" t="s">
        <v>113</v>
      </c>
      <c r="AC30" s="47" t="s">
        <v>118</v>
      </c>
      <c r="AD30" s="47" t="s">
        <v>115</v>
      </c>
      <c r="AE30" s="47" t="s">
        <v>423</v>
      </c>
      <c r="AF30" s="47" t="s">
        <v>424</v>
      </c>
      <c r="AG30" s="47"/>
      <c r="AH30" s="61"/>
      <c r="AI30" s="47" t="s">
        <v>108</v>
      </c>
      <c r="AJ30" s="47" t="s">
        <v>422</v>
      </c>
      <c r="AK30" s="47" t="s">
        <v>110</v>
      </c>
      <c r="AL30" s="47" t="s">
        <v>113</v>
      </c>
      <c r="AM30" s="47" t="s">
        <v>118</v>
      </c>
      <c r="AN30" s="47" t="s">
        <v>115</v>
      </c>
      <c r="AO30" s="47" t="s">
        <v>423</v>
      </c>
      <c r="AP30" s="47" t="s">
        <v>424</v>
      </c>
      <c r="AQ30" s="47"/>
      <c r="AR30" s="61"/>
      <c r="AS30" s="47" t="s">
        <v>108</v>
      </c>
      <c r="AT30" s="47" t="s">
        <v>422</v>
      </c>
      <c r="AU30" s="47" t="s">
        <v>110</v>
      </c>
      <c r="AV30" s="47" t="s">
        <v>113</v>
      </c>
      <c r="AW30" s="47" t="s">
        <v>118</v>
      </c>
      <c r="AX30" s="47" t="s">
        <v>115</v>
      </c>
      <c r="AY30" s="47" t="s">
        <v>423</v>
      </c>
      <c r="AZ30" s="47" t="s">
        <v>424</v>
      </c>
      <c r="BA30" s="47"/>
      <c r="BB30" s="61"/>
      <c r="BC30" s="47" t="s">
        <v>108</v>
      </c>
      <c r="BD30" s="47" t="s">
        <v>422</v>
      </c>
      <c r="BE30" s="47" t="s">
        <v>110</v>
      </c>
      <c r="BF30" s="47" t="s">
        <v>113</v>
      </c>
      <c r="BG30" s="47" t="s">
        <v>118</v>
      </c>
      <c r="BH30" s="47" t="s">
        <v>115</v>
      </c>
      <c r="BI30" s="47" t="s">
        <v>423</v>
      </c>
      <c r="BJ30" s="47" t="s">
        <v>424</v>
      </c>
      <c r="BK30" s="47"/>
      <c r="BL30" s="61"/>
      <c r="BM30" s="47" t="s">
        <v>108</v>
      </c>
      <c r="BN30" s="47" t="s">
        <v>422</v>
      </c>
      <c r="BO30" s="47" t="s">
        <v>110</v>
      </c>
      <c r="BP30" s="47" t="s">
        <v>113</v>
      </c>
      <c r="BQ30" s="47" t="s">
        <v>118</v>
      </c>
      <c r="BR30" s="47" t="s">
        <v>115</v>
      </c>
      <c r="BS30" s="47" t="s">
        <v>423</v>
      </c>
      <c r="BT30" s="47" t="s">
        <v>424</v>
      </c>
      <c r="BU30" s="47"/>
      <c r="BV30" s="61"/>
      <c r="BW30" s="47" t="s">
        <v>108</v>
      </c>
      <c r="BX30" s="47" t="s">
        <v>422</v>
      </c>
      <c r="BY30" s="47" t="s">
        <v>110</v>
      </c>
      <c r="BZ30" s="47" t="s">
        <v>113</v>
      </c>
      <c r="CA30" s="47" t="s">
        <v>118</v>
      </c>
      <c r="CB30" s="47" t="s">
        <v>115</v>
      </c>
      <c r="CC30" s="47" t="s">
        <v>423</v>
      </c>
      <c r="CD30" s="47" t="s">
        <v>424</v>
      </c>
      <c r="CE30" s="47"/>
      <c r="CF30" s="61"/>
      <c r="CG30" s="47" t="s">
        <v>108</v>
      </c>
      <c r="CH30" s="47" t="s">
        <v>422</v>
      </c>
      <c r="CI30" s="47" t="s">
        <v>110</v>
      </c>
      <c r="CJ30" s="47" t="s">
        <v>113</v>
      </c>
      <c r="CK30" s="47" t="s">
        <v>118</v>
      </c>
      <c r="CL30" s="47" t="s">
        <v>115</v>
      </c>
      <c r="CM30" s="47" t="s">
        <v>423</v>
      </c>
      <c r="CN30" s="47" t="s">
        <v>424</v>
      </c>
      <c r="CO30" s="47"/>
      <c r="CP30" s="61"/>
      <c r="CQ30" s="47" t="s">
        <v>108</v>
      </c>
      <c r="CR30" s="47" t="s">
        <v>422</v>
      </c>
      <c r="CS30" s="47" t="s">
        <v>110</v>
      </c>
      <c r="CT30" s="47" t="s">
        <v>113</v>
      </c>
      <c r="CU30" s="47" t="s">
        <v>118</v>
      </c>
      <c r="CV30" s="47" t="s">
        <v>115</v>
      </c>
      <c r="CW30" s="47" t="s">
        <v>423</v>
      </c>
      <c r="CX30" s="47" t="s">
        <v>424</v>
      </c>
      <c r="CY30" s="47"/>
      <c r="CZ30" s="61"/>
      <c r="DA30" s="47" t="s">
        <v>108</v>
      </c>
      <c r="DB30" s="47" t="s">
        <v>422</v>
      </c>
      <c r="DC30" s="47" t="s">
        <v>110</v>
      </c>
      <c r="DD30" s="47" t="s">
        <v>113</v>
      </c>
      <c r="DE30" s="47" t="s">
        <v>118</v>
      </c>
      <c r="DF30" s="47" t="s">
        <v>115</v>
      </c>
      <c r="DG30" s="47" t="s">
        <v>423</v>
      </c>
      <c r="DH30" s="47" t="s">
        <v>424</v>
      </c>
      <c r="DI30" s="47"/>
      <c r="DJ30" s="61"/>
      <c r="FJ30" s="269" t="str">
        <f>VLOOKUP(547,Sprachindex!$A:$Z,Info!$O$7,FALSE)</f>
        <v>kurz</v>
      </c>
      <c r="FK30" s="269" t="str">
        <f>VLOOKUP(635,Sprachindex!$A:$Z,Info!$O$7,FALSE)</f>
        <v>normal</v>
      </c>
      <c r="FL30" s="269" t="str">
        <f>VLOOKUP(551,Sprachindex!$A:$Z,Info!$O$7,FALSE)</f>
        <v>lang</v>
      </c>
      <c r="FM30" s="269" t="str">
        <f>VLOOKUP(547,Sprachindex!$A:$Z,Info!$O$7,FALSE)</f>
        <v>kurz</v>
      </c>
      <c r="FN30" s="269" t="str">
        <f>VLOOKUP(635,Sprachindex!$A:$Z,Info!$O$7,FALSE)</f>
        <v>normal</v>
      </c>
      <c r="FO30" s="269" t="str">
        <f>VLOOKUP(551,Sprachindex!$A:$Z,Info!$O$7,FALSE)</f>
        <v>lang</v>
      </c>
      <c r="FP30" s="269" t="str">
        <f>VLOOKUP(547,Sprachindex!$A:$Z,Info!$O$7,FALSE)</f>
        <v>kurz</v>
      </c>
      <c r="FQ30" s="269" t="str">
        <f>VLOOKUP(635,Sprachindex!$A:$Z,Info!$O$7,FALSE)</f>
        <v>normal</v>
      </c>
      <c r="FR30" s="269" t="str">
        <f>VLOOKUP(551,Sprachindex!$A:$Z,Info!$O$7,FALSE)</f>
        <v>lang</v>
      </c>
      <c r="FS30" s="269"/>
      <c r="FT30" s="270"/>
      <c r="FU30" s="232"/>
      <c r="FV30" s="232"/>
      <c r="FW30" s="195"/>
    </row>
    <row r="31" spans="1:179" ht="32.1" customHeight="1">
      <c r="A31" s="97"/>
      <c r="B31" s="119" t="str">
        <f>VLOOKUP(1512,Sprachindex!$A:$Z,Info!$O$7,FALSE)</f>
        <v>lfm</v>
      </c>
      <c r="C31" s="76"/>
      <c r="D31" s="76" t="str">
        <f>IF($O$17=1,AG31,IF($O$17=2,AQ31,IF($O$17=3,BA31,IF($O$17=4,BK31,""))))</f>
        <v/>
      </c>
      <c r="E31" s="595" t="str">
        <f>VLOOKUP(2227,Sprachindex!$A:$Z,Info!$O$7,FALSE)</f>
        <v>Dachrinne 3 m</v>
      </c>
      <c r="F31" s="596"/>
      <c r="G31" s="596"/>
      <c r="H31" s="596"/>
      <c r="I31" s="130"/>
      <c r="J31" s="633"/>
      <c r="K31" s="634"/>
      <c r="L31" s="119" t="str">
        <f>IF(OR(A31="",W31="",X31="")," ",IF($O$11=1,$U31,IF($O$11=2,V31,0)))</f>
        <v xml:space="preserve"> </v>
      </c>
      <c r="M31" s="441" t="str">
        <f>B31</f>
        <v>lfm</v>
      </c>
      <c r="N31" s="437"/>
      <c r="O31" s="202" t="str">
        <f>IF(ISNUMBER(A31),FT31*L31," ")</f>
        <v xml:space="preserve"> </v>
      </c>
      <c r="T31" s="71"/>
      <c r="U31" s="149" t="e">
        <f>ROUNDUP($A31/$W31,0)*$W31</f>
        <v>#VALUE!</v>
      </c>
      <c r="V31" s="149">
        <f>ROUNDUP($A31/$X31,0)*$X31</f>
        <v>0</v>
      </c>
      <c r="W31" s="149" t="str">
        <f>IF($O$17="","",IF($O$17=1,IF(Info!V7=1,15,60),IF($O$17=2,IF(Info!V7=1,15,45),IF($O$17=3,IF(Info!V7=1,15,45),IF($O$17=4,IF(Info!V7=1,15,30),"")))))</f>
        <v/>
      </c>
      <c r="X31" s="149">
        <v>3</v>
      </c>
      <c r="Y31" t="s">
        <v>425</v>
      </c>
      <c r="Z31" t="s">
        <v>426</v>
      </c>
      <c r="AA31" t="s">
        <v>427</v>
      </c>
      <c r="AB31" t="s">
        <v>428</v>
      </c>
      <c r="AC31" t="s">
        <v>429</v>
      </c>
      <c r="AD31" t="s">
        <v>430</v>
      </c>
      <c r="AE31" t="s">
        <v>431</v>
      </c>
      <c r="AF31"/>
      <c r="AG31" s="61">
        <f t="shared" ref="AG31:AG36" si="0">IF($O$16=1,Y31,IF($O$16=2,Z31,IF($O$16=3,AA31,IF($O$16=4,AB31,IF($O$16=5,AC31,IF($O$16=6,AD31,IF($O$16=8,AE31,IF($O$16=10,AF31,0))))))))</f>
        <v>0</v>
      </c>
      <c r="AH31" s="61" t="s">
        <v>432</v>
      </c>
      <c r="AI31" t="s">
        <v>433</v>
      </c>
      <c r="AJ31" t="s">
        <v>434</v>
      </c>
      <c r="AK31" t="s">
        <v>435</v>
      </c>
      <c r="AL31" t="s">
        <v>436</v>
      </c>
      <c r="AM31" t="s">
        <v>437</v>
      </c>
      <c r="AN31" t="s">
        <v>438</v>
      </c>
      <c r="AO31" t="s">
        <v>439</v>
      </c>
      <c r="AP31"/>
      <c r="AQ31" s="61">
        <f>IF($O$16=1,AI31,IF($O$16=2,AJ31,IF($O$16=3,AK31,IF($O$16=4,AL31,IF($O$16=5,AM31,IF($O$16=6,AN31,IF($O$16=8,AO31,IF($O$16=10,AP31,0))))))))</f>
        <v>0</v>
      </c>
      <c r="AR31" s="61" t="s">
        <v>440</v>
      </c>
      <c r="AS31" t="s">
        <v>441</v>
      </c>
      <c r="AT31">
        <v>210100</v>
      </c>
      <c r="AU31" t="s">
        <v>442</v>
      </c>
      <c r="AV31" t="s">
        <v>443</v>
      </c>
      <c r="AW31" t="s">
        <v>444</v>
      </c>
      <c r="AX31" t="s">
        <v>445</v>
      </c>
      <c r="AY31" t="s">
        <v>446</v>
      </c>
      <c r="AZ31">
        <v>572231</v>
      </c>
      <c r="BA31" s="61">
        <f>IF($O$16=1,AS31,IF($O$16=2,AT31,IF($O$16=3,AU31,IF($O$16=4,AV31,IF($O$16=5,AW31,IF($O$16=6,AX31,IF($O$16=8,AY31,IF($O$16=10,AZ31,0))))))))</f>
        <v>0</v>
      </c>
      <c r="BB31" s="61" t="s">
        <v>447</v>
      </c>
      <c r="BC31" t="s">
        <v>448</v>
      </c>
      <c r="BD31" t="s">
        <v>449</v>
      </c>
      <c r="BE31" t="s">
        <v>450</v>
      </c>
      <c r="BF31" t="s">
        <v>451</v>
      </c>
      <c r="BG31" t="s">
        <v>452</v>
      </c>
      <c r="BH31" t="s">
        <v>453</v>
      </c>
      <c r="BI31" t="s">
        <v>454</v>
      </c>
      <c r="BJ31"/>
      <c r="BK31" s="61">
        <f>IF($O$16=1,BC31,IF($O$16=2,BD31,IF($O$16=3,BE31,IF($O$16=4,BF31,IF($O$16=5,BG31,IF($O$16=6,BH31,IF($O$16=8,BI31,IF($O$16=10,BJ31,0))))))))</f>
        <v>0</v>
      </c>
      <c r="BL31" s="61" t="s">
        <v>455</v>
      </c>
      <c r="BM31"/>
      <c r="BN31"/>
      <c r="BO31"/>
      <c r="BP31"/>
      <c r="BQ31"/>
      <c r="BR31"/>
      <c r="BS31"/>
      <c r="BT31"/>
      <c r="BU31" s="61"/>
      <c r="BV31" s="61"/>
      <c r="BW31"/>
      <c r="BX31"/>
      <c r="BY31"/>
      <c r="BZ31"/>
      <c r="CA31"/>
      <c r="CB31"/>
      <c r="CC31"/>
      <c r="CD31"/>
      <c r="CE31" s="61"/>
      <c r="CF31" s="61"/>
      <c r="CG31"/>
      <c r="CH31"/>
      <c r="CI31"/>
      <c r="CJ31"/>
      <c r="CK31"/>
      <c r="CL31"/>
      <c r="CM31"/>
      <c r="CN31"/>
      <c r="CO31" s="61"/>
      <c r="CP31" s="61"/>
      <c r="CQ31"/>
      <c r="CR31"/>
      <c r="CS31"/>
      <c r="CT31"/>
      <c r="CU31"/>
      <c r="CV31"/>
      <c r="CW31"/>
      <c r="CX31"/>
      <c r="CY31" s="61"/>
      <c r="CZ31" s="61"/>
      <c r="DI31" s="61"/>
      <c r="DJ31" s="61"/>
      <c r="FE31" s="595" t="str">
        <f>VLOOKUP(2227,Sprachindex!$A:$Z,Info!$O$7,FALSE)</f>
        <v>Dachrinne 3 m</v>
      </c>
      <c r="FF31" s="596"/>
      <c r="FG31" s="596"/>
      <c r="FH31" s="596"/>
      <c r="FI31" s="130"/>
      <c r="FJ31" s="263"/>
      <c r="FK31" s="264">
        <v>13.76</v>
      </c>
      <c r="FL31" s="265"/>
      <c r="FM31" s="263"/>
      <c r="FN31" s="266">
        <v>14.1</v>
      </c>
      <c r="FO31" s="265"/>
      <c r="FP31" s="263"/>
      <c r="FQ31" s="267">
        <v>14.19</v>
      </c>
      <c r="FR31" s="265">
        <v>15.61</v>
      </c>
      <c r="FS31" s="268">
        <v>20.93</v>
      </c>
      <c r="FT31" s="271" t="str">
        <f>IF(O17=1,FK31,IF(O17=2,FN31,IF(O17=3,FQ31,IF(O17=4,FS31," "))))</f>
        <v xml:space="preserve"> </v>
      </c>
      <c r="FU31" s="232"/>
      <c r="FV31" s="232"/>
      <c r="FW31" s="195"/>
    </row>
    <row r="32" spans="1:179" ht="32.1" customHeight="1">
      <c r="A32" s="109"/>
      <c r="B32" s="79" t="s">
        <v>456</v>
      </c>
      <c r="C32" s="107"/>
      <c r="D32" s="78" t="str">
        <f>IF($O$17=1,AG32,IF($O$17=2,AQ32,IF($O$17=3,BA32,IF($O$17=4,BK32,""))))</f>
        <v/>
      </c>
      <c r="E32" s="639" t="str">
        <f>IF(Info!O7=2,VLOOKUP(2228,Sprachindex!$A:$Z,Info!$O$7,FALSE),VLOOKUP(2229,Sprachindex!$A:$Z,Info!$O$7,FALSE))</f>
        <v>Dachrinne 6 m</v>
      </c>
      <c r="F32" s="640"/>
      <c r="G32" s="640"/>
      <c r="H32" s="640"/>
      <c r="I32" s="170"/>
      <c r="J32" s="637"/>
      <c r="K32" s="638"/>
      <c r="L32" s="79" t="str">
        <f>IF(OR(A32="",W32="",X32="")," ",IF($O$11=1,$U32,IF($O$11=2,V32,0)))</f>
        <v xml:space="preserve"> </v>
      </c>
      <c r="M32" s="440" t="str">
        <f>B32</f>
        <v>lfm</v>
      </c>
      <c r="N32" s="80"/>
      <c r="O32" s="202" t="str">
        <f>IF(ISNUMBER(A32),FT32*L32," ")</f>
        <v xml:space="preserve"> </v>
      </c>
      <c r="T32" s="71"/>
      <c r="U32" s="149">
        <f>ROUNDUP($A32/$W32,0)*$W32</f>
        <v>0</v>
      </c>
      <c r="V32" s="149">
        <f>ROUNDUP($A32/$X32,0)*$X32</f>
        <v>0</v>
      </c>
      <c r="W32" s="149">
        <f>IF($O$17="","",IF(Info!V7=1,25,30))</f>
        <v>30</v>
      </c>
      <c r="X32" s="149">
        <f>IF(Info!V7=2,5,6)</f>
        <v>6</v>
      </c>
      <c r="Y32" t="s">
        <v>457</v>
      </c>
      <c r="Z32" t="s">
        <v>458</v>
      </c>
      <c r="AA32" t="s">
        <v>459</v>
      </c>
      <c r="AB32" t="s">
        <v>460</v>
      </c>
      <c r="AC32" t="s">
        <v>461</v>
      </c>
      <c r="AD32" t="s">
        <v>462</v>
      </c>
      <c r="AE32" t="s">
        <v>463</v>
      </c>
      <c r="AF32"/>
      <c r="AG32" s="61">
        <f t="shared" si="0"/>
        <v>0</v>
      </c>
      <c r="AH32" s="61" t="s">
        <v>464</v>
      </c>
      <c r="AI32" t="s">
        <v>465</v>
      </c>
      <c r="AJ32" t="s">
        <v>466</v>
      </c>
      <c r="AK32" t="s">
        <v>467</v>
      </c>
      <c r="AL32" t="s">
        <v>468</v>
      </c>
      <c r="AM32" t="s">
        <v>469</v>
      </c>
      <c r="AN32" t="s">
        <v>470</v>
      </c>
      <c r="AO32" t="s">
        <v>471</v>
      </c>
      <c r="AP32"/>
      <c r="AQ32" s="61">
        <f>IF($O$16=1,AI32,IF($O$16=2,AJ32,IF($O$16=3,AK32,IF($O$16=4,AL32,IF($O$16=5,AM32,IF($O$16=6,AN32,IF($O$16=8,AO32,IF($O$16=10,AP32,0))))))))</f>
        <v>0</v>
      </c>
      <c r="AR32" s="61" t="s">
        <v>472</v>
      </c>
      <c r="AS32" t="s">
        <v>473</v>
      </c>
      <c r="AT32" t="s">
        <v>474</v>
      </c>
      <c r="AU32" t="s">
        <v>475</v>
      </c>
      <c r="AV32" t="s">
        <v>476</v>
      </c>
      <c r="AW32" t="s">
        <v>477</v>
      </c>
      <c r="AX32" t="s">
        <v>478</v>
      </c>
      <c r="AY32" t="s">
        <v>479</v>
      </c>
      <c r="AZ32">
        <v>572031</v>
      </c>
      <c r="BA32" s="61">
        <f>IF($O$16=1,AS32,IF($O$16=2,AT32,IF($O$16=3,AU32,IF($O$16=4,AV32,IF($O$16=5,AW32,IF($O$16=6,AX32,IF($O$16=8,AY32,IF($O$16=10,AZ32,0))))))))</f>
        <v>0</v>
      </c>
      <c r="BB32" s="61" t="s">
        <v>480</v>
      </c>
      <c r="BC32" t="s">
        <v>481</v>
      </c>
      <c r="BD32" t="s">
        <v>482</v>
      </c>
      <c r="BE32" t="s">
        <v>483</v>
      </c>
      <c r="BF32" t="s">
        <v>484</v>
      </c>
      <c r="BG32" t="s">
        <v>485</v>
      </c>
      <c r="BH32" t="s">
        <v>486</v>
      </c>
      <c r="BI32" t="s">
        <v>487</v>
      </c>
      <c r="BJ32"/>
      <c r="BK32" s="61">
        <f>IF($O$16=1,BC32,IF($O$16=2,BD32,IF($O$16=3,BE32,IF($O$16=4,BF32,IF($O$16=5,BG32,IF($O$16=6,BH32,IF($O$16=8,BI32,IF($O$16=10,BJ32,0))))))))</f>
        <v>0</v>
      </c>
      <c r="BL32" s="61" t="s">
        <v>488</v>
      </c>
      <c r="BM32"/>
      <c r="BN32"/>
      <c r="BO32"/>
      <c r="BP32"/>
      <c r="BQ32"/>
      <c r="BR32"/>
      <c r="BS32"/>
      <c r="BT32"/>
      <c r="BU32" s="61"/>
      <c r="BV32" s="61"/>
      <c r="BW32"/>
      <c r="BX32"/>
      <c r="BY32"/>
      <c r="BZ32"/>
      <c r="CA32"/>
      <c r="CB32"/>
      <c r="CC32"/>
      <c r="CD32"/>
      <c r="CE32" s="61"/>
      <c r="CF32" s="61"/>
      <c r="CG32"/>
      <c r="CH32"/>
      <c r="CI32"/>
      <c r="CJ32"/>
      <c r="CK32"/>
      <c r="CL32"/>
      <c r="CM32"/>
      <c r="CN32"/>
      <c r="CO32" s="61"/>
      <c r="CP32" s="61"/>
      <c r="CQ32"/>
      <c r="CR32"/>
      <c r="CS32"/>
      <c r="CT32"/>
      <c r="CU32"/>
      <c r="CV32"/>
      <c r="CW32"/>
      <c r="CX32"/>
      <c r="CY32" s="61"/>
      <c r="CZ32" s="61"/>
      <c r="DI32" s="61"/>
      <c r="DJ32" s="61"/>
      <c r="FE32" s="639" t="str">
        <f>IF(Info!EB7=1,VLOOKUP(2228,Sprachindex!$A:$Z,Info!$O$7,FALSE),VLOOKUP(2229,Sprachindex!$A:$Z,Info!$O$7,FALSE))</f>
        <v>Dachrinne 6 m</v>
      </c>
      <c r="FF32" s="640"/>
      <c r="FG32" s="640"/>
      <c r="FH32" s="640"/>
      <c r="FI32" s="170"/>
      <c r="FJ32" s="242"/>
      <c r="FK32" s="233">
        <v>14.01</v>
      </c>
      <c r="FL32" s="243"/>
      <c r="FM32" s="242"/>
      <c r="FN32" s="234">
        <v>14.38</v>
      </c>
      <c r="FO32" s="243"/>
      <c r="FP32" s="242"/>
      <c r="FQ32" s="238">
        <v>14.47</v>
      </c>
      <c r="FR32" s="243"/>
      <c r="FS32" s="257">
        <v>21.33</v>
      </c>
      <c r="FT32" s="271" t="str">
        <f>IF($O$17=1,FK32,IF($O$17=2,FN32,IF($O$17=3,FQ32,IF($O$17=4,FS32," "))))</f>
        <v xml:space="preserve"> </v>
      </c>
      <c r="FU32" s="232"/>
      <c r="FV32" s="232"/>
      <c r="FW32" s="195"/>
    </row>
    <row r="33" spans="1:200" ht="32.1" customHeight="1">
      <c r="A33" s="109"/>
      <c r="B33" s="79" t="str">
        <f>VLOOKUP(878,Sprachindex!$A:$Z,Info!$O$7,FALSE)</f>
        <v>Stk.</v>
      </c>
      <c r="C33" s="107"/>
      <c r="D33" s="78">
        <f>IF(AND($O$17=1,J33=Formeln_RI_P.10!E160),AG33,IF(AND($O$17=2,J33=Formeln_RI_P.10!E160),BA33,IF(AND($O$17=3,J33=Formeln_RI_P.10!E160),CE33,IF(AND($O$17=4,J33=Formeln_RI_P.10!E160),DI33,IF(AND($O$17=1,J33=Formeln_RI_P.10!E161),AQ33,IF(AND($O$17=2,J33=Formeln_RI_P.10!E161),BK33,IF(AND($O$17=3,J33=Formeln_RI_P.10!E161),CO33,IF(AND($O$17=2,J33=Formeln_RI_P.10!E162),BU33,IF(AND($O$17=3,J33=Formeln_RI_P.10!E162),CY33,0)))))))))</f>
        <v>0</v>
      </c>
      <c r="E33" s="561" t="str">
        <f>VLOOKUP(711,Sprachindex!$A:$Z,Info!$O$7,FALSE)</f>
        <v>Rinnenhaken</v>
      </c>
      <c r="F33" s="562"/>
      <c r="G33" s="562"/>
      <c r="H33" s="562"/>
      <c r="I33" s="84" t="str">
        <f>VLOOKUP(556,Sprachindex!$A:$Z,Info!$O$7,FALSE)</f>
        <v>Länge wählen:</v>
      </c>
      <c r="J33" s="614"/>
      <c r="K33" s="615"/>
      <c r="L33" s="79" t="str">
        <f t="shared" ref="L33:L79" si="1">IF(OR(A33="",W33="",X33="")," ",IF($O$11=1,U33,IF($O$11=2,V33,0)))</f>
        <v xml:space="preserve"> </v>
      </c>
      <c r="M33" s="440" t="str">
        <f t="shared" ref="M33:M95" si="2">B33</f>
        <v>Stk.</v>
      </c>
      <c r="N33" s="80"/>
      <c r="O33" s="202" t="str">
        <f>IF(ISNUMBER(A33),FT33*L33," ")</f>
        <v xml:space="preserve"> </v>
      </c>
      <c r="T33" s="71"/>
      <c r="U33" s="149" t="e">
        <f t="shared" ref="U33:V36" si="3">ROUNDUP($A33/W33,0)*W33</f>
        <v>#VALUE!</v>
      </c>
      <c r="V33" s="149">
        <f t="shared" si="3"/>
        <v>0</v>
      </c>
      <c r="W33" s="149" t="str">
        <f>IF(AND($O$17=1,$J33=VLOOKUP(635,Sprachindex!$A:$Z,Info!$O$7,FALSE)),35,IF(AND($O$17=1,$J33=VLOOKUP(547,Sprachindex!$A:$Z,Info!$O$7,FALSE)),35,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49">
        <v>1</v>
      </c>
      <c r="Y33" t="s">
        <v>490</v>
      </c>
      <c r="Z33" t="s">
        <v>491</v>
      </c>
      <c r="AA33" t="s">
        <v>492</v>
      </c>
      <c r="AB33" t="s">
        <v>493</v>
      </c>
      <c r="AC33" t="s">
        <v>494</v>
      </c>
      <c r="AD33" t="s">
        <v>495</v>
      </c>
      <c r="AE33" t="s">
        <v>496</v>
      </c>
      <c r="AF33"/>
      <c r="AG33" s="61">
        <f t="shared" si="0"/>
        <v>0</v>
      </c>
      <c r="AH33" s="62" t="s">
        <v>497</v>
      </c>
      <c r="AI33" t="s">
        <v>498</v>
      </c>
      <c r="AJ33" t="s">
        <v>499</v>
      </c>
      <c r="AK33" t="s">
        <v>500</v>
      </c>
      <c r="AL33" t="s">
        <v>501</v>
      </c>
      <c r="AM33" t="s">
        <v>502</v>
      </c>
      <c r="AN33" t="s">
        <v>503</v>
      </c>
      <c r="AO33" t="s">
        <v>504</v>
      </c>
      <c r="AP33"/>
      <c r="AQ33" s="61">
        <f>IF($O$16=1,AI33,IF($O$16=2,AJ33,IF($O$16=3,AK33,IF($O$16=4,AL33,IF($O$16=5,AM33,IF($O$16=6,AN33,IF($O$16=8,AO33,IF($O$16=10,AP33,0))))))))</f>
        <v>0</v>
      </c>
      <c r="AR33" s="62" t="s">
        <v>505</v>
      </c>
      <c r="AS33" t="s">
        <v>506</v>
      </c>
      <c r="AT33" t="s">
        <v>507</v>
      </c>
      <c r="AU33" t="s">
        <v>508</v>
      </c>
      <c r="AV33" t="s">
        <v>509</v>
      </c>
      <c r="AW33" t="s">
        <v>510</v>
      </c>
      <c r="AX33" t="s">
        <v>511</v>
      </c>
      <c r="AY33" t="s">
        <v>512</v>
      </c>
      <c r="AZ33"/>
      <c r="BA33" s="61">
        <f>IF($O$16=1,AS33,IF($O$16=2,AT33,IF($O$16=3,AU33,IF($O$16=4,AV33,IF($O$16=5,AW33,IF($O$16=6,AX33,IF($O$16=8,AY33,IF($O$16=10,AZ33,0))))))))</f>
        <v>0</v>
      </c>
      <c r="BB33" s="62" t="s">
        <v>513</v>
      </c>
      <c r="BC33" t="s">
        <v>514</v>
      </c>
      <c r="BD33" t="s">
        <v>515</v>
      </c>
      <c r="BE33" t="s">
        <v>516</v>
      </c>
      <c r="BF33" t="s">
        <v>517</v>
      </c>
      <c r="BG33" t="s">
        <v>518</v>
      </c>
      <c r="BH33" t="s">
        <v>519</v>
      </c>
      <c r="BI33" t="s">
        <v>520</v>
      </c>
      <c r="BJ33"/>
      <c r="BK33" s="61">
        <f>IF($O$16=1,BC33,IF($O$16=2,BD33,IF($O$16=3,BE33,IF($O$16=4,BF33,IF($O$16=5,BG33,IF($O$16=6,BH33,IF($O$16=8,BI33,IF($O$16=10,BJ33,0))))))))</f>
        <v>0</v>
      </c>
      <c r="BL33" s="62" t="s">
        <v>521</v>
      </c>
      <c r="BM33" t="s">
        <v>522</v>
      </c>
      <c r="BN33" t="s">
        <v>523</v>
      </c>
      <c r="BO33" t="s">
        <v>524</v>
      </c>
      <c r="BP33" t="s">
        <v>525</v>
      </c>
      <c r="BQ33" t="s">
        <v>526</v>
      </c>
      <c r="BR33" t="s">
        <v>527</v>
      </c>
      <c r="BS33" t="s">
        <v>528</v>
      </c>
      <c r="BT33"/>
      <c r="BU33" s="61">
        <f>IF($O$16=1,BM33,IF($O$16=2,BN33,IF($O$16=3,BO33,IF($O$16=4,BP33,IF($O$16=5,BQ33,IF($O$16=6,BR33,IF($O$16=8,BS33,IF($O$16=10,BT33,0))))))))</f>
        <v>0</v>
      </c>
      <c r="BV33" s="62" t="s">
        <v>529</v>
      </c>
      <c r="BW33" t="s">
        <v>530</v>
      </c>
      <c r="BX33" t="s">
        <v>531</v>
      </c>
      <c r="BY33" t="s">
        <v>532</v>
      </c>
      <c r="BZ33" t="s">
        <v>533</v>
      </c>
      <c r="CA33" t="s">
        <v>534</v>
      </c>
      <c r="CB33" t="s">
        <v>535</v>
      </c>
      <c r="CC33" t="s">
        <v>536</v>
      </c>
      <c r="CD33">
        <v>521034</v>
      </c>
      <c r="CE33" s="61">
        <f>IF($O$16=1,BW33,IF($O$16=2,BX33,IF($O$16=3,BY33,IF($O$16=4,BZ33,IF($O$16=5,CA33,IF($O$16=6,CB33,IF($O$16=8,CC33,IF($O$16=10,CD33,0))))))))</f>
        <v>0</v>
      </c>
      <c r="CF33" s="62" t="s">
        <v>537</v>
      </c>
      <c r="CG33">
        <v>201721</v>
      </c>
      <c r="CH33">
        <v>201720</v>
      </c>
      <c r="CI33">
        <v>201724</v>
      </c>
      <c r="CJ33">
        <v>201722</v>
      </c>
      <c r="CK33">
        <v>201725</v>
      </c>
      <c r="CL33">
        <v>201726</v>
      </c>
      <c r="CM33">
        <v>201723</v>
      </c>
      <c r="CN33">
        <v>521234</v>
      </c>
      <c r="CO33" s="61">
        <f>IF($O$16=1,CG33,IF($O$16=2,CH33,IF($O$16=3,CI33,IF($O$16=4,CJ33,IF($O$16=5,CK33,IF($O$16=6,CL33,IF($O$16=8,CM33,IF($O$16=10,CN33,0))))))))</f>
        <v>0</v>
      </c>
      <c r="CP33" s="62" t="s">
        <v>538</v>
      </c>
      <c r="CQ33" t="s">
        <v>539</v>
      </c>
      <c r="CR33" t="s">
        <v>540</v>
      </c>
      <c r="CS33" t="s">
        <v>541</v>
      </c>
      <c r="CT33" t="s">
        <v>542</v>
      </c>
      <c r="CU33" t="s">
        <v>543</v>
      </c>
      <c r="CV33" t="s">
        <v>544</v>
      </c>
      <c r="CW33" t="s">
        <v>545</v>
      </c>
      <c r="CX33">
        <v>521134</v>
      </c>
      <c r="CY33" s="61">
        <f>IF($O$16=1,CQ33,IF($O$16=2,CR33,IF($O$16=3,CS33,IF($O$16=4,CT33,IF($O$16=5,CU33,IF($O$16=6,CV33,IF($O$16=8,CW33,IF($O$16=10,CX33,0))))))))</f>
        <v>0</v>
      </c>
      <c r="CZ33" s="62" t="s">
        <v>546</v>
      </c>
      <c r="DA33" t="s">
        <v>547</v>
      </c>
      <c r="DB33" t="s">
        <v>548</v>
      </c>
      <c r="DC33" t="s">
        <v>549</v>
      </c>
      <c r="DD33" t="s">
        <v>550</v>
      </c>
      <c r="DE33" t="s">
        <v>551</v>
      </c>
      <c r="DF33" t="s">
        <v>552</v>
      </c>
      <c r="DG33" t="s">
        <v>553</v>
      </c>
      <c r="DH33"/>
      <c r="DI33" s="61">
        <f>IF($O$16=1,DA33,IF($O$16=2,DB33,IF($O$16=3,DC33,IF($O$16=4,DD33,IF($O$16=5,DE33,IF($O$16=6,DF33,IF($O$16=8,DG33,IF($O$16=10,DH33,0))))))))</f>
        <v>0</v>
      </c>
      <c r="DJ33" s="62" t="s">
        <v>554</v>
      </c>
      <c r="FE33" s="561" t="str">
        <f>VLOOKUP(711,Sprachindex!$A:$Z,Info!$O$7,FALSE)</f>
        <v>Rinnenhaken</v>
      </c>
      <c r="FF33" s="562"/>
      <c r="FG33" s="562"/>
      <c r="FH33" s="562"/>
      <c r="FI33" s="84" t="str">
        <f>VLOOKUP(556,Sprachindex!$A:$Z,Info!$O$7,FALSE)</f>
        <v>Länge wählen:</v>
      </c>
      <c r="FJ33" s="259">
        <v>7.23</v>
      </c>
      <c r="FK33" s="233">
        <v>8.73</v>
      </c>
      <c r="FL33" s="243"/>
      <c r="FM33" s="244">
        <v>7.35</v>
      </c>
      <c r="FN33" s="240">
        <v>8.85</v>
      </c>
      <c r="FO33" s="245">
        <v>10.15</v>
      </c>
      <c r="FP33" s="251">
        <v>7.47</v>
      </c>
      <c r="FQ33" s="238">
        <v>8.9700000000000006</v>
      </c>
      <c r="FR33" s="252">
        <v>10.33</v>
      </c>
      <c r="FS33" s="257">
        <v>11.42</v>
      </c>
      <c r="FT33" s="271" t="str">
        <f>IF(O17=1,FU33,IF(O17=2,FV33,IF(O17=3,FW33,IF(O17=4,FS33," "))))</f>
        <v xml:space="preserve"> </v>
      </c>
      <c r="FU33" s="229" t="str">
        <f>IF(J33=FJ30,FJ33,IF(J33=FK30,FK33," "))</f>
        <v xml:space="preserve"> </v>
      </c>
      <c r="FV33" s="230" t="str">
        <f>IF(J33=FM30,FM33,IF(J33=FN30,FN33,IF(J33=FO30,FO33," ")))</f>
        <v xml:space="preserve"> </v>
      </c>
      <c r="FW33" s="231" t="str">
        <f>IF(J33=FP30,FP33,IF(J33=FQ30,FQ33,IF(J33=FR30,FR33," ")))</f>
        <v xml:space="preserve"> </v>
      </c>
    </row>
    <row r="34" spans="1:200" ht="32.1" customHeight="1">
      <c r="A34" s="110"/>
      <c r="B34" s="121" t="str">
        <f>VLOOKUP(878,Sprachindex!$A:$Z,Info!$O$7,FALSE)</f>
        <v>Stk.</v>
      </c>
      <c r="C34" s="112"/>
      <c r="D34" s="112">
        <f>IF(O17=2,AQ34,IF(O17=3,BA34,IF(O17=1,AG34,0)))</f>
        <v>0</v>
      </c>
      <c r="E34" s="635" t="str">
        <f>VLOOKUP(876,Sprachindex!$A:$Z,Info!$O$7,FALSE)</f>
        <v>Stirnbretthaken für Dachrinnen</v>
      </c>
      <c r="F34" s="636"/>
      <c r="G34" s="636"/>
      <c r="H34" s="636"/>
      <c r="I34" s="636"/>
      <c r="J34" s="637" t="str">
        <f>IF(O17=0,"",IF(O17=1,L21,IF(O17=2,L22,IF(O17=3,M21,Formeln_RI_P.10!A169))))</f>
        <v/>
      </c>
      <c r="K34" s="638"/>
      <c r="L34" s="79" t="str">
        <f t="shared" si="1"/>
        <v xml:space="preserve"> </v>
      </c>
      <c r="M34" s="440" t="str">
        <f t="shared" si="2"/>
        <v>Stk.</v>
      </c>
      <c r="N34" s="80"/>
      <c r="O34" s="202" t="str">
        <f>IF(ISNUMBER(L34),FT34*L34," ")</f>
        <v xml:space="preserve"> </v>
      </c>
      <c r="T34" s="71"/>
      <c r="U34" s="149" t="e">
        <f t="shared" si="3"/>
        <v>#VALUE!</v>
      </c>
      <c r="V34" s="149">
        <f t="shared" si="3"/>
        <v>0</v>
      </c>
      <c r="W34" s="149" t="str">
        <f>IF($O$17=1,10,IF($O$17=2,10,IF($O$17=3,10,"")))</f>
        <v/>
      </c>
      <c r="X34" s="149">
        <v>1</v>
      </c>
      <c r="Y34" t="s">
        <v>555</v>
      </c>
      <c r="Z34" t="s">
        <v>556</v>
      </c>
      <c r="AA34" t="s">
        <v>557</v>
      </c>
      <c r="AB34" t="s">
        <v>558</v>
      </c>
      <c r="AC34" t="s">
        <v>559</v>
      </c>
      <c r="AD34" t="s">
        <v>560</v>
      </c>
      <c r="AE34" t="s">
        <v>561</v>
      </c>
      <c r="AF34"/>
      <c r="AG34" s="61">
        <f t="shared" si="0"/>
        <v>0</v>
      </c>
      <c r="AH34" s="62" t="s">
        <v>562</v>
      </c>
      <c r="AI34" t="s">
        <v>563</v>
      </c>
      <c r="AJ34" t="s">
        <v>564</v>
      </c>
      <c r="AK34" t="s">
        <v>565</v>
      </c>
      <c r="AL34" t="s">
        <v>566</v>
      </c>
      <c r="AM34" t="s">
        <v>567</v>
      </c>
      <c r="AN34" t="s">
        <v>568</v>
      </c>
      <c r="AO34" t="s">
        <v>569</v>
      </c>
      <c r="AP34"/>
      <c r="AQ34" s="61">
        <f>IF($O$16=1,AI34,IF($O$16=2,AJ34,IF($O$16=3,AK34,IF($O$16=4,AL34,IF($O$16=5,AM34,IF($O$16=6,AN34,IF($O$16=8,AO34,IF($O$16=10,AP34,0))))))))</f>
        <v>0</v>
      </c>
      <c r="AR34" s="62" t="s">
        <v>570</v>
      </c>
      <c r="AS34" t="s">
        <v>571</v>
      </c>
      <c r="AT34" t="s">
        <v>572</v>
      </c>
      <c r="AU34">
        <v>201764</v>
      </c>
      <c r="AV34" t="s">
        <v>573</v>
      </c>
      <c r="AW34" t="s">
        <v>574</v>
      </c>
      <c r="AX34" t="s">
        <v>575</v>
      </c>
      <c r="AY34" t="s">
        <v>576</v>
      </c>
      <c r="AZ34">
        <v>521542</v>
      </c>
      <c r="BA34" s="61">
        <f>IF($O$16=1,AS34,IF($O$16=2,AT34,IF($O$16=3,AU34,IF($O$16=4,AV34,IF($O$16=5,AW34,IF($O$16=6,AX34,IF($O$16=8,AY34,IF($O$16=10,AZ34,0))))))))</f>
        <v>0</v>
      </c>
      <c r="BB34" s="62" t="s">
        <v>577</v>
      </c>
      <c r="FE34" s="635" t="str">
        <f>VLOOKUP(876,Sprachindex!$A:$Z,Info!$O$7,FALSE)</f>
        <v>Stirnbretthaken für Dachrinnen</v>
      </c>
      <c r="FF34" s="636"/>
      <c r="FG34" s="636"/>
      <c r="FH34" s="636"/>
      <c r="FI34" s="636"/>
      <c r="FJ34" s="242"/>
      <c r="FK34" s="233">
        <v>8.85</v>
      </c>
      <c r="FL34" s="243"/>
      <c r="FM34" s="242"/>
      <c r="FN34" s="240">
        <v>6.69</v>
      </c>
      <c r="FO34" s="243"/>
      <c r="FP34" s="242"/>
      <c r="FQ34" s="238">
        <v>8.42</v>
      </c>
      <c r="FR34" s="243"/>
      <c r="FS34" s="256"/>
      <c r="FT34" s="271" t="str">
        <f>IF(O17=1,FK34,IF(O17=2,FN34,IF(O17=3,FQ34," ")))</f>
        <v xml:space="preserve"> </v>
      </c>
      <c r="FU34" s="232"/>
      <c r="FV34" s="232"/>
      <c r="FW34" s="195"/>
    </row>
    <row r="35" spans="1:200" ht="32.1" customHeight="1">
      <c r="A35" s="110"/>
      <c r="B35" s="121" t="str">
        <f>VLOOKUP(878,Sprachindex!$A:$Z,Info!$O$7,FALSE)</f>
        <v>Stk.</v>
      </c>
      <c r="C35" s="111"/>
      <c r="D35" s="111" t="str">
        <f>IF(AND(O17=3,J35=Formeln_RI_P.10!E171),AG35,IF(AND(O17=3,J35=Formeln_RI_P.10!E172),AQ35,IF(AND(O17=4,J35=Formeln_RI_P.10!E171),BA35,IF(AND(O17=2,J35=Formeln_RI_P.10!E171),BK35,""))))</f>
        <v/>
      </c>
      <c r="E35" s="635" t="str">
        <f>VLOOKUP(714,Sprachindex!$A:$Z,Info!$O$7,FALSE)</f>
        <v>Rinnenhaken hochkant</v>
      </c>
      <c r="F35" s="636"/>
      <c r="G35" s="636"/>
      <c r="H35" s="636"/>
      <c r="I35" s="113" t="str">
        <f>VLOOKUP(556,Sprachindex!$A:$Z,Info!$O$7,FALSE)</f>
        <v>Länge wählen:</v>
      </c>
      <c r="J35" s="614"/>
      <c r="K35" s="630"/>
      <c r="L35" s="79" t="str">
        <f t="shared" si="1"/>
        <v xml:space="preserve"> </v>
      </c>
      <c r="M35" s="440" t="str">
        <f t="shared" si="2"/>
        <v>Stk.</v>
      </c>
      <c r="N35" s="80"/>
      <c r="O35" s="202" t="str">
        <f>IF(ISNUMBER(L35),FT35*L35," ")</f>
        <v xml:space="preserve"> </v>
      </c>
      <c r="T35" s="71"/>
      <c r="U35" s="149" t="str">
        <f>IF(ISNUMBER(W35),ROUNDUP($A35/W35,0)*W35," ")</f>
        <v xml:space="preserve"> </v>
      </c>
      <c r="V35" s="149">
        <f t="shared" si="3"/>
        <v>0</v>
      </c>
      <c r="W35" s="149" t="str">
        <f>IF($O$17=1,"",IF(AND($O$17=2,$J35=VLOOKUP(635,Sprachindex!$A:$Z,Info!$O$7,FALSE)),10,IF(AND($O$17=3,$J35=VLOOKUP(635,Sprachindex!$A:$Z,Info!$O$7,FALSE)),24,IF(AND($O$17=3,$J35=VLOOKUP(547,Sprachindex!$A:$Z,Info!$O$7,FALSE)),24,IF(AND($O$17=4,$J35=VLOOKUP(635,Sprachindex!$A:$Z,Info!$O$7,FALSE)),16,"")))))</f>
        <v/>
      </c>
      <c r="X35" s="149">
        <v>1</v>
      </c>
      <c r="Y35" t="s">
        <v>578</v>
      </c>
      <c r="Z35" t="s">
        <v>579</v>
      </c>
      <c r="AA35" t="s">
        <v>580</v>
      </c>
      <c r="AB35" t="s">
        <v>581</v>
      </c>
      <c r="AC35" t="s">
        <v>582</v>
      </c>
      <c r="AD35" t="s">
        <v>583</v>
      </c>
      <c r="AE35" t="s">
        <v>584</v>
      </c>
      <c r="AF35">
        <v>522015</v>
      </c>
      <c r="AG35" s="61">
        <f t="shared" si="0"/>
        <v>0</v>
      </c>
      <c r="AH35" s="62" t="s">
        <v>585</v>
      </c>
      <c r="AI35" t="s">
        <v>586</v>
      </c>
      <c r="AJ35" t="s">
        <v>587</v>
      </c>
      <c r="AK35" t="s">
        <v>588</v>
      </c>
      <c r="AL35" t="s">
        <v>589</v>
      </c>
      <c r="AM35" t="s">
        <v>590</v>
      </c>
      <c r="AN35" t="s">
        <v>591</v>
      </c>
      <c r="AO35" t="s">
        <v>592</v>
      </c>
      <c r="AP35">
        <v>522025</v>
      </c>
      <c r="AQ35" s="61">
        <f>IF($O$16=1,AI35,IF($O$16=2,AJ35,IF($O$16=3,AK35,IF($O$16=4,AL35,IF($O$16=5,AM35,IF($O$16=6,AN35,IF($O$16=8,AO35,IF($O$16=10,AP35,0))))))))</f>
        <v>0</v>
      </c>
      <c r="AR35" s="62" t="s">
        <v>593</v>
      </c>
      <c r="AS35" t="s">
        <v>594</v>
      </c>
      <c r="AT35" t="s">
        <v>595</v>
      </c>
      <c r="AU35" t="s">
        <v>596</v>
      </c>
      <c r="AV35" t="s">
        <v>597</v>
      </c>
      <c r="AW35" t="s">
        <v>598</v>
      </c>
      <c r="AX35" t="s">
        <v>599</v>
      </c>
      <c r="AY35" t="s">
        <v>600</v>
      </c>
      <c r="AZ35"/>
      <c r="BA35" s="61">
        <f>IF($O$16=1,AS35,IF($O$16=2,AT35,IF($O$16=3,AU35,IF($O$16=4,AV35,IF($O$16=5,AW35,IF($O$16=6,AX35,IF($O$16=8,AY35,IF($O$16=10,AZ35,0))))))))</f>
        <v>0</v>
      </c>
      <c r="BB35" s="62" t="s">
        <v>601</v>
      </c>
      <c r="BC35"/>
      <c r="BD35"/>
      <c r="BE35"/>
      <c r="BF35"/>
      <c r="BG35"/>
      <c r="BH35"/>
      <c r="BI35"/>
      <c r="BJ35"/>
      <c r="BK35" s="61">
        <f>IF($O$16=1,BC35,IF($O$16=2,BD35,IF($O$16=3,BE35,IF($O$16=4,BF35,IF($O$16=5,BG35,IF($O$16=6,BH35,IF($O$16=8,BI35,IF($O$16=10,BJ35,0))))))))</f>
        <v>0</v>
      </c>
      <c r="BL35" s="62" t="s">
        <v>602</v>
      </c>
      <c r="FE35" s="635" t="str">
        <f>VLOOKUP(714,Sprachindex!$A:$Z,Info!$O$7,FALSE)</f>
        <v>Rinnenhaken hochkant</v>
      </c>
      <c r="FF35" s="636"/>
      <c r="FG35" s="636"/>
      <c r="FH35" s="636"/>
      <c r="FI35" s="113" t="str">
        <f>VLOOKUP(556,Sprachindex!$A:$Z,Info!$O$7,FALSE)</f>
        <v>Länge wählen:</v>
      </c>
      <c r="FJ35" s="242"/>
      <c r="FK35" s="237"/>
      <c r="FL35" s="243"/>
      <c r="FM35" s="242"/>
      <c r="FN35" s="234">
        <v>16.88</v>
      </c>
      <c r="FO35" s="243"/>
      <c r="FP35" s="251">
        <v>11.45</v>
      </c>
      <c r="FQ35" s="238">
        <v>12.74</v>
      </c>
      <c r="FR35" s="243"/>
      <c r="FS35" s="257">
        <v>13.02</v>
      </c>
      <c r="FT35" s="271" t="str">
        <f>IF(O17=2,FN35,IF(O17=3,FW35,IF(O17=4,FS35," ")))</f>
        <v xml:space="preserve"> </v>
      </c>
      <c r="FU35" s="232"/>
      <c r="FV35" s="232"/>
      <c r="FW35" s="231" t="str">
        <f>IF(J35=FP30,FP35,IF(J35=FQ30,FQ35," "))</f>
        <v xml:space="preserve"> </v>
      </c>
      <c r="GC35" s="290">
        <f>O17</f>
        <v>0</v>
      </c>
      <c r="GD35" s="1" t="s">
        <v>603</v>
      </c>
    </row>
    <row r="36" spans="1:200" ht="32.1" customHeight="1">
      <c r="A36" s="110"/>
      <c r="B36" s="121" t="str">
        <f>VLOOKUP(878,Sprachindex!$A:$Z,Info!$O$7,FALSE)</f>
        <v>Stk.</v>
      </c>
      <c r="C36" s="111"/>
      <c r="D36" s="111">
        <f>IF(O17=3,AG36,0)</f>
        <v>0</v>
      </c>
      <c r="E36" s="635" t="str">
        <f>VLOOKUP(715,Sprachindex!$A:$Z,Info!$O$7,FALSE)</f>
        <v>Rinnenhaken Schweiz</v>
      </c>
      <c r="F36" s="636"/>
      <c r="G36" s="636"/>
      <c r="H36" s="636"/>
      <c r="I36" s="113"/>
      <c r="J36" s="637" t="str">
        <f>IF(O17=0,"",IF(O17=3,M21,Formeln_RI_P.10!A169))</f>
        <v/>
      </c>
      <c r="K36" s="638"/>
      <c r="L36" s="79" t="str">
        <f t="shared" si="1"/>
        <v xml:space="preserve"> </v>
      </c>
      <c r="M36" s="440" t="str">
        <f t="shared" si="2"/>
        <v>Stk.</v>
      </c>
      <c r="N36" s="80"/>
      <c r="O36" s="202" t="str">
        <f>IF(ISNUMBER(L36),FT36*L36," ")</f>
        <v xml:space="preserve"> </v>
      </c>
      <c r="T36" s="71"/>
      <c r="U36" s="149" t="e">
        <f t="shared" si="3"/>
        <v>#VALUE!</v>
      </c>
      <c r="V36" s="149">
        <f t="shared" si="3"/>
        <v>0</v>
      </c>
      <c r="W36" s="149" t="str">
        <f>IF($O$17=3,"24","")</f>
        <v/>
      </c>
      <c r="X36" s="149">
        <v>1</v>
      </c>
      <c r="Y36" t="s">
        <v>604</v>
      </c>
      <c r="Z36" t="s">
        <v>605</v>
      </c>
      <c r="AA36" t="s">
        <v>606</v>
      </c>
      <c r="AB36" t="s">
        <v>607</v>
      </c>
      <c r="AC36" t="s">
        <v>608</v>
      </c>
      <c r="AD36" t="s">
        <v>609</v>
      </c>
      <c r="AE36" t="s">
        <v>610</v>
      </c>
      <c r="AF36">
        <v>522055</v>
      </c>
      <c r="AG36" s="61">
        <f t="shared" si="0"/>
        <v>0</v>
      </c>
      <c r="AH36" s="62" t="s">
        <v>585</v>
      </c>
      <c r="FE36" s="635" t="str">
        <f>VLOOKUP(715,Sprachindex!$A:$Z,Info!$O$7,FALSE)</f>
        <v>Rinnenhaken Schweiz</v>
      </c>
      <c r="FF36" s="636"/>
      <c r="FG36" s="636"/>
      <c r="FH36" s="636"/>
      <c r="FI36" s="113"/>
      <c r="FJ36" s="242"/>
      <c r="FK36" s="237"/>
      <c r="FL36" s="243"/>
      <c r="FM36" s="242"/>
      <c r="FN36" s="237"/>
      <c r="FO36" s="243"/>
      <c r="FP36" s="242"/>
      <c r="FQ36" s="235">
        <v>12.74</v>
      </c>
      <c r="FR36" s="243"/>
      <c r="FS36" s="256"/>
      <c r="FT36" s="271" t="str">
        <f>IF(O17=3,FQ36," ")</f>
        <v xml:space="preserve"> </v>
      </c>
      <c r="FU36" s="232"/>
      <c r="FV36" s="232"/>
      <c r="FW36" s="195"/>
      <c r="GC36" s="291">
        <f>O18</f>
        <v>0</v>
      </c>
      <c r="GD36" s="292" t="s">
        <v>611</v>
      </c>
    </row>
    <row r="37" spans="1:200" ht="32.1" customHeight="1">
      <c r="A37" s="109"/>
      <c r="B37" s="79" t="str">
        <f>VLOOKUP(531,Sprachindex!$A:$Z,Info!$O$7,FALSE)</f>
        <v>kg</v>
      </c>
      <c r="C37" s="78"/>
      <c r="D37" s="78">
        <v>350670</v>
      </c>
      <c r="E37" s="561" t="str">
        <f>VLOOKUP(716,Sprachindex!$A:$Z,Info!$O$7,FALSE)</f>
        <v>Rinnenhakennagel (5,0 × 80)</v>
      </c>
      <c r="F37" s="562"/>
      <c r="G37" s="562"/>
      <c r="H37" s="562"/>
      <c r="I37" s="562"/>
      <c r="J37" s="627"/>
      <c r="K37" s="628"/>
      <c r="L37" s="79" t="str">
        <f t="shared" si="1"/>
        <v xml:space="preserve"> </v>
      </c>
      <c r="M37" s="440" t="str">
        <f t="shared" si="2"/>
        <v>kg</v>
      </c>
      <c r="N37" s="80"/>
      <c r="O37" s="202" t="str">
        <f t="shared" ref="O37:O62" si="4">IF(ISNUMBER(A37),FT37*L37," ")</f>
        <v xml:space="preserve"> </v>
      </c>
      <c r="T37" s="71"/>
      <c r="U37" s="149">
        <f>ROUNDUP($A37/$W37,0)*$W37</f>
        <v>0</v>
      </c>
      <c r="V37" s="149">
        <f>ROUNDUP($A37/$X37,0)*$X37</f>
        <v>0</v>
      </c>
      <c r="W37" s="149">
        <v>5</v>
      </c>
      <c r="X37" s="149">
        <v>0.5</v>
      </c>
      <c r="Y37" s="47" t="s">
        <v>108</v>
      </c>
      <c r="Z37" s="47" t="s">
        <v>422</v>
      </c>
      <c r="AA37" s="47" t="s">
        <v>110</v>
      </c>
      <c r="AB37" s="47" t="s">
        <v>113</v>
      </c>
      <c r="AC37" s="47" t="s">
        <v>118</v>
      </c>
      <c r="AD37" s="47" t="s">
        <v>115</v>
      </c>
      <c r="AE37" s="47" t="s">
        <v>423</v>
      </c>
      <c r="AF37" s="47" t="s">
        <v>424</v>
      </c>
      <c r="AG37" s="47"/>
      <c r="AH37" s="61"/>
      <c r="AI37" s="47" t="s">
        <v>108</v>
      </c>
      <c r="AJ37" s="47" t="s">
        <v>422</v>
      </c>
      <c r="AK37" s="47" t="s">
        <v>110</v>
      </c>
      <c r="AL37" s="47" t="s">
        <v>113</v>
      </c>
      <c r="AM37" s="47" t="s">
        <v>118</v>
      </c>
      <c r="AN37" s="47" t="s">
        <v>115</v>
      </c>
      <c r="AO37" s="47" t="s">
        <v>423</v>
      </c>
      <c r="AP37" s="47" t="s">
        <v>424</v>
      </c>
      <c r="AQ37" s="47"/>
      <c r="AR37" s="61"/>
      <c r="AS37" s="47" t="s">
        <v>108</v>
      </c>
      <c r="AT37" s="47" t="s">
        <v>422</v>
      </c>
      <c r="AU37" s="47" t="s">
        <v>110</v>
      </c>
      <c r="AV37" s="47" t="s">
        <v>113</v>
      </c>
      <c r="AW37" s="47" t="s">
        <v>118</v>
      </c>
      <c r="AX37" s="47" t="s">
        <v>115</v>
      </c>
      <c r="AY37" s="47" t="s">
        <v>423</v>
      </c>
      <c r="AZ37" s="47" t="s">
        <v>424</v>
      </c>
      <c r="BA37" s="47"/>
      <c r="BB37" s="61"/>
      <c r="BC37" s="47" t="s">
        <v>108</v>
      </c>
      <c r="BD37" s="47" t="s">
        <v>422</v>
      </c>
      <c r="BE37" s="47" t="s">
        <v>110</v>
      </c>
      <c r="BF37" s="47" t="s">
        <v>113</v>
      </c>
      <c r="BG37" s="47" t="s">
        <v>118</v>
      </c>
      <c r="BH37" s="47" t="s">
        <v>115</v>
      </c>
      <c r="BI37" s="47" t="s">
        <v>423</v>
      </c>
      <c r="BJ37" s="47" t="s">
        <v>424</v>
      </c>
      <c r="BK37" s="47"/>
      <c r="BL37" s="61"/>
      <c r="BM37" s="47" t="s">
        <v>108</v>
      </c>
      <c r="BN37" s="47" t="s">
        <v>422</v>
      </c>
      <c r="BO37" s="47" t="s">
        <v>110</v>
      </c>
      <c r="BP37" s="47" t="s">
        <v>113</v>
      </c>
      <c r="BQ37" s="47" t="s">
        <v>118</v>
      </c>
      <c r="BR37" s="47" t="s">
        <v>115</v>
      </c>
      <c r="BS37" s="47" t="s">
        <v>423</v>
      </c>
      <c r="BT37" s="47" t="s">
        <v>424</v>
      </c>
      <c r="BU37" s="47"/>
      <c r="BV37" s="61"/>
      <c r="BW37" s="47" t="s">
        <v>108</v>
      </c>
      <c r="BX37" s="47" t="s">
        <v>422</v>
      </c>
      <c r="BY37" s="47" t="s">
        <v>110</v>
      </c>
      <c r="BZ37" s="47" t="s">
        <v>113</v>
      </c>
      <c r="CA37" s="47" t="s">
        <v>118</v>
      </c>
      <c r="CB37" s="47" t="s">
        <v>115</v>
      </c>
      <c r="CC37" s="47" t="s">
        <v>423</v>
      </c>
      <c r="CD37" s="47" t="s">
        <v>424</v>
      </c>
      <c r="CE37" s="47"/>
      <c r="CF37" s="61"/>
      <c r="CG37" s="47" t="s">
        <v>108</v>
      </c>
      <c r="CH37" s="47" t="s">
        <v>422</v>
      </c>
      <c r="CI37" s="47" t="s">
        <v>110</v>
      </c>
      <c r="CJ37" s="47" t="s">
        <v>113</v>
      </c>
      <c r="CK37" s="47" t="s">
        <v>118</v>
      </c>
      <c r="CL37" s="47" t="s">
        <v>115</v>
      </c>
      <c r="CM37" s="47" t="s">
        <v>423</v>
      </c>
      <c r="CN37" s="47" t="s">
        <v>424</v>
      </c>
      <c r="CO37" s="47"/>
      <c r="CP37" s="61"/>
      <c r="CQ37" s="47" t="s">
        <v>108</v>
      </c>
      <c r="CR37" s="47" t="s">
        <v>422</v>
      </c>
      <c r="CS37" s="47" t="s">
        <v>110</v>
      </c>
      <c r="CT37" s="47" t="s">
        <v>113</v>
      </c>
      <c r="CU37" s="47" t="s">
        <v>118</v>
      </c>
      <c r="CV37" s="47" t="s">
        <v>115</v>
      </c>
      <c r="CW37" s="47" t="s">
        <v>423</v>
      </c>
      <c r="CX37" s="47" t="s">
        <v>424</v>
      </c>
      <c r="CY37" s="47"/>
      <c r="CZ37" s="61"/>
      <c r="DA37" s="47" t="s">
        <v>108</v>
      </c>
      <c r="DB37" s="47" t="s">
        <v>422</v>
      </c>
      <c r="DC37" s="47" t="s">
        <v>110</v>
      </c>
      <c r="DD37" s="47" t="s">
        <v>113</v>
      </c>
      <c r="DE37" s="47" t="s">
        <v>118</v>
      </c>
      <c r="DF37" s="47" t="s">
        <v>115</v>
      </c>
      <c r="DG37" s="47" t="s">
        <v>423</v>
      </c>
      <c r="DH37" s="47" t="s">
        <v>424</v>
      </c>
      <c r="DI37" s="47"/>
      <c r="DJ37" s="61"/>
      <c r="FE37" s="561" t="str">
        <f>VLOOKUP(716,Sprachindex!$A:$Z,Info!$O$7,FALSE)</f>
        <v>Rinnenhakennagel (5,0 × 80)</v>
      </c>
      <c r="FF37" s="562"/>
      <c r="FG37" s="562"/>
      <c r="FH37" s="562"/>
      <c r="FI37" s="562"/>
      <c r="FJ37" s="260">
        <v>7.8</v>
      </c>
      <c r="FK37" s="237"/>
      <c r="FL37" s="243"/>
      <c r="FM37" s="242"/>
      <c r="FN37" s="237"/>
      <c r="FO37" s="243"/>
      <c r="FP37" s="242"/>
      <c r="FQ37" s="237"/>
      <c r="FR37" s="243"/>
      <c r="FS37" s="256"/>
      <c r="FT37" s="271">
        <f>FJ37</f>
        <v>7.8</v>
      </c>
      <c r="FU37" s="232"/>
      <c r="FV37" s="232"/>
      <c r="FW37" s="195"/>
    </row>
    <row r="38" spans="1:200" ht="32.1" customHeight="1">
      <c r="A38" s="109"/>
      <c r="B38" s="79" t="str">
        <f>VLOOKUP(878,Sprachindex!$A:$Z,Info!$O$7,FALSE)</f>
        <v>Stk.</v>
      </c>
      <c r="C38" s="78"/>
      <c r="D38" s="78">
        <f>IF($O$17=1,AG38,IF($O$17=2,AQ38,IF($O$17=3,BA38,IF($O$17=4,BK38,0))))</f>
        <v>0</v>
      </c>
      <c r="E38" s="561" t="str">
        <f>VLOOKUP(710,Sprachindex!$A:$Z,Info!$O$7,FALSE)</f>
        <v>Rinnenendboden</v>
      </c>
      <c r="F38" s="562"/>
      <c r="G38" s="562"/>
      <c r="H38" s="562"/>
      <c r="I38" s="562"/>
      <c r="J38" s="627" t="str">
        <f>IF(O17=5,Formeln_RI_P.10!A169,Formeln_RI_P.10!A175)</f>
        <v/>
      </c>
      <c r="K38" s="628"/>
      <c r="L38" s="79" t="str">
        <f t="shared" si="1"/>
        <v xml:space="preserve"> </v>
      </c>
      <c r="M38" s="440" t="str">
        <f t="shared" si="2"/>
        <v>Stk.</v>
      </c>
      <c r="N38" s="80"/>
      <c r="O38" s="202" t="str">
        <f t="shared" si="4"/>
        <v xml:space="preserve"> </v>
      </c>
      <c r="T38" s="71"/>
      <c r="U38" s="149">
        <f t="shared" ref="U38:V44" si="5">ROUNDUP($A38/W38,0)*W38</f>
        <v>0</v>
      </c>
      <c r="V38" s="149">
        <f t="shared" si="5"/>
        <v>0</v>
      </c>
      <c r="W38" s="149">
        <f>IF(O17="","",50)</f>
        <v>50</v>
      </c>
      <c r="X38" s="149">
        <v>1</v>
      </c>
      <c r="Y38" t="s">
        <v>612</v>
      </c>
      <c r="Z38" t="s">
        <v>613</v>
      </c>
      <c r="AA38" t="s">
        <v>614</v>
      </c>
      <c r="AB38" t="s">
        <v>615</v>
      </c>
      <c r="AC38" t="s">
        <v>616</v>
      </c>
      <c r="AD38" t="s">
        <v>617</v>
      </c>
      <c r="AE38" t="s">
        <v>618</v>
      </c>
      <c r="AF38"/>
      <c r="AG38" s="61">
        <f t="shared" ref="AG38:AG44" si="6">IF($O$16=1,Y38,IF($O$16=2,Z38,IF($O$16=3,AA38,IF($O$16=4,AB38,IF($O$16=5,AC38,IF($O$16=6,AD38,IF($O$16=8,AE38,IF($O$16=10,AF38,0))))))))</f>
        <v>0</v>
      </c>
      <c r="AH38" s="61" t="s">
        <v>619</v>
      </c>
      <c r="AI38" t="s">
        <v>620</v>
      </c>
      <c r="AJ38" t="s">
        <v>621</v>
      </c>
      <c r="AK38" t="s">
        <v>622</v>
      </c>
      <c r="AL38" t="s">
        <v>623</v>
      </c>
      <c r="AM38">
        <v>200025</v>
      </c>
      <c r="AN38" t="s">
        <v>624</v>
      </c>
      <c r="AO38" t="s">
        <v>625</v>
      </c>
      <c r="AP38"/>
      <c r="AQ38" s="61">
        <f>IF($O$16=1,AI38,IF($O$16=2,AJ38,IF($O$16=3,AK38,IF($O$16=4,AL38,IF($O$16=5,AM38,IF($O$16=6,AN38,IF($O$16=8,AO38,IF($O$16=10,AP38,0))))))))</f>
        <v>0</v>
      </c>
      <c r="AR38" s="61" t="s">
        <v>626</v>
      </c>
      <c r="AS38" t="s">
        <v>627</v>
      </c>
      <c r="AT38" t="s">
        <v>628</v>
      </c>
      <c r="AU38" t="s">
        <v>629</v>
      </c>
      <c r="AV38" t="s">
        <v>630</v>
      </c>
      <c r="AW38" t="s">
        <v>631</v>
      </c>
      <c r="AX38" t="s">
        <v>632</v>
      </c>
      <c r="AY38" t="s">
        <v>633</v>
      </c>
      <c r="AZ38">
        <v>517031</v>
      </c>
      <c r="BA38" s="61">
        <f>IF($O$16=1,AS38,IF($O$16=2,AT38,IF($O$16=3,AU38,IF($O$16=4,AV38,IF($O$16=5,AW38,IF($O$16=6,AX38,IF($O$16=8,AY38,IF($O$16=10,AZ38,0))))))))</f>
        <v>0</v>
      </c>
      <c r="BB38" s="61" t="s">
        <v>634</v>
      </c>
      <c r="BC38" t="s">
        <v>635</v>
      </c>
      <c r="BD38" t="s">
        <v>636</v>
      </c>
      <c r="BE38" t="s">
        <v>637</v>
      </c>
      <c r="BF38" t="s">
        <v>638</v>
      </c>
      <c r="BG38" t="s">
        <v>639</v>
      </c>
      <c r="BH38" t="s">
        <v>640</v>
      </c>
      <c r="BI38" t="s">
        <v>641</v>
      </c>
      <c r="BJ38"/>
      <c r="BK38" s="61">
        <f>IF($O$16=1,BC38,IF($O$16=2,BD38,IF($O$16=3,BE38,IF($O$16=4,BF38,IF($O$16=5,BG38,IF($O$16=6,BH38,IF($O$16=8,BI38,IF($O$16=10,BJ38,0))))))))</f>
        <v>0</v>
      </c>
      <c r="BL38" s="61" t="s">
        <v>642</v>
      </c>
      <c r="FE38" s="561" t="str">
        <f>VLOOKUP(710,Sprachindex!$A:$Z,Info!$O$7,FALSE)</f>
        <v>Rinnenendboden</v>
      </c>
      <c r="FF38" s="562"/>
      <c r="FG38" s="562"/>
      <c r="FH38" s="562"/>
      <c r="FI38" s="562"/>
      <c r="FJ38" s="242"/>
      <c r="FK38" s="233">
        <v>2.5499999999999998</v>
      </c>
      <c r="FL38" s="243"/>
      <c r="FM38" s="242"/>
      <c r="FN38" s="240">
        <v>2.72</v>
      </c>
      <c r="FO38" s="243"/>
      <c r="FP38" s="242"/>
      <c r="FQ38" s="238">
        <v>2.91</v>
      </c>
      <c r="FR38" s="243"/>
      <c r="FS38" s="257">
        <v>4.05</v>
      </c>
      <c r="FT38" s="271" t="str">
        <f>IF($O$17=1,FK38,IF($O$17=2,FN38,IF($O$17=3,FQ38,IF($O$17=4,FS38," "))))</f>
        <v xml:space="preserve"> </v>
      </c>
      <c r="FU38" s="232"/>
      <c r="FV38" s="232"/>
      <c r="FW38" s="195"/>
    </row>
    <row r="39" spans="1:200" ht="32.1" customHeight="1">
      <c r="A39" s="109"/>
      <c r="B39" s="79" t="str">
        <f>VLOOKUP(878,Sprachindex!$A:$Z,Info!$O$7,FALSE)</f>
        <v>Stk.</v>
      </c>
      <c r="C39" s="78"/>
      <c r="D39" s="78">
        <f>IF($O$17=3,AG39,0)</f>
        <v>0</v>
      </c>
      <c r="E39" s="561" t="str">
        <f>VLOOKUP(546,Sprachindex!$A:$Z,Info!$O$7,FALSE)</f>
        <v>Kugelendboden</v>
      </c>
      <c r="F39" s="562"/>
      <c r="G39" s="562"/>
      <c r="H39" s="562"/>
      <c r="I39" s="562"/>
      <c r="J39" s="627" t="str">
        <f>IF(O17=0,"",IF(O17=3,M21,Formeln_RI_P.10!A169))</f>
        <v/>
      </c>
      <c r="K39" s="628"/>
      <c r="L39" s="79" t="str">
        <f t="shared" si="1"/>
        <v xml:space="preserve"> </v>
      </c>
      <c r="M39" s="440" t="str">
        <f t="shared" si="2"/>
        <v>Stk.</v>
      </c>
      <c r="N39" s="80"/>
      <c r="O39" s="202" t="str">
        <f>IF(ISNUMBER(L39),FT39*L39," ")</f>
        <v xml:space="preserve"> </v>
      </c>
      <c r="T39" s="71"/>
      <c r="U39" s="149" t="e">
        <f t="shared" si="5"/>
        <v>#VALUE!</v>
      </c>
      <c r="V39" s="149">
        <f t="shared" si="5"/>
        <v>0</v>
      </c>
      <c r="W39" s="149" t="str">
        <f>IF($O$17=3,4,"")</f>
        <v/>
      </c>
      <c r="X39" s="149">
        <v>1</v>
      </c>
      <c r="Y39" t="s">
        <v>643</v>
      </c>
      <c r="Z39" t="s">
        <v>644</v>
      </c>
      <c r="AA39" t="s">
        <v>645</v>
      </c>
      <c r="AB39" t="s">
        <v>646</v>
      </c>
      <c r="AC39" t="s">
        <v>647</v>
      </c>
      <c r="AD39" t="s">
        <v>648</v>
      </c>
      <c r="AE39" t="s">
        <v>649</v>
      </c>
      <c r="AF39"/>
      <c r="AG39" s="61">
        <f t="shared" si="6"/>
        <v>0</v>
      </c>
      <c r="AH39" s="61" t="s">
        <v>634</v>
      </c>
      <c r="AQ39" s="139"/>
      <c r="FE39" s="561" t="str">
        <f>VLOOKUP(546,Sprachindex!$A:$Z,Info!$O$7,FALSE)</f>
        <v>Kugelendboden</v>
      </c>
      <c r="FF39" s="562"/>
      <c r="FG39" s="562"/>
      <c r="FH39" s="562"/>
      <c r="FI39" s="562"/>
      <c r="FJ39" s="242"/>
      <c r="FK39" s="237"/>
      <c r="FL39" s="243"/>
      <c r="FM39" s="242"/>
      <c r="FN39" s="111"/>
      <c r="FO39" s="246"/>
      <c r="FP39" s="247"/>
      <c r="FQ39" s="238">
        <v>17.350000000000001</v>
      </c>
      <c r="FR39" s="243"/>
      <c r="FS39" s="256"/>
      <c r="FT39" s="271" t="str">
        <f>IF($O$17=3,FQ39," ")</f>
        <v xml:space="preserve"> </v>
      </c>
      <c r="FU39" s="232"/>
      <c r="FV39" s="232"/>
      <c r="FW39" s="195"/>
    </row>
    <row r="40" spans="1:200" ht="32.1" customHeight="1" thickBot="1">
      <c r="A40" s="109"/>
      <c r="B40" s="79" t="str">
        <f>VLOOKUP(878,Sprachindex!$A:$Z,Info!$O$7,FALSE)</f>
        <v>Stk.</v>
      </c>
      <c r="C40" s="78"/>
      <c r="D40" s="78">
        <f>IF($O$17=3,AG40,0)</f>
        <v>0</v>
      </c>
      <c r="E40" s="561" t="str">
        <f>VLOOKUP(1426,Sprachindex!$A:$Z,Info!$O$7,FALSE)</f>
        <v>Klebeendboden</v>
      </c>
      <c r="F40" s="562"/>
      <c r="G40" s="562"/>
      <c r="H40" s="562"/>
      <c r="I40" s="562"/>
      <c r="J40" s="627" t="str">
        <f>IF(O17=0,"",IF(O17=3,M21,Formeln_RI_P.10!A169))</f>
        <v/>
      </c>
      <c r="K40" s="628"/>
      <c r="L40" s="79" t="str">
        <f t="shared" si="1"/>
        <v xml:space="preserve"> </v>
      </c>
      <c r="M40" s="440" t="str">
        <f t="shared" si="2"/>
        <v>Stk.</v>
      </c>
      <c r="N40" s="80"/>
      <c r="O40" s="202" t="str">
        <f>IF(ISNUMBER(L40),FT40*L40," ")</f>
        <v xml:space="preserve"> </v>
      </c>
      <c r="T40" s="71"/>
      <c r="U40" s="149" t="e">
        <f t="shared" si="5"/>
        <v>#VALUE!</v>
      </c>
      <c r="V40" s="149">
        <f t="shared" si="5"/>
        <v>0</v>
      </c>
      <c r="W40" s="149" t="str">
        <f>IF($O$17=3,2,"")</f>
        <v/>
      </c>
      <c r="X40" s="149">
        <v>1</v>
      </c>
      <c r="Y40"/>
      <c r="Z40"/>
      <c r="AA40"/>
      <c r="AB40"/>
      <c r="AC40"/>
      <c r="AD40"/>
      <c r="AE40"/>
      <c r="AF40"/>
      <c r="AG40" s="61">
        <f t="shared" si="6"/>
        <v>0</v>
      </c>
      <c r="AH40" s="61"/>
      <c r="AQ40" s="139"/>
      <c r="FE40" s="561" t="str">
        <f>VLOOKUP(1426,Sprachindex!$A:$Z,Info!$O$7,FALSE)</f>
        <v>Klebeendboden</v>
      </c>
      <c r="FF40" s="562"/>
      <c r="FG40" s="562"/>
      <c r="FH40" s="562"/>
      <c r="FI40" s="562"/>
      <c r="FJ40" s="242"/>
      <c r="FK40" s="237"/>
      <c r="FL40" s="243"/>
      <c r="FM40" s="242"/>
      <c r="FN40" s="237"/>
      <c r="FO40" s="246"/>
      <c r="FP40" s="247"/>
      <c r="FQ40" s="238">
        <v>25.92</v>
      </c>
      <c r="FR40" s="243"/>
      <c r="FS40" s="256"/>
      <c r="FT40" s="271" t="str">
        <f>IF($O$17=3,FQ40," ")</f>
        <v xml:space="preserve"> </v>
      </c>
      <c r="FU40" s="232"/>
      <c r="FV40" s="232"/>
      <c r="FW40" s="195"/>
      <c r="FY40" s="1">
        <v>1</v>
      </c>
      <c r="FZ40" s="1">
        <v>2</v>
      </c>
      <c r="GA40" s="1">
        <v>3</v>
      </c>
      <c r="GB40" s="1">
        <v>4</v>
      </c>
      <c r="GC40" s="1">
        <v>5</v>
      </c>
    </row>
    <row r="41" spans="1:200" ht="32.1" customHeight="1" thickBot="1">
      <c r="A41" s="109"/>
      <c r="B41" s="79" t="str">
        <f>VLOOKUP(878,Sprachindex!$A:$Z,Info!$O$7,FALSE)</f>
        <v>Stk.</v>
      </c>
      <c r="C41" s="78"/>
      <c r="D41" s="78">
        <f>IF($O$17=1,AG41,IF($O$17=2,AQ41,IF($O$17=3,BA41,IF($O$17=4,BK41,0))))</f>
        <v>0</v>
      </c>
      <c r="E41" s="561" t="str">
        <f>VLOOKUP(721,Sprachindex!$A:$Z,Info!$O$7,FALSE)</f>
        <v>Rinnenwinkel 90° (außen)</v>
      </c>
      <c r="F41" s="562"/>
      <c r="G41" s="562"/>
      <c r="H41" s="562"/>
      <c r="I41" s="562"/>
      <c r="J41" s="627" t="str">
        <f>Formeln_RI_P.10!A175</f>
        <v/>
      </c>
      <c r="K41" s="628"/>
      <c r="L41" s="79" t="str">
        <f t="shared" si="1"/>
        <v xml:space="preserve"> </v>
      </c>
      <c r="M41" s="440" t="str">
        <f t="shared" si="2"/>
        <v>Stk.</v>
      </c>
      <c r="N41" s="80"/>
      <c r="O41" s="202" t="str">
        <f t="shared" si="4"/>
        <v xml:space="preserve"> </v>
      </c>
      <c r="T41" s="71"/>
      <c r="U41" s="149" t="e">
        <f t="shared" si="5"/>
        <v>#VALUE!</v>
      </c>
      <c r="V41" s="149">
        <f t="shared" si="5"/>
        <v>0</v>
      </c>
      <c r="W41" s="149" t="str">
        <f>IF($O$17=1,4,IF($O$17=2,4,IF($O$17=3,4,IF($O$17=4,2,""))))</f>
        <v/>
      </c>
      <c r="X41" s="149">
        <v>1</v>
      </c>
      <c r="Y41" t="s">
        <v>650</v>
      </c>
      <c r="Z41" t="s">
        <v>651</v>
      </c>
      <c r="AA41" t="s">
        <v>652</v>
      </c>
      <c r="AB41" t="s">
        <v>653</v>
      </c>
      <c r="AC41" t="s">
        <v>654</v>
      </c>
      <c r="AD41" t="s">
        <v>655</v>
      </c>
      <c r="AE41" t="s">
        <v>656</v>
      </c>
      <c r="AF41"/>
      <c r="AG41" s="61">
        <f t="shared" si="6"/>
        <v>0</v>
      </c>
      <c r="AH41" s="61" t="s">
        <v>619</v>
      </c>
      <c r="AI41" t="s">
        <v>657</v>
      </c>
      <c r="AJ41" t="s">
        <v>658</v>
      </c>
      <c r="AK41" t="s">
        <v>659</v>
      </c>
      <c r="AL41" t="s">
        <v>660</v>
      </c>
      <c r="AM41" t="s">
        <v>661</v>
      </c>
      <c r="AN41" t="s">
        <v>662</v>
      </c>
      <c r="AO41" t="s">
        <v>663</v>
      </c>
      <c r="AP41"/>
      <c r="AQ41" s="61">
        <f>IF($O$16=1,AI41,IF($O$16=2,AJ41,IF($O$16=3,AK41,IF($O$16=4,AL41,IF($O$16=5,AM41,IF($O$16=6,AN41,IF($O$16=8,AO41,IF($O$16=10,AP41,0))))))))</f>
        <v>0</v>
      </c>
      <c r="AR41" s="61" t="s">
        <v>626</v>
      </c>
      <c r="AS41" t="s">
        <v>664</v>
      </c>
      <c r="AT41" t="s">
        <v>665</v>
      </c>
      <c r="AU41" t="s">
        <v>666</v>
      </c>
      <c r="AV41" t="s">
        <v>667</v>
      </c>
      <c r="AW41" t="s">
        <v>668</v>
      </c>
      <c r="AX41" t="s">
        <v>669</v>
      </c>
      <c r="AY41" t="s">
        <v>670</v>
      </c>
      <c r="AZ41">
        <v>518029</v>
      </c>
      <c r="BA41" s="61">
        <f>IF($O$16=1,AS41,IF($O$16=2,AT41,IF($O$16=3,AU41,IF($O$16=4,AV41,IF($O$16=5,AW41,IF($O$16=6,AX41,IF($O$16=8,AY41,IF($O$16=10,AZ41,0))))))))</f>
        <v>0</v>
      </c>
      <c r="BB41" s="61" t="s">
        <v>634</v>
      </c>
      <c r="BC41" t="s">
        <v>671</v>
      </c>
      <c r="BD41" t="s">
        <v>672</v>
      </c>
      <c r="BE41" t="s">
        <v>673</v>
      </c>
      <c r="BF41" t="s">
        <v>674</v>
      </c>
      <c r="BG41" t="s">
        <v>675</v>
      </c>
      <c r="BH41" t="s">
        <v>676</v>
      </c>
      <c r="BI41" t="s">
        <v>677</v>
      </c>
      <c r="BJ41"/>
      <c r="BK41" s="61">
        <f>IF($O$16=1,BC41,IF($O$16=2,BD41,IF($O$16=3,BE41,IF($O$16=4,BF41,IF($O$16=5,BG41,IF($O$16=6,BH41,IF($O$16=8,BI41,IF($O$16=10,BJ41,0))))))))</f>
        <v>0</v>
      </c>
      <c r="BL41" s="61" t="s">
        <v>642</v>
      </c>
      <c r="FE41" s="561" t="str">
        <f>VLOOKUP(721,Sprachindex!$A:$Z,Info!$O$7,FALSE)</f>
        <v>Rinnenwinkel 90° (außen)</v>
      </c>
      <c r="FF41" s="562"/>
      <c r="FG41" s="562"/>
      <c r="FH41" s="562"/>
      <c r="FI41" s="562"/>
      <c r="FJ41" s="242"/>
      <c r="FK41" s="233">
        <v>34.729999999999997</v>
      </c>
      <c r="FL41" s="246"/>
      <c r="FM41" s="247"/>
      <c r="FN41" s="240">
        <v>34.46</v>
      </c>
      <c r="FO41" s="246"/>
      <c r="FP41" s="247"/>
      <c r="FQ41" s="238">
        <v>34.92</v>
      </c>
      <c r="FR41" s="253"/>
      <c r="FS41" s="257">
        <v>52.9</v>
      </c>
      <c r="FT41" s="271" t="str">
        <f>IF($O$17=1,FK41,IF($O$17=2,FN41,IF($O$17=3,FQ41,IF($O$17=4,FS41," "))))</f>
        <v xml:space="preserve"> </v>
      </c>
      <c r="FU41" s="232"/>
      <c r="FV41" s="232"/>
      <c r="FW41" s="195"/>
      <c r="FY41" s="642">
        <v>250</v>
      </c>
      <c r="FZ41" s="643"/>
      <c r="GA41" s="643"/>
      <c r="GB41" s="643"/>
      <c r="GC41" s="644"/>
      <c r="GD41" s="642">
        <v>280</v>
      </c>
      <c r="GE41" s="643"/>
      <c r="GF41" s="643"/>
      <c r="GG41" s="643"/>
      <c r="GH41" s="644"/>
      <c r="GI41" s="642">
        <v>333</v>
      </c>
      <c r="GJ41" s="643"/>
      <c r="GK41" s="643"/>
      <c r="GL41" s="643"/>
      <c r="GM41" s="644"/>
      <c r="GN41" s="642">
        <v>400</v>
      </c>
      <c r="GO41" s="643"/>
      <c r="GP41" s="643"/>
      <c r="GQ41" s="643"/>
      <c r="GR41" s="644"/>
    </row>
    <row r="42" spans="1:200" ht="32.1" customHeight="1" thickBot="1">
      <c r="A42" s="109"/>
      <c r="B42" s="79" t="str">
        <f>VLOOKUP(878,Sprachindex!$A:$Z,Info!$O$7,FALSE)</f>
        <v>Stk.</v>
      </c>
      <c r="C42" s="78"/>
      <c r="D42" s="78">
        <f>IF($O$17=1,AG42,IF($O$17=2,AQ42,IF($O$17=3,BA42,IF($O$17=4,BK42,0))))</f>
        <v>0</v>
      </c>
      <c r="E42" s="561" t="str">
        <f>VLOOKUP(722,Sprachindex!$A:$Z,Info!$O$7,FALSE)</f>
        <v>Rinnenwinkel 90° (innen)</v>
      </c>
      <c r="F42" s="562"/>
      <c r="G42" s="562"/>
      <c r="H42" s="562"/>
      <c r="I42" s="562"/>
      <c r="J42" s="627" t="str">
        <f>Formeln_RI_P.10!A175</f>
        <v/>
      </c>
      <c r="K42" s="628"/>
      <c r="L42" s="79" t="str">
        <f t="shared" si="1"/>
        <v xml:space="preserve"> </v>
      </c>
      <c r="M42" s="440" t="str">
        <f t="shared" si="2"/>
        <v>Stk.</v>
      </c>
      <c r="N42" s="80"/>
      <c r="O42" s="202" t="str">
        <f t="shared" si="4"/>
        <v xml:space="preserve"> </v>
      </c>
      <c r="T42" s="71"/>
      <c r="U42" s="149" t="e">
        <f t="shared" si="5"/>
        <v>#VALUE!</v>
      </c>
      <c r="V42" s="149">
        <f t="shared" si="5"/>
        <v>0</v>
      </c>
      <c r="W42" s="149" t="str">
        <f>IF($O$17=1,4,IF($O$17=2,4,IF($O$17=3,4,IF($O$17=4,2,""))))</f>
        <v/>
      </c>
      <c r="X42" s="149">
        <v>1</v>
      </c>
      <c r="Y42" t="s">
        <v>678</v>
      </c>
      <c r="Z42" t="s">
        <v>679</v>
      </c>
      <c r="AA42" t="s">
        <v>680</v>
      </c>
      <c r="AB42" t="s">
        <v>681</v>
      </c>
      <c r="AC42" t="s">
        <v>682</v>
      </c>
      <c r="AD42" t="s">
        <v>683</v>
      </c>
      <c r="AE42" t="s">
        <v>684</v>
      </c>
      <c r="AF42"/>
      <c r="AG42" s="61">
        <f t="shared" si="6"/>
        <v>0</v>
      </c>
      <c r="AH42" s="61" t="s">
        <v>619</v>
      </c>
      <c r="AI42" t="s">
        <v>685</v>
      </c>
      <c r="AJ42" t="s">
        <v>686</v>
      </c>
      <c r="AK42" t="s">
        <v>687</v>
      </c>
      <c r="AL42" t="s">
        <v>688</v>
      </c>
      <c r="AM42" t="s">
        <v>689</v>
      </c>
      <c r="AN42" t="s">
        <v>690</v>
      </c>
      <c r="AO42" t="s">
        <v>691</v>
      </c>
      <c r="AP42"/>
      <c r="AQ42" s="61">
        <f>IF($O$16=1,AI42,IF($O$16=2,AJ42,IF($O$16=3,AK42,IF($O$16=4,AL42,IF($O$16=5,AM42,IF($O$16=6,AN42,IF($O$16=8,AO42,IF($O$16=10,AP42,0))))))))</f>
        <v>0</v>
      </c>
      <c r="AR42" s="61" t="s">
        <v>626</v>
      </c>
      <c r="AS42" t="s">
        <v>692</v>
      </c>
      <c r="AT42" t="s">
        <v>693</v>
      </c>
      <c r="AU42" t="s">
        <v>694</v>
      </c>
      <c r="AV42" t="s">
        <v>695</v>
      </c>
      <c r="AW42" t="s">
        <v>696</v>
      </c>
      <c r="AX42" t="s">
        <v>697</v>
      </c>
      <c r="AY42" t="s">
        <v>698</v>
      </c>
      <c r="AZ42">
        <v>518028</v>
      </c>
      <c r="BA42" s="61">
        <f>IF($O$16=1,AS42,IF($O$16=2,AT42,IF($O$16=3,AU42,IF($O$16=4,AV42,IF($O$16=5,AW42,IF($O$16=6,AX42,IF($O$16=8,AY42,IF($O$16=10,AZ42,0))))))))</f>
        <v>0</v>
      </c>
      <c r="BB42" s="61" t="s">
        <v>634</v>
      </c>
      <c r="BC42" t="s">
        <v>699</v>
      </c>
      <c r="BD42" t="s">
        <v>700</v>
      </c>
      <c r="BE42" t="s">
        <v>701</v>
      </c>
      <c r="BF42" t="s">
        <v>702</v>
      </c>
      <c r="BG42" t="s">
        <v>703</v>
      </c>
      <c r="BH42" t="s">
        <v>704</v>
      </c>
      <c r="BI42" t="s">
        <v>705</v>
      </c>
      <c r="BJ42"/>
      <c r="BK42" s="61">
        <f>IF($O$16=1,BC42,IF($O$16=2,BD42,IF($O$16=3,BE42,IF($O$16=4,BF42,IF($O$16=5,BG42,IF($O$16=6,BH42,IF($O$16=8,BI42,IF($O$16=10,BJ42,0))))))))</f>
        <v>0</v>
      </c>
      <c r="BL42" s="61" t="s">
        <v>642</v>
      </c>
      <c r="FE42" s="561" t="str">
        <f>VLOOKUP(722,Sprachindex!$A:$Z,Info!$O$7,FALSE)</f>
        <v>Rinnenwinkel 90° (innen)</v>
      </c>
      <c r="FF42" s="562"/>
      <c r="FG42" s="562"/>
      <c r="FH42" s="562"/>
      <c r="FI42" s="562"/>
      <c r="FJ42" s="261"/>
      <c r="FK42" s="262">
        <v>34.729999999999997</v>
      </c>
      <c r="FL42" s="250"/>
      <c r="FM42" s="248"/>
      <c r="FN42" s="249">
        <v>34.46</v>
      </c>
      <c r="FO42" s="250"/>
      <c r="FP42" s="248"/>
      <c r="FQ42" s="254">
        <v>34.92</v>
      </c>
      <c r="FR42" s="255"/>
      <c r="FS42" s="258">
        <v>52.9</v>
      </c>
      <c r="FT42" s="271" t="str">
        <f>IF($O$17=1,FK42,IF($O$17=2,FN42,IF($O$17=3,FQ42,IF($O$17=4,FS42," "))))</f>
        <v xml:space="preserve"> </v>
      </c>
      <c r="FU42" s="232"/>
      <c r="FV42" s="232"/>
      <c r="FW42" s="195"/>
      <c r="FY42" s="269">
        <v>60</v>
      </c>
      <c r="FZ42" s="269">
        <v>80</v>
      </c>
      <c r="GA42" s="269">
        <v>100</v>
      </c>
      <c r="GB42" s="269">
        <v>120</v>
      </c>
      <c r="GC42" s="269">
        <v>150</v>
      </c>
      <c r="GD42" s="269">
        <v>60</v>
      </c>
      <c r="GE42" s="269">
        <v>80</v>
      </c>
      <c r="GF42" s="269">
        <v>100</v>
      </c>
      <c r="GG42" s="269">
        <v>120</v>
      </c>
      <c r="GH42" s="269">
        <v>150</v>
      </c>
      <c r="GI42" s="269">
        <v>60</v>
      </c>
      <c r="GJ42" s="269">
        <v>80</v>
      </c>
      <c r="GK42" s="269">
        <v>100</v>
      </c>
      <c r="GL42" s="269">
        <v>120</v>
      </c>
      <c r="GM42" s="269">
        <v>150</v>
      </c>
      <c r="GN42" s="269">
        <v>60</v>
      </c>
      <c r="GO42" s="269">
        <v>80</v>
      </c>
      <c r="GP42" s="269">
        <v>100</v>
      </c>
      <c r="GQ42" s="269">
        <v>120</v>
      </c>
      <c r="GR42" s="269">
        <v>150</v>
      </c>
    </row>
    <row r="43" spans="1:200" ht="32.1" customHeight="1">
      <c r="A43" s="443"/>
      <c r="B43" s="79" t="str">
        <f>VLOOKUP(878,Sprachindex!$A:$Z,Info!$O$7,FALSE)</f>
        <v>Stk.</v>
      </c>
      <c r="C43" s="82"/>
      <c r="D43" s="82">
        <f>IF(AND($O$17=1,$O$18=2),AQ43,IF(AND($O$17=2,$O$18=2),BA43,IF(AND($O$17=2,$O$18=3),BK43,IF(AND($O$17=3,$O$18=2),BU43,IF(AND($O$17=3,$O$18=3),CE43,IF(AND($O$17=3,$O$18=4),CO43,IF(AND($O$17=4,$O$18=4),CY43,IF(AND($O$17=4,$O$18=5),DI43,IF(AND($O$17=1,$O$18=1),AG43,0)))))))))</f>
        <v>0</v>
      </c>
      <c r="E43" s="561" t="str">
        <f>VLOOKUP(718,Sprachindex!$A:$Z,Info!$O$7,FALSE)</f>
        <v>Rinnenkessel</v>
      </c>
      <c r="F43" s="562"/>
      <c r="G43" s="562"/>
      <c r="H43" s="562"/>
      <c r="I43" s="562"/>
      <c r="J43" s="627" t="str">
        <f>Formeln_RI_P.10!A191</f>
        <v/>
      </c>
      <c r="K43" s="628"/>
      <c r="L43" s="79" t="str">
        <f t="shared" si="1"/>
        <v xml:space="preserve"> </v>
      </c>
      <c r="M43" s="440" t="str">
        <f t="shared" si="2"/>
        <v>Stk.</v>
      </c>
      <c r="N43" s="80"/>
      <c r="O43" s="202" t="str">
        <f>IF(ISNUMBER(L43),FT43*L43," ")</f>
        <v xml:space="preserve"> </v>
      </c>
      <c r="R43" s="289"/>
      <c r="S43" s="195"/>
      <c r="T43" s="71"/>
      <c r="U43" s="149" t="e">
        <f t="shared" si="5"/>
        <v>#VALUE!</v>
      </c>
      <c r="V43" s="149">
        <f t="shared" si="5"/>
        <v>0</v>
      </c>
      <c r="W43" s="149" t="str">
        <f>IF(AND($O$17=1,$O$18=1),6,IF(AND($O$17=1,$O$18=2),6,IF(AND($O$17=2,$O$18=2),10,IF(AND($O$17=2,$O$18=3),10,IF(AND($O$17=3,$O$18=2),10,IF(AND($O$17=3,$O$18=3),10,IF(AND($O$17=3,$O$18=4),5,IF(AND($O$17=4,$O$18=4),3,IF(AND($O$17=4,$O$18=5),1,"")))))))))</f>
        <v/>
      </c>
      <c r="X43" s="149">
        <v>1</v>
      </c>
      <c r="Y43" t="s">
        <v>706</v>
      </c>
      <c r="Z43" t="s">
        <v>707</v>
      </c>
      <c r="AA43" t="s">
        <v>708</v>
      </c>
      <c r="AB43" t="s">
        <v>709</v>
      </c>
      <c r="AC43" t="s">
        <v>710</v>
      </c>
      <c r="AD43" t="s">
        <v>711</v>
      </c>
      <c r="AE43" t="s">
        <v>712</v>
      </c>
      <c r="AF43"/>
      <c r="AG43" s="61">
        <f t="shared" si="6"/>
        <v>0</v>
      </c>
      <c r="AH43" s="61" t="s">
        <v>713</v>
      </c>
      <c r="AI43" t="s">
        <v>714</v>
      </c>
      <c r="AJ43" t="s">
        <v>715</v>
      </c>
      <c r="AK43" t="s">
        <v>716</v>
      </c>
      <c r="AL43" t="s">
        <v>717</v>
      </c>
      <c r="AM43" t="s">
        <v>718</v>
      </c>
      <c r="AN43" t="s">
        <v>719</v>
      </c>
      <c r="AO43" t="s">
        <v>720</v>
      </c>
      <c r="AP43"/>
      <c r="AQ43" s="61">
        <f>IF($O$16=1,AI43,IF($O$16=2,AJ43,IF($O$16=3,AK43,IF($O$16=4,AL43,IF($O$16=5,AM43,IF($O$16=6,AN43,IF($O$16=8,AO43,IF($O$16=10,AP43,0))))))))</f>
        <v>0</v>
      </c>
      <c r="AR43" s="61" t="s">
        <v>721</v>
      </c>
      <c r="AS43" t="s">
        <v>722</v>
      </c>
      <c r="AT43" t="s">
        <v>723</v>
      </c>
      <c r="AU43" t="s">
        <v>724</v>
      </c>
      <c r="AV43" t="s">
        <v>725</v>
      </c>
      <c r="AW43" t="s">
        <v>726</v>
      </c>
      <c r="AX43" t="s">
        <v>727</v>
      </c>
      <c r="AY43" t="s">
        <v>728</v>
      </c>
      <c r="AZ43"/>
      <c r="BA43" s="61">
        <f>IF($O$16=1,AS43,IF($O$16=2,AT43,IF($O$16=3,AU43,IF($O$16=4,AV43,IF($O$16=5,AW43,IF($O$16=6,AX43,IF($O$16=8,AY43,IF($O$16=10,AZ43,0))))))))</f>
        <v>0</v>
      </c>
      <c r="BB43" s="61" t="s">
        <v>729</v>
      </c>
      <c r="BC43" t="s">
        <v>730</v>
      </c>
      <c r="BD43" t="s">
        <v>731</v>
      </c>
      <c r="BE43" t="s">
        <v>732</v>
      </c>
      <c r="BF43" t="s">
        <v>733</v>
      </c>
      <c r="BG43" t="s">
        <v>734</v>
      </c>
      <c r="BH43" t="s">
        <v>735</v>
      </c>
      <c r="BI43" t="s">
        <v>736</v>
      </c>
      <c r="BJ43"/>
      <c r="BK43" s="61">
        <f>IF($O$16=1,BC43,IF($O$16=2,BD43,IF($O$16=3,BE43,IF($O$16=4,BF43,IF($O$16=5,BG43,IF($O$16=6,BH43,IF($O$16=8,BI43,IF($O$16=10,BJ43,0))))))))</f>
        <v>0</v>
      </c>
      <c r="BL43" s="61" t="s">
        <v>737</v>
      </c>
      <c r="BM43" t="s">
        <v>738</v>
      </c>
      <c r="BN43" t="s">
        <v>739</v>
      </c>
      <c r="BO43" t="s">
        <v>740</v>
      </c>
      <c r="BP43" t="s">
        <v>741</v>
      </c>
      <c r="BQ43" t="s">
        <v>742</v>
      </c>
      <c r="BR43" t="s">
        <v>743</v>
      </c>
      <c r="BS43" t="s">
        <v>744</v>
      </c>
      <c r="BT43"/>
      <c r="BU43" s="61">
        <f>IF($O$16=1,BM43,IF($O$16=2,BN43,IF($O$16=3,BO43,IF($O$16=4,BP43,IF($O$16=5,BQ43,IF($O$16=6,BR43,IF($O$16=8,BS43,IF($O$16=10,BT43,0))))))))</f>
        <v>0</v>
      </c>
      <c r="BV43" s="61" t="s">
        <v>745</v>
      </c>
      <c r="BW43" t="s">
        <v>746</v>
      </c>
      <c r="BX43" t="s">
        <v>747</v>
      </c>
      <c r="BY43" t="s">
        <v>748</v>
      </c>
      <c r="BZ43" t="s">
        <v>749</v>
      </c>
      <c r="CA43" t="s">
        <v>750</v>
      </c>
      <c r="CB43" t="s">
        <v>751</v>
      </c>
      <c r="CC43" t="s">
        <v>752</v>
      </c>
      <c r="CD43">
        <v>519043</v>
      </c>
      <c r="CE43" s="61">
        <f>IF($O$16=1,BW43,IF($O$16=2,BX43,IF($O$16=3,BY43,IF($O$16=4,BZ43,IF($O$16=5,CA43,IF($O$16=6,CB43,IF($O$16=8,CC43,IF($O$16=10,CD43,0))))))))</f>
        <v>0</v>
      </c>
      <c r="CF43" s="61" t="s">
        <v>753</v>
      </c>
      <c r="CG43" t="s">
        <v>754</v>
      </c>
      <c r="CH43" t="s">
        <v>755</v>
      </c>
      <c r="CI43" t="s">
        <v>756</v>
      </c>
      <c r="CJ43" t="s">
        <v>757</v>
      </c>
      <c r="CK43" t="s">
        <v>758</v>
      </c>
      <c r="CL43" t="s">
        <v>759</v>
      </c>
      <c r="CM43" t="s">
        <v>760</v>
      </c>
      <c r="CN43"/>
      <c r="CO43" s="61">
        <f>IF($O$16=1,CG43,IF($O$16=2,CH43,IF($O$16=3,CI43,IF($O$16=4,CJ43,IF($O$16=5,CK43,IF($O$16=6,CL43,IF($O$16=8,CM43,IF($O$16=10,CN43,0))))))))</f>
        <v>0</v>
      </c>
      <c r="CP43" s="61" t="s">
        <v>761</v>
      </c>
      <c r="CQ43" t="s">
        <v>762</v>
      </c>
      <c r="CR43" t="s">
        <v>763</v>
      </c>
      <c r="CS43" t="s">
        <v>764</v>
      </c>
      <c r="CT43" t="s">
        <v>765</v>
      </c>
      <c r="CU43" t="s">
        <v>766</v>
      </c>
      <c r="CV43" t="s">
        <v>767</v>
      </c>
      <c r="CW43" t="s">
        <v>768</v>
      </c>
      <c r="CX43"/>
      <c r="CY43" s="61">
        <f>IF($O$16=1,CQ43,IF($O$16=2,CR43,IF($O$16=3,CS43,IF($O$16=4,CT43,IF($O$16=5,CU43,IF($O$16=6,CV43,IF($O$16=8,CW43,IF($O$16=10,CX43,0))))))))</f>
        <v>0</v>
      </c>
      <c r="CZ43" s="61" t="s">
        <v>769</v>
      </c>
      <c r="DA43">
        <v>200861</v>
      </c>
      <c r="DB43">
        <v>200860</v>
      </c>
      <c r="DC43"/>
      <c r="DD43">
        <v>200862</v>
      </c>
      <c r="DE43"/>
      <c r="DF43"/>
      <c r="DG43"/>
      <c r="DH43"/>
      <c r="DI43" s="61">
        <f>IF($O$16=1,DA43,IF($O$16=2,DB43,IF($O$16=3,DC43,IF($O$16=4,DD43,IF($O$16=5,DE43,IF($O$16=6,DF43,IF($O$16=8,DG43,IF($O$16=10,DH43,0))))))))</f>
        <v>0</v>
      </c>
      <c r="DJ43" s="61" t="s">
        <v>770</v>
      </c>
      <c r="FE43" s="561" t="str">
        <f>VLOOKUP(718,Sprachindex!$A:$Z,Info!$O$7,FALSE)</f>
        <v>Rinnenkessel</v>
      </c>
      <c r="FF43" s="562"/>
      <c r="FG43" s="562"/>
      <c r="FH43" s="562"/>
      <c r="FI43" s="562"/>
      <c r="FJ43" s="242"/>
      <c r="FK43" s="237"/>
      <c r="FL43" s="243"/>
      <c r="FM43" s="242"/>
      <c r="FN43" s="237"/>
      <c r="FO43" s="246"/>
      <c r="FP43" s="247"/>
      <c r="FQ43" s="111"/>
      <c r="FR43" s="243"/>
      <c r="FS43" s="256"/>
      <c r="FT43" s="271" t="str">
        <f>IF($O$17=1,FU43,IF($O$17=2,FV43,IF($O17=3,FW43,IF(O17=4,FX43," "))))</f>
        <v xml:space="preserve"> </v>
      </c>
      <c r="FU43" s="229" t="str">
        <f>IF(O18=1,FY43,IF(O18=2,FZ43," "))</f>
        <v xml:space="preserve"> </v>
      </c>
      <c r="FV43" s="230" t="str">
        <f>IF(O18=2,GE43,IF(O18=3,GF43," "))</f>
        <v xml:space="preserve"> </v>
      </c>
      <c r="FW43" s="231" t="str">
        <f>IF(O18=2,GJ43,IF(O18=3,GK43,IF(O18=4,GL43," ")))</f>
        <v xml:space="preserve"> </v>
      </c>
      <c r="FX43" s="293" t="str">
        <f>IF(O18=3,GP43,IF(O18=4,GQ43,IF(O18=5,GR43," ")))</f>
        <v xml:space="preserve"> </v>
      </c>
      <c r="FY43" s="281">
        <v>36.369999999999997</v>
      </c>
      <c r="FZ43" s="272">
        <v>24.23</v>
      </c>
      <c r="GA43" s="274"/>
      <c r="GB43" s="274"/>
      <c r="GC43" s="275"/>
      <c r="GD43" s="273"/>
      <c r="GE43" s="286">
        <v>25.41</v>
      </c>
      <c r="GF43" s="286">
        <v>25.61</v>
      </c>
      <c r="GG43" s="274"/>
      <c r="GH43" s="275"/>
      <c r="GI43" s="273"/>
      <c r="GJ43" s="287">
        <v>29.62</v>
      </c>
      <c r="GK43" s="287">
        <v>25.91</v>
      </c>
      <c r="GL43" s="287">
        <v>31.74</v>
      </c>
      <c r="GM43" s="275"/>
      <c r="GN43" s="273"/>
      <c r="GO43" s="282"/>
      <c r="GP43" s="284">
        <v>40.33</v>
      </c>
      <c r="GQ43" s="288">
        <v>38.07</v>
      </c>
      <c r="GR43" s="285">
        <v>57.62</v>
      </c>
    </row>
    <row r="44" spans="1:200" ht="32.1" customHeight="1">
      <c r="A44" s="443"/>
      <c r="B44" s="79" t="str">
        <f>VLOOKUP(878,Sprachindex!$A:$Z,Info!$O$7,FALSE)</f>
        <v>Stk.</v>
      </c>
      <c r="C44" s="78"/>
      <c r="D44" s="78">
        <f>IF(OR(AND(O17=1,O18=2),AND(O17=2,O18=2),AND(O17=3,O18=2)),AG44,IF(OR(AND(O17=2,O18=3),AND(O17=3,O18=3)),AQ44,IF(OR(AND(O17=3,O18=4),AND(O17=4,O18=4)),BA44,0)))</f>
        <v>0</v>
      </c>
      <c r="E44" s="561" t="str">
        <f>VLOOKUP(814,Sprachindex!$A:$Z,Info!$O$7,FALSE)</f>
        <v>Schrägstutzen</v>
      </c>
      <c r="F44" s="562"/>
      <c r="G44" s="562"/>
      <c r="H44" s="562"/>
      <c r="I44" s="562"/>
      <c r="J44" s="627" t="str">
        <f>Formeln_RI_P.10!A194</f>
        <v/>
      </c>
      <c r="K44" s="628"/>
      <c r="L44" s="79" t="str">
        <f t="shared" si="1"/>
        <v xml:space="preserve"> </v>
      </c>
      <c r="M44" s="440" t="str">
        <f t="shared" si="2"/>
        <v>Stk.</v>
      </c>
      <c r="N44" s="80"/>
      <c r="O44" s="202" t="str">
        <f>IF(ISNUMBER(L44),FT44*L44," ")</f>
        <v xml:space="preserve"> </v>
      </c>
      <c r="R44" s="289"/>
      <c r="S44" s="195"/>
      <c r="T44" s="71"/>
      <c r="U44" s="149" t="e">
        <f t="shared" si="5"/>
        <v>#VALUE!</v>
      </c>
      <c r="V44" s="149">
        <f t="shared" si="5"/>
        <v>0</v>
      </c>
      <c r="W44" s="149" t="str">
        <f>IF(AND(OR($O$17=1,$O$17=2,$O$17=3),$O$18=2),2,IF(AND(OR($O$17=2,$O$17=3),$O$18=3),2,IF(AND(OR($O$17=3,$O$17=4),$O$18=4),2,"")))</f>
        <v/>
      </c>
      <c r="X44" s="149">
        <v>1</v>
      </c>
      <c r="Y44" t="s">
        <v>771</v>
      </c>
      <c r="Z44" t="s">
        <v>772</v>
      </c>
      <c r="AA44" t="s">
        <v>773</v>
      </c>
      <c r="AB44" t="s">
        <v>774</v>
      </c>
      <c r="AC44" t="s">
        <v>775</v>
      </c>
      <c r="AD44" t="s">
        <v>776</v>
      </c>
      <c r="AE44" t="s">
        <v>777</v>
      </c>
      <c r="AF44"/>
      <c r="AG44" s="61">
        <f t="shared" si="6"/>
        <v>0</v>
      </c>
      <c r="AH44" s="61">
        <v>80</v>
      </c>
      <c r="AI44" t="s">
        <v>778</v>
      </c>
      <c r="AJ44" t="s">
        <v>779</v>
      </c>
      <c r="AK44" t="s">
        <v>780</v>
      </c>
      <c r="AL44" t="s">
        <v>781</v>
      </c>
      <c r="AM44" t="s">
        <v>782</v>
      </c>
      <c r="AN44" t="s">
        <v>783</v>
      </c>
      <c r="AO44" t="s">
        <v>784</v>
      </c>
      <c r="AP44">
        <v>520042</v>
      </c>
      <c r="AQ44" s="61">
        <f>IF($O$16=1,AI44,IF($O$16=2,AJ44,IF($O$16=3,AK44,IF($O$16=4,AL44,IF($O$16=5,AM44,IF($O$16=6,AN44,IF($O$16=8,AO44,IF($O$16=10,AP44,0))))))))</f>
        <v>0</v>
      </c>
      <c r="AR44" s="61">
        <v>100</v>
      </c>
      <c r="AS44" t="s">
        <v>785</v>
      </c>
      <c r="AT44" t="s">
        <v>786</v>
      </c>
      <c r="AU44" t="s">
        <v>787</v>
      </c>
      <c r="AV44" t="s">
        <v>788</v>
      </c>
      <c r="AW44" t="s">
        <v>789</v>
      </c>
      <c r="AX44" t="s">
        <v>790</v>
      </c>
      <c r="AY44" t="s">
        <v>791</v>
      </c>
      <c r="AZ44"/>
      <c r="BA44" s="61">
        <f>IF($O$16=1,AS44,IF($O$16=2,AT44,IF($O$16=3,AU44,IF($O$16=4,AV44,IF($O$16=5,AW44,IF($O$16=6,AX44,IF($O$16=8,AY44,IF($O$16=10,AZ44,0))))))))</f>
        <v>0</v>
      </c>
      <c r="BB44" s="61">
        <v>120</v>
      </c>
      <c r="FE44" s="561" t="str">
        <f>VLOOKUP(814,Sprachindex!$A:$Z,Info!$O$7,FALSE)</f>
        <v>Schrägstutzen</v>
      </c>
      <c r="FF44" s="562"/>
      <c r="FG44" s="562"/>
      <c r="FH44" s="562"/>
      <c r="FI44" s="562"/>
      <c r="FJ44" s="242"/>
      <c r="FK44" s="237"/>
      <c r="FL44" s="243"/>
      <c r="FM44" s="242"/>
      <c r="FN44" s="237"/>
      <c r="FO44" s="246"/>
      <c r="FP44" s="247"/>
      <c r="FQ44" s="111"/>
      <c r="FR44" s="243"/>
      <c r="FS44" s="256"/>
      <c r="FT44" s="271" t="str">
        <f>IF($O$17=1,FU44,IF($O$17=2,FV44,IF($O18=3,FW44,IF(O18=4,FX44," "))))</f>
        <v xml:space="preserve"> </v>
      </c>
      <c r="FU44" s="229" t="str">
        <f>IF(O18=2,FZ44," ")</f>
        <v xml:space="preserve"> </v>
      </c>
      <c r="FV44" s="230" t="str">
        <f>IF(O18=2,GE44,IF(O18=3,GF44," "))</f>
        <v xml:space="preserve"> </v>
      </c>
      <c r="FW44" s="231" t="str">
        <f>IF(O18=2,GJ44,IF(O18=3,GK44,IF(O18=4,GL44," ")))</f>
        <v xml:space="preserve"> </v>
      </c>
      <c r="FX44" s="293" t="str">
        <f>IF(O18=4,GQ44," ")</f>
        <v xml:space="preserve"> </v>
      </c>
      <c r="FY44" s="276"/>
      <c r="FZ44" s="233">
        <v>31.47</v>
      </c>
      <c r="GA44" s="277"/>
      <c r="GB44" s="277"/>
      <c r="GC44" s="278"/>
      <c r="GD44" s="276"/>
      <c r="GE44" s="240">
        <v>31.47</v>
      </c>
      <c r="GF44" s="240">
        <v>32.32</v>
      </c>
      <c r="GG44" s="277"/>
      <c r="GH44" s="278"/>
      <c r="GI44" s="276"/>
      <c r="GJ44" s="238">
        <v>31.47</v>
      </c>
      <c r="GK44" s="238">
        <v>32.32</v>
      </c>
      <c r="GL44" s="238">
        <v>39.56</v>
      </c>
      <c r="GM44" s="278"/>
      <c r="GN44" s="276"/>
      <c r="GO44" s="277"/>
      <c r="GP44" s="280"/>
      <c r="GQ44" s="239">
        <v>39.56</v>
      </c>
      <c r="GR44" s="283"/>
    </row>
    <row r="45" spans="1:200" ht="32.1" customHeight="1">
      <c r="A45" s="98"/>
      <c r="B45" s="79" t="str">
        <f>VLOOKUP(1512,Sprachindex!$A:$Z,Info!$O$7,FALSE)</f>
        <v>lfm</v>
      </c>
      <c r="C45" s="78"/>
      <c r="D45" s="78">
        <v>507300</v>
      </c>
      <c r="E45" s="561" t="str">
        <f>VLOOKUP(986,Sprachindex!$A:$Z,Info!$O$7,FALSE)</f>
        <v>Vogelschutzgitter (Braun/Anthrazit; 125 × 2.000 × 0,7 mm)</v>
      </c>
      <c r="F45" s="562"/>
      <c r="G45" s="562"/>
      <c r="H45" s="562"/>
      <c r="I45" s="562"/>
      <c r="J45" s="627"/>
      <c r="K45" s="628"/>
      <c r="L45" s="79" t="str">
        <f t="shared" si="1"/>
        <v xml:space="preserve"> </v>
      </c>
      <c r="M45" s="440" t="str">
        <f t="shared" si="2"/>
        <v>lfm</v>
      </c>
      <c r="N45" s="80"/>
      <c r="O45" s="202" t="str">
        <f t="shared" si="4"/>
        <v xml:space="preserve"> </v>
      </c>
      <c r="R45" s="289"/>
      <c r="S45" s="195"/>
      <c r="U45" s="149">
        <f>ROUNDUP($A45/2,0)*2</f>
        <v>0</v>
      </c>
      <c r="V45" s="149">
        <f>ROUNDUP($A45/2,0)*2</f>
        <v>0</v>
      </c>
      <c r="W45" s="149">
        <v>1</v>
      </c>
      <c r="X45" s="149">
        <v>1</v>
      </c>
      <c r="Y45" s="47" t="s">
        <v>108</v>
      </c>
      <c r="Z45" s="47" t="s">
        <v>422</v>
      </c>
      <c r="AA45" s="47" t="s">
        <v>110</v>
      </c>
      <c r="AB45" s="47" t="s">
        <v>113</v>
      </c>
      <c r="AC45" s="47" t="s">
        <v>118</v>
      </c>
      <c r="AD45" s="47" t="s">
        <v>115</v>
      </c>
      <c r="AE45" s="47" t="s">
        <v>423</v>
      </c>
      <c r="AF45" s="47" t="s">
        <v>424</v>
      </c>
      <c r="AG45" s="47"/>
      <c r="AH45" s="61"/>
      <c r="AI45" s="47" t="s">
        <v>108</v>
      </c>
      <c r="AJ45" s="47" t="s">
        <v>422</v>
      </c>
      <c r="AK45" s="47" t="s">
        <v>110</v>
      </c>
      <c r="AL45" s="47" t="s">
        <v>113</v>
      </c>
      <c r="AM45" s="47" t="s">
        <v>118</v>
      </c>
      <c r="AN45" s="47" t="s">
        <v>115</v>
      </c>
      <c r="AO45" s="47" t="s">
        <v>423</v>
      </c>
      <c r="AP45" s="47" t="s">
        <v>424</v>
      </c>
      <c r="AQ45" s="47"/>
      <c r="AR45" s="61"/>
      <c r="AS45" s="47" t="s">
        <v>108</v>
      </c>
      <c r="AT45" s="47" t="s">
        <v>422</v>
      </c>
      <c r="AU45" s="47" t="s">
        <v>110</v>
      </c>
      <c r="AV45" s="47" t="s">
        <v>113</v>
      </c>
      <c r="AW45" s="47" t="s">
        <v>118</v>
      </c>
      <c r="AX45" s="47" t="s">
        <v>115</v>
      </c>
      <c r="AY45" s="47" t="s">
        <v>423</v>
      </c>
      <c r="AZ45" s="47" t="s">
        <v>424</v>
      </c>
      <c r="BA45" s="47"/>
      <c r="BB45" s="61"/>
      <c r="BC45" s="47" t="s">
        <v>108</v>
      </c>
      <c r="BD45" s="47" t="s">
        <v>422</v>
      </c>
      <c r="BE45" s="47" t="s">
        <v>110</v>
      </c>
      <c r="BF45" s="47" t="s">
        <v>113</v>
      </c>
      <c r="BG45" s="47" t="s">
        <v>118</v>
      </c>
      <c r="BH45" s="47" t="s">
        <v>115</v>
      </c>
      <c r="BI45" s="47" t="s">
        <v>423</v>
      </c>
      <c r="BJ45" s="47" t="s">
        <v>424</v>
      </c>
      <c r="BK45" s="47"/>
      <c r="BL45" s="61"/>
      <c r="BM45" s="47" t="s">
        <v>108</v>
      </c>
      <c r="BN45" s="47" t="s">
        <v>422</v>
      </c>
      <c r="BO45" s="47" t="s">
        <v>110</v>
      </c>
      <c r="BP45" s="47" t="s">
        <v>113</v>
      </c>
      <c r="BQ45" s="47" t="s">
        <v>118</v>
      </c>
      <c r="BR45" s="47" t="s">
        <v>115</v>
      </c>
      <c r="BS45" s="47" t="s">
        <v>423</v>
      </c>
      <c r="BT45" s="47" t="s">
        <v>424</v>
      </c>
      <c r="BU45" s="47"/>
      <c r="BV45" s="61"/>
      <c r="BW45" s="47" t="s">
        <v>108</v>
      </c>
      <c r="BX45" s="47" t="s">
        <v>422</v>
      </c>
      <c r="BY45" s="47" t="s">
        <v>110</v>
      </c>
      <c r="BZ45" s="47" t="s">
        <v>113</v>
      </c>
      <c r="CA45" s="47" t="s">
        <v>118</v>
      </c>
      <c r="CB45" s="47" t="s">
        <v>115</v>
      </c>
      <c r="CC45" s="47" t="s">
        <v>423</v>
      </c>
      <c r="CD45" s="47" t="s">
        <v>424</v>
      </c>
      <c r="CE45" s="47"/>
      <c r="CF45" s="61"/>
      <c r="CG45" s="47" t="s">
        <v>108</v>
      </c>
      <c r="CH45" s="47" t="s">
        <v>422</v>
      </c>
      <c r="CI45" s="47" t="s">
        <v>110</v>
      </c>
      <c r="CJ45" s="47" t="s">
        <v>113</v>
      </c>
      <c r="CK45" s="47" t="s">
        <v>118</v>
      </c>
      <c r="CL45" s="47" t="s">
        <v>115</v>
      </c>
      <c r="CM45" s="47" t="s">
        <v>423</v>
      </c>
      <c r="CN45" s="47" t="s">
        <v>424</v>
      </c>
      <c r="CO45" s="47"/>
      <c r="CP45" s="61"/>
      <c r="CQ45" s="47" t="s">
        <v>108</v>
      </c>
      <c r="CR45" s="47" t="s">
        <v>422</v>
      </c>
      <c r="CS45" s="47" t="s">
        <v>110</v>
      </c>
      <c r="CT45" s="47" t="s">
        <v>113</v>
      </c>
      <c r="CU45" s="47" t="s">
        <v>118</v>
      </c>
      <c r="CV45" s="47" t="s">
        <v>115</v>
      </c>
      <c r="CW45" s="47" t="s">
        <v>423</v>
      </c>
      <c r="CX45" s="47" t="s">
        <v>424</v>
      </c>
      <c r="CY45" s="47"/>
      <c r="CZ45" s="61"/>
      <c r="DA45" s="47" t="s">
        <v>108</v>
      </c>
      <c r="DB45" s="47" t="s">
        <v>422</v>
      </c>
      <c r="DC45" s="47" t="s">
        <v>110</v>
      </c>
      <c r="DD45" s="47" t="s">
        <v>113</v>
      </c>
      <c r="DE45" s="47" t="s">
        <v>118</v>
      </c>
      <c r="DF45" s="47" t="s">
        <v>115</v>
      </c>
      <c r="DG45" s="47" t="s">
        <v>423</v>
      </c>
      <c r="DH45" s="47" t="s">
        <v>424</v>
      </c>
      <c r="DI45" s="47"/>
      <c r="DJ45" s="61"/>
      <c r="FE45" s="561" t="str">
        <f>VLOOKUP(986,Sprachindex!$A:$Z,Info!$O$7,FALSE)</f>
        <v>Vogelschutzgitter (Braun/Anthrazit; 125 × 2.000 × 0,7 mm)</v>
      </c>
      <c r="FF45" s="562"/>
      <c r="FG45" s="562"/>
      <c r="FH45" s="562"/>
      <c r="FI45" s="562"/>
      <c r="FJ45" s="260">
        <v>4.01</v>
      </c>
      <c r="FK45" s="237"/>
      <c r="FL45" s="243"/>
      <c r="FM45" s="242"/>
      <c r="FN45" s="237"/>
      <c r="FO45" s="246"/>
      <c r="FP45" s="247"/>
      <c r="FQ45" s="111"/>
      <c r="FR45" s="243"/>
      <c r="FS45" s="256"/>
      <c r="FT45" s="271">
        <f>FJ45</f>
        <v>4.01</v>
      </c>
      <c r="FX45" s="293"/>
      <c r="FY45" s="276"/>
      <c r="FZ45" s="277"/>
      <c r="GA45" s="277"/>
      <c r="GB45" s="277"/>
      <c r="GC45" s="278"/>
      <c r="GD45" s="276"/>
      <c r="GE45" s="277"/>
      <c r="GF45" s="277"/>
      <c r="GG45" s="277"/>
      <c r="GH45" s="278"/>
      <c r="GI45" s="276"/>
      <c r="GJ45" s="277"/>
      <c r="GK45" s="277"/>
      <c r="GL45" s="277"/>
      <c r="GM45" s="278"/>
      <c r="GN45" s="276"/>
      <c r="GO45" s="277"/>
      <c r="GP45" s="277"/>
      <c r="GQ45" s="277"/>
      <c r="GR45" s="278"/>
    </row>
    <row r="46" spans="1:200" ht="32.1" customHeight="1">
      <c r="A46" s="109"/>
      <c r="B46" s="79" t="str">
        <f>VLOOKUP(878,Sprachindex!$A:$Z,Info!$O$7,FALSE)</f>
        <v>Stk.</v>
      </c>
      <c r="C46" s="78"/>
      <c r="D46" s="78">
        <f>AG46</f>
        <v>0</v>
      </c>
      <c r="E46" s="561" t="str">
        <f>VLOOKUP(921,Sprachindex!$A:$Z,Info!$O$7,FALSE)</f>
        <v>Überbügel</v>
      </c>
      <c r="F46" s="562"/>
      <c r="G46" s="562"/>
      <c r="H46" s="562"/>
      <c r="I46" s="562"/>
      <c r="J46" s="627" t="str">
        <f>VLOOKUP(2233,Sprachindex!$A:$Z,Info!$O$7,FALSE)</f>
        <v>4 × 25 × 427 mm</v>
      </c>
      <c r="K46" s="628"/>
      <c r="L46" s="79" t="str">
        <f t="shared" si="1"/>
        <v xml:space="preserve"> </v>
      </c>
      <c r="M46" s="440" t="str">
        <f t="shared" si="2"/>
        <v>Stk.</v>
      </c>
      <c r="N46" s="80"/>
      <c r="O46" s="202" t="str">
        <f t="shared" si="4"/>
        <v xml:space="preserve"> </v>
      </c>
      <c r="R46" s="289"/>
      <c r="S46" s="195"/>
      <c r="T46" s="71"/>
      <c r="U46" s="149">
        <f>ROUNDUP($A46/W46,0)*W46</f>
        <v>0</v>
      </c>
      <c r="V46" s="149">
        <f>ROUNDUP($A46/X46,0)*X46</f>
        <v>0</v>
      </c>
      <c r="W46" s="149">
        <v>10</v>
      </c>
      <c r="X46" s="149">
        <v>1</v>
      </c>
      <c r="Y46" t="s">
        <v>792</v>
      </c>
      <c r="Z46" t="s">
        <v>793</v>
      </c>
      <c r="AA46" t="s">
        <v>794</v>
      </c>
      <c r="AB46" t="s">
        <v>795</v>
      </c>
      <c r="AC46" t="s">
        <v>796</v>
      </c>
      <c r="AD46" t="s">
        <v>797</v>
      </c>
      <c r="AE46" t="s">
        <v>798</v>
      </c>
      <c r="AF46">
        <v>537049</v>
      </c>
      <c r="AG46" s="61">
        <f t="shared" ref="AG46:AG59" si="7">IF($O$16=1,Y46,IF($O$16=2,Z46,IF($O$16=3,AA46,IF($O$16=4,AB46,IF($O$16=5,AC46,IF($O$16=6,AD46,IF($O$16=8,AE46,IF($O$16=10,AF46,0))))))))</f>
        <v>0</v>
      </c>
      <c r="AH46" s="61"/>
      <c r="FE46" s="561" t="str">
        <f>VLOOKUP(921,Sprachindex!$A:$Z,Info!$O$7,FALSE)</f>
        <v>Überbügel</v>
      </c>
      <c r="FF46" s="562"/>
      <c r="FG46" s="562"/>
      <c r="FH46" s="562"/>
      <c r="FI46" s="562"/>
      <c r="FJ46" s="260">
        <v>6.85</v>
      </c>
      <c r="FK46" s="237"/>
      <c r="FL46" s="243"/>
      <c r="FM46" s="242"/>
      <c r="FN46" s="237"/>
      <c r="FO46" s="246"/>
      <c r="FP46" s="247"/>
      <c r="FQ46" s="111"/>
      <c r="FR46" s="243"/>
      <c r="FS46" s="256"/>
      <c r="FT46" s="271">
        <f>FJ46</f>
        <v>6.85</v>
      </c>
      <c r="FX46" s="293"/>
      <c r="FY46" s="276"/>
      <c r="FZ46" s="277"/>
      <c r="GA46" s="277"/>
      <c r="GB46" s="277"/>
      <c r="GC46" s="278"/>
      <c r="GD46" s="276"/>
      <c r="GE46" s="277"/>
      <c r="GF46" s="277"/>
      <c r="GG46" s="277"/>
      <c r="GH46" s="278"/>
      <c r="GI46" s="276"/>
      <c r="GJ46" s="277"/>
      <c r="GK46" s="277"/>
      <c r="GL46" s="277"/>
      <c r="GM46" s="278"/>
      <c r="GN46" s="276"/>
      <c r="GO46" s="277"/>
      <c r="GP46" s="277"/>
      <c r="GQ46" s="277"/>
      <c r="GR46" s="278"/>
    </row>
    <row r="47" spans="1:200" ht="32.1" customHeight="1">
      <c r="A47" s="443"/>
      <c r="B47" s="79" t="str">
        <f>VLOOKUP(1512,Sprachindex!$A:$Z,Info!$O$7,FALSE)</f>
        <v>lfm</v>
      </c>
      <c r="C47" s="78"/>
      <c r="D47" s="78" t="str">
        <f>IF($O$17=1,AG47,IF($O$17=2,"",IF($O$17=3,AQ47,IF($O$17=4,BA47,""))))</f>
        <v/>
      </c>
      <c r="E47" s="561" t="str">
        <f>VLOOKUP(2230,Sprachindex!$A:$Z,Info!$O$7,FALSE)</f>
        <v>Kastenrinne 3 m</v>
      </c>
      <c r="F47" s="562"/>
      <c r="G47" s="562"/>
      <c r="H47" s="562"/>
      <c r="I47" s="629"/>
      <c r="J47" s="627" t="str">
        <f>IF($O$17="","",Formeln_RI_P.10!B199)</f>
        <v>Dimension nicht möglich</v>
      </c>
      <c r="K47" s="628"/>
      <c r="L47" s="79" t="str">
        <f t="shared" si="1"/>
        <v xml:space="preserve"> </v>
      </c>
      <c r="M47" s="440" t="str">
        <f t="shared" si="2"/>
        <v>lfm</v>
      </c>
      <c r="N47" s="80"/>
      <c r="O47" s="202" t="str">
        <f t="shared" ref="O47:O54" si="8">IF(ISNUMBER(L47),FT47*L47," ")</f>
        <v xml:space="preserve"> </v>
      </c>
      <c r="R47" s="289"/>
      <c r="S47" s="195"/>
      <c r="T47" s="71"/>
      <c r="U47" s="149" t="e">
        <f>ROUNDUP($A47/$W47,0)*$W47</f>
        <v>#VALUE!</v>
      </c>
      <c r="V47" s="149">
        <f>ROUNDUP($A47/$X47,0)*$X47</f>
        <v>0</v>
      </c>
      <c r="W47" s="149" t="str">
        <f>IF($O$17=1,IF(Info!V7=1,6,36),IF($O$17=2,"",IF($O$17=3,IF(Info!V7=1,6,18),IF($O$17=4,IF(Info!V7=1,6,12),""))))</f>
        <v/>
      </c>
      <c r="X47" s="149">
        <v>3</v>
      </c>
      <c r="Y47" t="s">
        <v>799</v>
      </c>
      <c r="Z47" t="s">
        <v>800</v>
      </c>
      <c r="AA47" t="s">
        <v>801</v>
      </c>
      <c r="AB47" t="s">
        <v>802</v>
      </c>
      <c r="AC47" t="s">
        <v>803</v>
      </c>
      <c r="AD47" t="s">
        <v>804</v>
      </c>
      <c r="AE47" t="s">
        <v>805</v>
      </c>
      <c r="AF47"/>
      <c r="AG47" s="61">
        <f t="shared" si="7"/>
        <v>0</v>
      </c>
      <c r="AH47" s="61" t="s">
        <v>432</v>
      </c>
      <c r="AI47" t="s">
        <v>806</v>
      </c>
      <c r="AJ47" t="s">
        <v>807</v>
      </c>
      <c r="AK47" t="s">
        <v>808</v>
      </c>
      <c r="AL47" t="s">
        <v>809</v>
      </c>
      <c r="AM47" t="s">
        <v>810</v>
      </c>
      <c r="AN47" t="s">
        <v>811</v>
      </c>
      <c r="AO47" t="s">
        <v>812</v>
      </c>
      <c r="AP47">
        <v>573241</v>
      </c>
      <c r="AQ47" s="61">
        <f>IF($O$16=1,AI47,IF($O$16=2,AJ47,IF($O$16=3,AK47,IF($O$16=4,AL47,IF($O$16=5,AM47,IF($O$16=6,AN47,IF($O$16=8,AO47,IF($O$16=10,AP47,0))))))))</f>
        <v>0</v>
      </c>
      <c r="AR47" s="61" t="s">
        <v>447</v>
      </c>
      <c r="AS47" t="s">
        <v>813</v>
      </c>
      <c r="AT47" t="s">
        <v>814</v>
      </c>
      <c r="AU47" t="s">
        <v>815</v>
      </c>
      <c r="AV47" t="s">
        <v>816</v>
      </c>
      <c r="AW47" t="s">
        <v>817</v>
      </c>
      <c r="AX47" t="s">
        <v>818</v>
      </c>
      <c r="AY47" t="s">
        <v>819</v>
      </c>
      <c r="AZ47"/>
      <c r="BA47" s="61">
        <f>IF($O$16=1,AS47,IF($O$16=2,AT47,IF($O$16=3,AU47,IF($O$16=4,AV47,IF($O$16=5,AW47,IF($O$16=6,AX47,IF($O$16=8,AY47,IF($O$16=10,AZ47,0))))))))</f>
        <v>0</v>
      </c>
      <c r="BB47" s="61" t="s">
        <v>455</v>
      </c>
      <c r="CG47"/>
      <c r="CH47"/>
      <c r="CI47"/>
      <c r="CJ47"/>
      <c r="CK47"/>
      <c r="CL47"/>
      <c r="CM47"/>
      <c r="CN47"/>
      <c r="CO47"/>
      <c r="CP47"/>
      <c r="CQ47"/>
      <c r="CR47"/>
      <c r="CS47"/>
      <c r="CT47"/>
      <c r="CU47"/>
      <c r="CV47"/>
      <c r="CW47"/>
      <c r="CX47"/>
      <c r="CY47"/>
      <c r="CZ47"/>
      <c r="FE47" s="561" t="str">
        <f>VLOOKUP(2230,Sprachindex!$A:$Z,Info!$O$7,FALSE)</f>
        <v>Kastenrinne 3 m</v>
      </c>
      <c r="FF47" s="562"/>
      <c r="FG47" s="562"/>
      <c r="FH47" s="562"/>
      <c r="FI47" s="629"/>
      <c r="FJ47" s="242"/>
      <c r="FK47" s="233">
        <v>16.71</v>
      </c>
      <c r="FL47" s="243"/>
      <c r="FM47" s="242"/>
      <c r="FN47" s="237"/>
      <c r="FO47" s="246"/>
      <c r="FP47" s="247"/>
      <c r="FQ47" s="238">
        <v>17.190000000000001</v>
      </c>
      <c r="FR47" s="243"/>
      <c r="FS47" s="257">
        <v>23.75</v>
      </c>
      <c r="FT47" s="271" t="str">
        <f>IF($O$17=1,FK47,IF($O$17=3,FQ47,IF($O$17=4,FS47," ")))</f>
        <v xml:space="preserve"> </v>
      </c>
      <c r="FX47" s="293"/>
      <c r="FY47" s="276"/>
      <c r="FZ47" s="277"/>
      <c r="GA47" s="277"/>
      <c r="GB47" s="277"/>
      <c r="GC47" s="278"/>
      <c r="GD47" s="276"/>
      <c r="GE47" s="277"/>
      <c r="GF47" s="277"/>
      <c r="GG47" s="277"/>
      <c r="GH47" s="278"/>
      <c r="GI47" s="276"/>
      <c r="GJ47" s="277"/>
      <c r="GK47" s="277"/>
      <c r="GL47" s="277"/>
      <c r="GM47" s="278"/>
      <c r="GN47" s="276"/>
      <c r="GO47" s="277"/>
      <c r="GP47" s="277"/>
      <c r="GQ47" s="277"/>
      <c r="GR47" s="278"/>
    </row>
    <row r="48" spans="1:200" ht="32.1" customHeight="1">
      <c r="A48" s="443"/>
      <c r="B48" s="79" t="s">
        <v>456</v>
      </c>
      <c r="C48" s="78"/>
      <c r="D48" s="78" t="str">
        <f>IF($O$17=1,AG48,IF($O$17=2,"",IF($O$17=3,AQ48,IF($O$17=4,BA48,""))))</f>
        <v/>
      </c>
      <c r="E48" s="561" t="str">
        <f>IF(Info!O7=2,VLOOKUP(2231,Sprachindex!$A:$Z,Info!$O$7,FALSE),VLOOKUP(2232,Sprachindex!$A:$Z,Info!$O$7,FALSE))</f>
        <v>Kastenrinne 6 m</v>
      </c>
      <c r="F48" s="562"/>
      <c r="G48" s="562"/>
      <c r="H48" s="562"/>
      <c r="I48" s="629"/>
      <c r="J48" s="627" t="str">
        <f>IF($O$17="","",Formeln_RI_P.10!B198)</f>
        <v>Dimension nicht möglich</v>
      </c>
      <c r="K48" s="628"/>
      <c r="L48" s="79" t="str">
        <f t="shared" si="1"/>
        <v xml:space="preserve"> </v>
      </c>
      <c r="M48" s="440" t="str">
        <f t="shared" si="2"/>
        <v>lfm</v>
      </c>
      <c r="N48" s="80"/>
      <c r="O48" s="202" t="str">
        <f t="shared" si="8"/>
        <v xml:space="preserve"> </v>
      </c>
      <c r="R48" s="289"/>
      <c r="S48" s="195"/>
      <c r="T48" s="71"/>
      <c r="U48" s="149" t="e">
        <f>ROUNDUP($A48/$W48,0)*$W48</f>
        <v>#VALUE!</v>
      </c>
      <c r="V48" s="149">
        <f>ROUNDUP($A48/$X48,0)*$X48</f>
        <v>0</v>
      </c>
      <c r="W48" s="149" t="str">
        <f>IF($O$17=1,IF(Info!V7=1,10,12),IF($O$17=2,"",IF($O$17=3,IF(Info!V7=1,10,12),IF($O$17=4,IF(Info!V7=1,10,12),""))))</f>
        <v/>
      </c>
      <c r="X48" s="149">
        <f>IF(Info!V7=2,5,6)</f>
        <v>6</v>
      </c>
      <c r="Y48" t="s">
        <v>820</v>
      </c>
      <c r="Z48" t="s">
        <v>821</v>
      </c>
      <c r="AA48" t="s">
        <v>822</v>
      </c>
      <c r="AB48" t="s">
        <v>823</v>
      </c>
      <c r="AC48" t="s">
        <v>824</v>
      </c>
      <c r="AD48" t="s">
        <v>825</v>
      </c>
      <c r="AE48" t="s">
        <v>826</v>
      </c>
      <c r="AF48"/>
      <c r="AG48" s="61">
        <f t="shared" si="7"/>
        <v>0</v>
      </c>
      <c r="AH48" s="61" t="s">
        <v>464</v>
      </c>
      <c r="AI48" t="s">
        <v>827</v>
      </c>
      <c r="AJ48" t="s">
        <v>828</v>
      </c>
      <c r="AK48" t="s">
        <v>829</v>
      </c>
      <c r="AL48" t="s">
        <v>830</v>
      </c>
      <c r="AM48" t="s">
        <v>831</v>
      </c>
      <c r="AN48" t="s">
        <v>832</v>
      </c>
      <c r="AO48" t="s">
        <v>833</v>
      </c>
      <c r="AP48">
        <v>573041</v>
      </c>
      <c r="AQ48" s="61">
        <f t="shared" ref="AQ48:AQ54" si="9">IF($O$16=1,AI48,IF($O$16=2,AJ48,IF($O$16=3,AK48,IF($O$16=4,AL48,IF($O$16=5,AM48,IF($O$16=6,AN48,IF($O$16=8,AO48,IF($O$16=10,AP48,0))))))))</f>
        <v>0</v>
      </c>
      <c r="AR48" s="61" t="s">
        <v>480</v>
      </c>
      <c r="AS48" t="s">
        <v>834</v>
      </c>
      <c r="AT48" t="s">
        <v>835</v>
      </c>
      <c r="AU48" s="129">
        <v>211084</v>
      </c>
      <c r="AV48" t="s">
        <v>836</v>
      </c>
      <c r="AW48" t="s">
        <v>837</v>
      </c>
      <c r="AX48" t="s">
        <v>838</v>
      </c>
      <c r="AY48" t="s">
        <v>839</v>
      </c>
      <c r="AZ48"/>
      <c r="BA48" s="61">
        <f>IF($O$16=1,AS48,IF($O$16=2,AT48,IF($O$16=3,AU48,IF($O$16=4,AV48,IF($O$16=5,AW48,IF($O$16=6,AX48,IF($O$16=8,AY48,IF($O$16=10,AZ48,0))))))))</f>
        <v>0</v>
      </c>
      <c r="BB48" s="61" t="s">
        <v>488</v>
      </c>
      <c r="BC48"/>
      <c r="BD48"/>
      <c r="BE48"/>
      <c r="BF48"/>
      <c r="BG48"/>
      <c r="BH48"/>
      <c r="BI48"/>
      <c r="BJ48"/>
      <c r="BK48" s="139"/>
      <c r="BL48" s="139"/>
      <c r="BM48"/>
      <c r="BN48"/>
      <c r="BO48"/>
      <c r="BP48"/>
      <c r="BQ48"/>
      <c r="BR48"/>
      <c r="BS48"/>
      <c r="BT48"/>
      <c r="BU48" s="139"/>
      <c r="BV48" s="139"/>
      <c r="BW48"/>
      <c r="BX48"/>
      <c r="BY48"/>
      <c r="BZ48"/>
      <c r="CA48"/>
      <c r="CB48"/>
      <c r="CC48"/>
      <c r="CD48"/>
      <c r="CE48" s="139"/>
      <c r="CF48" s="139"/>
      <c r="CG48"/>
      <c r="CH48"/>
      <c r="CI48"/>
      <c r="CJ48"/>
      <c r="CK48"/>
      <c r="CL48"/>
      <c r="CM48"/>
      <c r="CN48"/>
      <c r="CO48"/>
      <c r="CP48"/>
      <c r="CQ48"/>
      <c r="CR48"/>
      <c r="CS48"/>
      <c r="CT48"/>
      <c r="CU48"/>
      <c r="CV48"/>
      <c r="CW48"/>
      <c r="CX48"/>
      <c r="CY48"/>
      <c r="CZ48"/>
      <c r="FE48" s="561" t="str">
        <f>IF(Info!EB7=1,VLOOKUP(2231,Sprachindex!$A:$Z,Info!$O$7,FALSE),VLOOKUP(2232,Sprachindex!$A:$Z,Info!$O$7,FALSE))</f>
        <v>Kastenrinne 6 m</v>
      </c>
      <c r="FF48" s="562"/>
      <c r="FG48" s="562"/>
      <c r="FH48" s="562"/>
      <c r="FI48" s="629"/>
      <c r="FJ48" s="242"/>
      <c r="FK48" s="233">
        <v>16.71</v>
      </c>
      <c r="FL48" s="243"/>
      <c r="FM48" s="242"/>
      <c r="FN48" s="237"/>
      <c r="FO48" s="246"/>
      <c r="FP48" s="247"/>
      <c r="FQ48" s="238">
        <v>17.190000000000001</v>
      </c>
      <c r="FR48" s="243"/>
      <c r="FS48" s="257">
        <v>23.75</v>
      </c>
      <c r="FT48" s="271" t="str">
        <f>IF($O$17=1,FK48,IF($O$17=3,FQ48,IF($O$17=4,FS48," ")))</f>
        <v xml:space="preserve"> </v>
      </c>
      <c r="FY48" s="276"/>
      <c r="FZ48" s="277"/>
      <c r="GA48" s="277"/>
      <c r="GB48" s="277"/>
      <c r="GC48" s="278"/>
      <c r="GD48" s="276"/>
      <c r="GE48" s="277"/>
      <c r="GF48" s="277"/>
      <c r="GG48" s="277"/>
      <c r="GH48" s="278"/>
      <c r="GI48" s="276"/>
      <c r="GJ48" s="277"/>
      <c r="GK48" s="277"/>
      <c r="GL48" s="277"/>
      <c r="GM48" s="278"/>
      <c r="GN48" s="276"/>
      <c r="GO48" s="277"/>
      <c r="GP48" s="277"/>
      <c r="GQ48" s="277"/>
      <c r="GR48" s="278"/>
    </row>
    <row r="49" spans="1:200" ht="32.1" customHeight="1">
      <c r="A49" s="109"/>
      <c r="B49" s="79" t="str">
        <f>VLOOKUP(878,Sprachindex!$A:$Z,Info!$O$7,FALSE)</f>
        <v>Stk.</v>
      </c>
      <c r="C49" s="78"/>
      <c r="D49" s="78">
        <f>IF(O17=1,AG49,IF(O17=3,AQ49,IF(O17=4,BA49,0)))</f>
        <v>0</v>
      </c>
      <c r="E49" s="561" t="str">
        <f>VLOOKUP(713,Sprachindex!$A:$Z,Info!$O$7,FALSE)</f>
        <v>Rinnenhaken für Kastenrinne</v>
      </c>
      <c r="F49" s="562"/>
      <c r="G49" s="562"/>
      <c r="H49" s="562"/>
      <c r="I49" s="629"/>
      <c r="J49" s="627" t="str">
        <f>Formeln_RI_P.10!A202</f>
        <v/>
      </c>
      <c r="K49" s="628"/>
      <c r="L49" s="79" t="str">
        <f t="shared" si="1"/>
        <v xml:space="preserve"> </v>
      </c>
      <c r="M49" s="440" t="str">
        <f t="shared" si="2"/>
        <v>Stk.</v>
      </c>
      <c r="N49" s="80"/>
      <c r="O49" s="202" t="str">
        <f t="shared" si="8"/>
        <v xml:space="preserve"> </v>
      </c>
      <c r="R49" s="289"/>
      <c r="S49" s="195"/>
      <c r="T49" s="71"/>
      <c r="U49" s="149" t="e">
        <f t="shared" ref="U49:V54" si="10">ROUNDUP($A49/W49,0)*W49</f>
        <v>#VALUE!</v>
      </c>
      <c r="V49" s="149" t="e">
        <f t="shared" si="10"/>
        <v>#VALUE!</v>
      </c>
      <c r="W49" s="149" t="str">
        <f>IF($O$17=1,35,IF($O$17=3,24,IF($O$17=4,18,"")))</f>
        <v/>
      </c>
      <c r="X49" s="149" t="str">
        <f>IF(OR($O$17=1,$O$17=3,$O$17=4),1,"")</f>
        <v/>
      </c>
      <c r="Y49" t="s">
        <v>840</v>
      </c>
      <c r="Z49" t="s">
        <v>841</v>
      </c>
      <c r="AA49" t="s">
        <v>842</v>
      </c>
      <c r="AB49" t="s">
        <v>843</v>
      </c>
      <c r="AC49" t="s">
        <v>844</v>
      </c>
      <c r="AD49" t="s">
        <v>845</v>
      </c>
      <c r="AE49" t="s">
        <v>846</v>
      </c>
      <c r="AF49"/>
      <c r="AG49" s="61">
        <f t="shared" si="7"/>
        <v>0</v>
      </c>
      <c r="AH49" s="61" t="s">
        <v>847</v>
      </c>
      <c r="AI49" t="s">
        <v>848</v>
      </c>
      <c r="AJ49" t="s">
        <v>849</v>
      </c>
      <c r="AK49" t="s">
        <v>850</v>
      </c>
      <c r="AL49" t="s">
        <v>851</v>
      </c>
      <c r="AM49" t="s">
        <v>852</v>
      </c>
      <c r="AN49" t="s">
        <v>853</v>
      </c>
      <c r="AO49" t="s">
        <v>854</v>
      </c>
      <c r="AP49">
        <v>525021</v>
      </c>
      <c r="AQ49" s="61">
        <f t="shared" si="9"/>
        <v>0</v>
      </c>
      <c r="AR49" s="61" t="s">
        <v>577</v>
      </c>
      <c r="AS49" t="s">
        <v>855</v>
      </c>
      <c r="AT49" t="s">
        <v>856</v>
      </c>
      <c r="AU49" t="s">
        <v>857</v>
      </c>
      <c r="AV49" t="s">
        <v>858</v>
      </c>
      <c r="AW49" t="s">
        <v>859</v>
      </c>
      <c r="AX49" t="s">
        <v>860</v>
      </c>
      <c r="AY49" t="s">
        <v>861</v>
      </c>
      <c r="AZ49"/>
      <c r="BA49" s="61">
        <f>IF($O$16=1,AS49,IF($O$16=2,AT49,IF($O$16=3,AU49,IF($O$16=4,AV49,IF($O$16=5,AW49,IF($O$16=6,AX49,IF($O$16=8,AY49,IF($O$16=10,AZ49,0))))))))</f>
        <v>0</v>
      </c>
      <c r="BB49" s="61" t="s">
        <v>862</v>
      </c>
      <c r="BC49"/>
      <c r="BD49"/>
      <c r="BE49"/>
      <c r="BF49"/>
      <c r="BG49"/>
      <c r="BH49"/>
      <c r="BI49"/>
      <c r="BJ49"/>
      <c r="BK49"/>
      <c r="BL49"/>
      <c r="FE49" s="561" t="str">
        <f>VLOOKUP(713,Sprachindex!$A:$Z,Info!$O$7,FALSE)</f>
        <v>Rinnenhaken für Kastenrinne</v>
      </c>
      <c r="FF49" s="562"/>
      <c r="FG49" s="562"/>
      <c r="FH49" s="562"/>
      <c r="FI49" s="629"/>
      <c r="FJ49" s="242"/>
      <c r="FK49" s="233">
        <v>8.85</v>
      </c>
      <c r="FL49" s="243"/>
      <c r="FM49" s="242"/>
      <c r="FN49" s="237"/>
      <c r="FO49" s="246"/>
      <c r="FP49" s="247"/>
      <c r="FQ49" s="238">
        <v>9.65</v>
      </c>
      <c r="FR49" s="243"/>
      <c r="FS49" s="257">
        <v>12.11</v>
      </c>
      <c r="FT49" s="271" t="str">
        <f>IF($O$17=1,FK49,IF($O$17=3,FQ49,IF($O$17=4,FS49," ")))</f>
        <v xml:space="preserve"> </v>
      </c>
      <c r="FY49" s="276"/>
      <c r="FZ49" s="277"/>
      <c r="GA49" s="277"/>
      <c r="GB49" s="277"/>
      <c r="GC49" s="278"/>
      <c r="GD49" s="276"/>
      <c r="GE49" s="277"/>
      <c r="GF49" s="277"/>
      <c r="GG49" s="277"/>
      <c r="GH49" s="278"/>
      <c r="GI49" s="276"/>
      <c r="GJ49" s="277"/>
      <c r="GK49" s="277"/>
      <c r="GL49" s="277"/>
      <c r="GM49" s="278"/>
      <c r="GN49" s="276"/>
      <c r="GO49" s="277"/>
      <c r="GP49" s="277"/>
      <c r="GQ49" s="277"/>
      <c r="GR49" s="278"/>
    </row>
    <row r="50" spans="1:200" ht="32.1" customHeight="1">
      <c r="A50" s="109"/>
      <c r="B50" s="79" t="str">
        <f>VLOOKUP(878,Sprachindex!$A:$Z,Info!$O$7,FALSE)</f>
        <v>Stk.</v>
      </c>
      <c r="C50" s="78"/>
      <c r="D50" s="78">
        <f>IF(O17=1,AG50,IF(O17=3,AQ50,0))</f>
        <v>0</v>
      </c>
      <c r="E50" s="561" t="str">
        <f>VLOOKUP(877,Sprachindex!$A:$Z,Info!$O$7,FALSE)</f>
        <v>Stirnbretthaken für Kastenrinnen</v>
      </c>
      <c r="F50" s="562"/>
      <c r="G50" s="562"/>
      <c r="H50" s="562"/>
      <c r="I50" s="562"/>
      <c r="J50" s="627" t="str">
        <f>Formeln_RI_P.10!A210</f>
        <v/>
      </c>
      <c r="K50" s="628"/>
      <c r="L50" s="79" t="str">
        <f t="shared" si="1"/>
        <v xml:space="preserve"> </v>
      </c>
      <c r="M50" s="440" t="str">
        <f t="shared" si="2"/>
        <v>Stk.</v>
      </c>
      <c r="N50" s="80"/>
      <c r="O50" s="202" t="str">
        <f t="shared" si="8"/>
        <v xml:space="preserve"> </v>
      </c>
      <c r="R50" s="289"/>
      <c r="S50" s="195"/>
      <c r="T50" s="71"/>
      <c r="U50" s="149" t="e">
        <f t="shared" si="10"/>
        <v>#VALUE!</v>
      </c>
      <c r="V50" s="149" t="e">
        <f t="shared" si="10"/>
        <v>#VALUE!</v>
      </c>
      <c r="W50" s="149" t="str">
        <f>IF(OR($O$17=1,$O$17=3),10,"")</f>
        <v/>
      </c>
      <c r="X50" s="149" t="str">
        <f>IF(OR($O$17=1,$O$17=3),1,"")</f>
        <v/>
      </c>
      <c r="Y50" t="s">
        <v>863</v>
      </c>
      <c r="Z50" t="s">
        <v>864</v>
      </c>
      <c r="AA50" t="s">
        <v>865</v>
      </c>
      <c r="AB50" t="s">
        <v>866</v>
      </c>
      <c r="AC50" t="s">
        <v>867</v>
      </c>
      <c r="AD50" t="s">
        <v>868</v>
      </c>
      <c r="AE50" t="s">
        <v>869</v>
      </c>
      <c r="AF50"/>
      <c r="AG50" s="61">
        <f t="shared" si="7"/>
        <v>0</v>
      </c>
      <c r="AH50" s="61" t="s">
        <v>562</v>
      </c>
      <c r="AI50" t="s">
        <v>870</v>
      </c>
      <c r="AJ50" t="s">
        <v>871</v>
      </c>
      <c r="AK50" t="s">
        <v>872</v>
      </c>
      <c r="AL50" t="s">
        <v>873</v>
      </c>
      <c r="AM50" t="s">
        <v>874</v>
      </c>
      <c r="AN50" t="s">
        <v>875</v>
      </c>
      <c r="AO50" t="s">
        <v>876</v>
      </c>
      <c r="AP50">
        <v>525221</v>
      </c>
      <c r="AQ50" s="61">
        <f t="shared" si="9"/>
        <v>0</v>
      </c>
      <c r="AR50" s="61" t="s">
        <v>577</v>
      </c>
      <c r="FE50" s="561" t="str">
        <f>VLOOKUP(877,Sprachindex!$A:$Z,Info!$O$7,FALSE)</f>
        <v>Stirnbretthaken für Kastenrinnen</v>
      </c>
      <c r="FF50" s="562"/>
      <c r="FG50" s="562"/>
      <c r="FH50" s="562"/>
      <c r="FI50" s="562"/>
      <c r="FJ50" s="242"/>
      <c r="FK50" s="233">
        <v>8.7200000000000006</v>
      </c>
      <c r="FL50" s="243"/>
      <c r="FM50" s="242"/>
      <c r="FN50" s="237"/>
      <c r="FO50" s="246"/>
      <c r="FP50" s="247"/>
      <c r="FQ50" s="238">
        <v>9.6</v>
      </c>
      <c r="FR50" s="243"/>
      <c r="FS50" s="256"/>
      <c r="FT50" s="271" t="str">
        <f>IF($O$17=1,FK50,IF($O$17=3,FQ50," "))</f>
        <v xml:space="preserve"> </v>
      </c>
      <c r="FY50" s="276"/>
      <c r="FZ50" s="277"/>
      <c r="GA50" s="277"/>
      <c r="GB50" s="277"/>
      <c r="GC50" s="278"/>
      <c r="GD50" s="276"/>
      <c r="GE50" s="277"/>
      <c r="GF50" s="277"/>
      <c r="GG50" s="277"/>
      <c r="GH50" s="278"/>
      <c r="GI50" s="276"/>
      <c r="GJ50" s="277"/>
      <c r="GK50" s="277"/>
      <c r="GL50" s="277"/>
      <c r="GM50" s="278"/>
      <c r="GN50" s="276"/>
      <c r="GO50" s="277"/>
      <c r="GP50" s="277"/>
      <c r="GQ50" s="277"/>
      <c r="GR50" s="278"/>
    </row>
    <row r="51" spans="1:200" ht="32.1" customHeight="1">
      <c r="A51" s="109"/>
      <c r="B51" s="79" t="str">
        <f>VLOOKUP(878,Sprachindex!$A:$Z,Info!$O$7,FALSE)</f>
        <v>Stk.</v>
      </c>
      <c r="C51" s="78"/>
      <c r="D51" s="78">
        <f>IF(O17=1,AG51,IF(O17=3,AQ51,IF(O17=4,BA51,0)))</f>
        <v>0</v>
      </c>
      <c r="E51" s="561" t="str">
        <f>VLOOKUP(519,Sprachindex!$A:$Z,Info!$O$7,FALSE)</f>
        <v>Kastenrinnenendboden</v>
      </c>
      <c r="F51" s="562"/>
      <c r="G51" s="562"/>
      <c r="H51" s="562"/>
      <c r="I51" s="562"/>
      <c r="J51" s="627" t="str">
        <f>Formeln_RI_P.10!A214</f>
        <v/>
      </c>
      <c r="K51" s="628"/>
      <c r="L51" s="79" t="str">
        <f t="shared" si="1"/>
        <v xml:space="preserve"> </v>
      </c>
      <c r="M51" s="440" t="str">
        <f t="shared" si="2"/>
        <v>Stk.</v>
      </c>
      <c r="N51" s="80"/>
      <c r="O51" s="202" t="str">
        <f t="shared" si="8"/>
        <v xml:space="preserve"> </v>
      </c>
      <c r="R51" s="289"/>
      <c r="S51" s="195"/>
      <c r="T51" s="71"/>
      <c r="U51" s="149" t="e">
        <f t="shared" si="10"/>
        <v>#VALUE!</v>
      </c>
      <c r="V51" s="149" t="e">
        <f t="shared" si="10"/>
        <v>#VALUE!</v>
      </c>
      <c r="W51" s="149" t="str">
        <f>IF(OR($O$17=1,$O$17=3,$O$17=4),50,"")</f>
        <v/>
      </c>
      <c r="X51" s="149" t="str">
        <f>IF(OR($O$17=1,$O$17=3,$O$17=4),1,"")</f>
        <v/>
      </c>
      <c r="Y51" t="s">
        <v>877</v>
      </c>
      <c r="Z51" t="s">
        <v>878</v>
      </c>
      <c r="AA51" t="s">
        <v>879</v>
      </c>
      <c r="AB51" t="s">
        <v>880</v>
      </c>
      <c r="AC51" t="s">
        <v>881</v>
      </c>
      <c r="AD51" t="s">
        <v>882</v>
      </c>
      <c r="AE51" t="s">
        <v>883</v>
      </c>
      <c r="AF51"/>
      <c r="AG51" s="61">
        <f t="shared" si="7"/>
        <v>0</v>
      </c>
      <c r="AH51" s="61" t="s">
        <v>619</v>
      </c>
      <c r="AI51" t="s">
        <v>884</v>
      </c>
      <c r="AJ51" t="s">
        <v>885</v>
      </c>
      <c r="AK51" t="s">
        <v>886</v>
      </c>
      <c r="AL51" t="s">
        <v>887</v>
      </c>
      <c r="AM51" t="s">
        <v>888</v>
      </c>
      <c r="AN51">
        <v>200126</v>
      </c>
      <c r="AO51" t="s">
        <v>889</v>
      </c>
      <c r="AP51">
        <v>540022</v>
      </c>
      <c r="AQ51" s="61">
        <f t="shared" si="9"/>
        <v>0</v>
      </c>
      <c r="AR51" s="61" t="s">
        <v>634</v>
      </c>
      <c r="AS51" t="s">
        <v>890</v>
      </c>
      <c r="AT51" t="s">
        <v>891</v>
      </c>
      <c r="AU51" t="s">
        <v>892</v>
      </c>
      <c r="AV51" t="s">
        <v>893</v>
      </c>
      <c r="AW51" t="s">
        <v>894</v>
      </c>
      <c r="AX51" t="s">
        <v>895</v>
      </c>
      <c r="AY51" t="s">
        <v>896</v>
      </c>
      <c r="AZ51"/>
      <c r="BA51" s="61">
        <f>IF($O$16=1,AS51,IF($O$16=2,AT51,IF($O$16=3,AU51,IF($O$16=4,AV51,IF($O$16=5,AW51,IF($O$16=6,AX51,IF($O$16=8,AY51,IF($O$16=10,AZ51,0))))))))</f>
        <v>0</v>
      </c>
      <c r="BB51" s="61" t="s">
        <v>642</v>
      </c>
      <c r="FE51" s="561" t="str">
        <f>VLOOKUP(519,Sprachindex!$A:$Z,Info!$O$7,FALSE)</f>
        <v>Kastenrinnenendboden</v>
      </c>
      <c r="FF51" s="562"/>
      <c r="FG51" s="562"/>
      <c r="FH51" s="562"/>
      <c r="FI51" s="562"/>
      <c r="FJ51" s="242"/>
      <c r="FK51" s="233">
        <v>4.84</v>
      </c>
      <c r="FL51" s="243"/>
      <c r="FM51" s="242"/>
      <c r="FN51" s="237"/>
      <c r="FO51" s="246"/>
      <c r="FP51" s="247"/>
      <c r="FQ51" s="238">
        <v>5.05</v>
      </c>
      <c r="FR51" s="243"/>
      <c r="FS51" s="257">
        <v>5.81</v>
      </c>
      <c r="FT51" s="271" t="str">
        <f>IF($O$17=1,FK51,IF($O$17=3,FQ51,IF($O$17=4,FS51," ")))</f>
        <v xml:space="preserve"> </v>
      </c>
      <c r="FY51" s="276"/>
      <c r="FZ51" s="277"/>
      <c r="GA51" s="277"/>
      <c r="GB51" s="277"/>
      <c r="GC51" s="278"/>
      <c r="GD51" s="276"/>
      <c r="GE51" s="277"/>
      <c r="GF51" s="277"/>
      <c r="GG51" s="277"/>
      <c r="GH51" s="278"/>
      <c r="GI51" s="276"/>
      <c r="GJ51" s="277"/>
      <c r="GK51" s="277"/>
      <c r="GL51" s="277"/>
      <c r="GM51" s="278"/>
      <c r="GN51" s="276"/>
      <c r="GO51" s="277"/>
      <c r="GP51" s="277"/>
      <c r="GQ51" s="277"/>
      <c r="GR51" s="278"/>
    </row>
    <row r="52" spans="1:200" ht="32.1" customHeight="1">
      <c r="A52" s="109"/>
      <c r="B52" s="79" t="str">
        <f>VLOOKUP(878,Sprachindex!$A:$Z,Info!$O$7,FALSE)</f>
        <v>Stk.</v>
      </c>
      <c r="C52" s="78"/>
      <c r="D52" s="78">
        <f>IF($O$17=1,AG52,IF($O$17=3,AQ52,IF($O$17=4,BA52,IF($O$17=5,BK52,0))))</f>
        <v>0</v>
      </c>
      <c r="E52" s="561" t="str">
        <f>VLOOKUP(523,Sprachindex!$A:$Z,Info!$O$7,FALSE)</f>
        <v>Kastenrinnenwinkel 90° (außen)</v>
      </c>
      <c r="F52" s="562"/>
      <c r="G52" s="562"/>
      <c r="H52" s="562"/>
      <c r="I52" s="562"/>
      <c r="J52" s="627" t="str">
        <f>Formeln_RI_P.10!A178</f>
        <v/>
      </c>
      <c r="K52" s="628"/>
      <c r="L52" s="79" t="str">
        <f t="shared" si="1"/>
        <v xml:space="preserve"> </v>
      </c>
      <c r="M52" s="440" t="str">
        <f t="shared" si="2"/>
        <v>Stk.</v>
      </c>
      <c r="N52" s="80"/>
      <c r="O52" s="202" t="str">
        <f t="shared" si="8"/>
        <v xml:space="preserve"> </v>
      </c>
      <c r="R52" s="289"/>
      <c r="S52" s="195"/>
      <c r="T52" s="71"/>
      <c r="U52" s="149" t="e">
        <f t="shared" si="10"/>
        <v>#VALUE!</v>
      </c>
      <c r="V52" s="149" t="e">
        <f t="shared" si="10"/>
        <v>#VALUE!</v>
      </c>
      <c r="W52" s="149" t="str">
        <f>IF($O$17=1,4,IF($O$17=3,4,IF($O$17=4,2,"")))</f>
        <v/>
      </c>
      <c r="X52" s="149" t="str">
        <f>IF(OR($O$17=1,$O$17=3,$O$17=4),1,"")</f>
        <v/>
      </c>
      <c r="Y52" t="s">
        <v>897</v>
      </c>
      <c r="Z52" t="s">
        <v>898</v>
      </c>
      <c r="AA52" t="s">
        <v>899</v>
      </c>
      <c r="AB52" t="s">
        <v>900</v>
      </c>
      <c r="AC52" t="s">
        <v>901</v>
      </c>
      <c r="AD52" t="s">
        <v>902</v>
      </c>
      <c r="AE52" t="s">
        <v>903</v>
      </c>
      <c r="AF52"/>
      <c r="AG52" s="61">
        <f t="shared" si="7"/>
        <v>0</v>
      </c>
      <c r="AH52" s="61" t="s">
        <v>619</v>
      </c>
      <c r="AI52" t="s">
        <v>904</v>
      </c>
      <c r="AJ52" t="s">
        <v>905</v>
      </c>
      <c r="AK52" t="s">
        <v>906</v>
      </c>
      <c r="AL52" t="s">
        <v>907</v>
      </c>
      <c r="AM52" t="s">
        <v>908</v>
      </c>
      <c r="AN52" t="s">
        <v>909</v>
      </c>
      <c r="AO52" t="s">
        <v>910</v>
      </c>
      <c r="AP52">
        <v>524042</v>
      </c>
      <c r="AQ52" s="61">
        <f t="shared" si="9"/>
        <v>0</v>
      </c>
      <c r="AR52" s="61" t="s">
        <v>634</v>
      </c>
      <c r="AS52" t="s">
        <v>911</v>
      </c>
      <c r="AT52" t="s">
        <v>912</v>
      </c>
      <c r="AU52" t="s">
        <v>913</v>
      </c>
      <c r="AV52" t="s">
        <v>914</v>
      </c>
      <c r="AW52" t="s">
        <v>915</v>
      </c>
      <c r="AX52" t="s">
        <v>916</v>
      </c>
      <c r="AY52" t="s">
        <v>917</v>
      </c>
      <c r="AZ52"/>
      <c r="BA52" s="61">
        <f>IF($O$16=1,AS52,IF($O$16=2,AT52,IF($O$16=3,AU52,IF($O$16=4,AV52,IF($O$16=5,AW52,IF($O$16=6,AX52,IF($O$16=8,AY52,IF($O$16=10,AZ52,0))))))))</f>
        <v>0</v>
      </c>
      <c r="BB52" s="61" t="s">
        <v>642</v>
      </c>
      <c r="BC52"/>
      <c r="BD52"/>
      <c r="BE52"/>
      <c r="BF52"/>
      <c r="BG52"/>
      <c r="BH52"/>
      <c r="BI52"/>
      <c r="BJ52"/>
      <c r="FE52" s="561" t="str">
        <f>VLOOKUP(523,Sprachindex!$A:$Z,Info!$O$7,FALSE)</f>
        <v>Kastenrinnenwinkel 90° (außen)</v>
      </c>
      <c r="FF52" s="562"/>
      <c r="FG52" s="562"/>
      <c r="FH52" s="562"/>
      <c r="FI52" s="562"/>
      <c r="FJ52" s="242"/>
      <c r="FK52" s="233">
        <v>42.45</v>
      </c>
      <c r="FL52" s="243"/>
      <c r="FM52" s="242"/>
      <c r="FN52" s="237"/>
      <c r="FO52" s="246"/>
      <c r="FP52" s="247"/>
      <c r="FQ52" s="238">
        <v>41.85</v>
      </c>
      <c r="FR52" s="243"/>
      <c r="FS52" s="257">
        <v>49.74</v>
      </c>
      <c r="FT52" s="271" t="str">
        <f>IF($O$17=1,FK52,IF($O$17=3,FQ52,IF($O$17=4,FS52," ")))</f>
        <v xml:space="preserve"> </v>
      </c>
      <c r="FY52" s="276"/>
      <c r="FZ52" s="277"/>
      <c r="GA52" s="277"/>
      <c r="GB52" s="277"/>
      <c r="GC52" s="278"/>
      <c r="GD52" s="276"/>
      <c r="GE52" s="277"/>
      <c r="GF52" s="277"/>
      <c r="GG52" s="277"/>
      <c r="GH52" s="278"/>
      <c r="GI52" s="276"/>
      <c r="GJ52" s="277"/>
      <c r="GK52" s="277"/>
      <c r="GL52" s="277"/>
      <c r="GM52" s="278"/>
      <c r="GN52" s="276"/>
      <c r="GO52" s="277"/>
      <c r="GP52" s="277"/>
      <c r="GQ52" s="277"/>
      <c r="GR52" s="278"/>
    </row>
    <row r="53" spans="1:200" ht="32.1" customHeight="1">
      <c r="A53" s="109"/>
      <c r="B53" s="79" t="str">
        <f>VLOOKUP(878,Sprachindex!$A:$Z,Info!$O$7,FALSE)</f>
        <v>Stk.</v>
      </c>
      <c r="C53" s="78"/>
      <c r="D53" s="78">
        <f>IF($O$17=1,AG53,IF($O$17=3,AQ53,IF($O$17=4,BA53,IF($O$17=5,BK53,0))))</f>
        <v>0</v>
      </c>
      <c r="E53" s="561" t="str">
        <f>VLOOKUP(524,Sprachindex!$A:$Z,Info!$O$7,FALSE)</f>
        <v>Kastenrinnenwinkel 90° (innen)</v>
      </c>
      <c r="F53" s="562"/>
      <c r="G53" s="562"/>
      <c r="H53" s="562"/>
      <c r="I53" s="562"/>
      <c r="J53" s="627" t="str">
        <f>Formeln_RI_P.10!A178</f>
        <v/>
      </c>
      <c r="K53" s="628"/>
      <c r="L53" s="79" t="str">
        <f t="shared" si="1"/>
        <v xml:space="preserve"> </v>
      </c>
      <c r="M53" s="440" t="str">
        <f t="shared" si="2"/>
        <v>Stk.</v>
      </c>
      <c r="N53" s="80"/>
      <c r="O53" s="202" t="str">
        <f t="shared" si="8"/>
        <v xml:space="preserve"> </v>
      </c>
      <c r="R53" s="289"/>
      <c r="S53" s="195"/>
      <c r="T53" s="71"/>
      <c r="U53" s="149" t="e">
        <f t="shared" si="10"/>
        <v>#VALUE!</v>
      </c>
      <c r="V53" s="149" t="e">
        <f t="shared" si="10"/>
        <v>#VALUE!</v>
      </c>
      <c r="W53" s="149" t="str">
        <f>IF($O$17=1,4,IF($O$17=3,4,IF($O$17=4,2,"")))</f>
        <v/>
      </c>
      <c r="X53" s="149" t="str">
        <f>IF(OR($O$17=1,$O$17=3,$O$17=4),1,"")</f>
        <v/>
      </c>
      <c r="Y53" t="s">
        <v>918</v>
      </c>
      <c r="Z53" t="s">
        <v>919</v>
      </c>
      <c r="AA53" t="s">
        <v>920</v>
      </c>
      <c r="AB53" t="s">
        <v>921</v>
      </c>
      <c r="AC53" t="s">
        <v>922</v>
      </c>
      <c r="AD53" t="s">
        <v>923</v>
      </c>
      <c r="AE53" t="s">
        <v>924</v>
      </c>
      <c r="AF53"/>
      <c r="AG53" s="61">
        <f t="shared" si="7"/>
        <v>0</v>
      </c>
      <c r="AH53" s="61" t="s">
        <v>619</v>
      </c>
      <c r="AI53" t="s">
        <v>925</v>
      </c>
      <c r="AJ53" t="s">
        <v>926</v>
      </c>
      <c r="AK53" t="s">
        <v>927</v>
      </c>
      <c r="AL53" t="s">
        <v>928</v>
      </c>
      <c r="AM53" t="s">
        <v>929</v>
      </c>
      <c r="AN53" t="s">
        <v>930</v>
      </c>
      <c r="AO53" t="s">
        <v>931</v>
      </c>
      <c r="AP53">
        <v>524041</v>
      </c>
      <c r="AQ53" s="61">
        <f t="shared" si="9"/>
        <v>0</v>
      </c>
      <c r="AR53" s="61" t="s">
        <v>634</v>
      </c>
      <c r="AS53" t="s">
        <v>932</v>
      </c>
      <c r="AT53" t="s">
        <v>933</v>
      </c>
      <c r="AU53" t="s">
        <v>934</v>
      </c>
      <c r="AV53" t="s">
        <v>935</v>
      </c>
      <c r="AW53" t="s">
        <v>936</v>
      </c>
      <c r="AX53" t="s">
        <v>937</v>
      </c>
      <c r="AY53" t="s">
        <v>938</v>
      </c>
      <c r="AZ53"/>
      <c r="BA53" s="61">
        <f>IF($O$16=1,AS53,IF($O$16=2,AT53,IF($O$16=3,AU53,IF($O$16=4,AV53,IF($O$16=5,AW53,IF($O$16=6,AX53,IF($O$16=8,AY53,IF($O$16=10,AZ53,0))))))))</f>
        <v>0</v>
      </c>
      <c r="BB53" s="61" t="s">
        <v>642</v>
      </c>
      <c r="BC53"/>
      <c r="BD53"/>
      <c r="BE53"/>
      <c r="BF53"/>
      <c r="BG53"/>
      <c r="BH53"/>
      <c r="BI53"/>
      <c r="BJ53"/>
      <c r="BK53"/>
      <c r="BL53"/>
      <c r="BM53"/>
      <c r="BN53"/>
      <c r="BO53"/>
      <c r="BP53"/>
      <c r="BQ53"/>
      <c r="BR53"/>
      <c r="BS53"/>
      <c r="BT53"/>
      <c r="BU53"/>
      <c r="BV53"/>
      <c r="FE53" s="561" t="str">
        <f>VLOOKUP(524,Sprachindex!$A:$Z,Info!$O$7,FALSE)</f>
        <v>Kastenrinnenwinkel 90° (innen)</v>
      </c>
      <c r="FF53" s="562"/>
      <c r="FG53" s="562"/>
      <c r="FH53" s="562"/>
      <c r="FI53" s="562"/>
      <c r="FJ53" s="242"/>
      <c r="FK53" s="233">
        <v>42.45</v>
      </c>
      <c r="FL53" s="243"/>
      <c r="FM53" s="242"/>
      <c r="FN53" s="237"/>
      <c r="FO53" s="246"/>
      <c r="FP53" s="247"/>
      <c r="FQ53" s="238">
        <v>41.85</v>
      </c>
      <c r="FR53" s="243"/>
      <c r="FS53" s="257">
        <v>49.74</v>
      </c>
      <c r="FT53" s="271" t="str">
        <f>IF($O$17=1,FK53,IF($O$17=3,FQ53,IF($O$17=4,FS53," ")))</f>
        <v xml:space="preserve"> </v>
      </c>
      <c r="FY53" s="276"/>
      <c r="FZ53" s="277"/>
      <c r="GA53" s="277"/>
      <c r="GB53" s="277"/>
      <c r="GC53" s="278"/>
      <c r="GD53" s="276"/>
      <c r="GE53" s="277"/>
      <c r="GF53" s="277"/>
      <c r="GG53" s="277"/>
      <c r="GH53" s="278"/>
      <c r="GI53" s="276"/>
      <c r="GJ53" s="277"/>
      <c r="GK53" s="277"/>
      <c r="GL53" s="277"/>
      <c r="GM53" s="278"/>
      <c r="GN53" s="276"/>
      <c r="GO53" s="277"/>
      <c r="GP53" s="277"/>
      <c r="GQ53" s="277"/>
      <c r="GR53" s="278"/>
    </row>
    <row r="54" spans="1:200" ht="32.1" customHeight="1">
      <c r="A54" s="443"/>
      <c r="B54" s="79" t="str">
        <f>VLOOKUP(878,Sprachindex!$A:$Z,Info!$O$7,FALSE)</f>
        <v>Stk.</v>
      </c>
      <c r="C54" s="78"/>
      <c r="D54" s="78">
        <f>IF(AND(O17=1,O18=2),AG54,IF(AND(O17=3,O18=3),AQ54,IF(AND(O17=4,O18=4),BA54,IF(AND(O17=5,O18=4),BK54,IF(AND(O17=5,O18=5),BU54,0)))))</f>
        <v>0</v>
      </c>
      <c r="E54" s="561" t="str">
        <f>VLOOKUP(522,Sprachindex!$A:$Z,Info!$O$7,FALSE)</f>
        <v>Kastenrinnenkessel</v>
      </c>
      <c r="F54" s="562"/>
      <c r="G54" s="562"/>
      <c r="H54" s="562"/>
      <c r="I54" s="84"/>
      <c r="J54" s="614" t="str">
        <f>Formeln_RI_P.10!A217</f>
        <v/>
      </c>
      <c r="K54" s="630"/>
      <c r="L54" s="79" t="str">
        <f t="shared" si="1"/>
        <v xml:space="preserve"> </v>
      </c>
      <c r="M54" s="440" t="str">
        <f t="shared" si="2"/>
        <v>Stk.</v>
      </c>
      <c r="N54" s="80"/>
      <c r="O54" s="202" t="str">
        <f t="shared" si="8"/>
        <v xml:space="preserve"> </v>
      </c>
      <c r="R54" s="289"/>
      <c r="S54" s="195"/>
      <c r="T54" s="71"/>
      <c r="U54" s="149" t="e">
        <f t="shared" si="10"/>
        <v>#VALUE!</v>
      </c>
      <c r="V54" s="149">
        <f t="shared" si="10"/>
        <v>0</v>
      </c>
      <c r="W54" s="149" t="str">
        <f>IF(AND($O$17=1,$O$18=2),6,IF(AND($O$17=3,$O$18=3),10,IF(AND($O$17=4,$O$18=4),6,"")))</f>
        <v/>
      </c>
      <c r="X54" s="149">
        <v>1</v>
      </c>
      <c r="Y54" t="s">
        <v>939</v>
      </c>
      <c r="Z54" t="s">
        <v>940</v>
      </c>
      <c r="AA54" t="s">
        <v>941</v>
      </c>
      <c r="AB54" t="s">
        <v>942</v>
      </c>
      <c r="AC54" t="s">
        <v>943</v>
      </c>
      <c r="AD54" t="s">
        <v>944</v>
      </c>
      <c r="AE54" t="s">
        <v>945</v>
      </c>
      <c r="AF54"/>
      <c r="AG54" s="61">
        <f t="shared" si="7"/>
        <v>0</v>
      </c>
      <c r="AH54" s="61" t="s">
        <v>721</v>
      </c>
      <c r="AI54" t="s">
        <v>946</v>
      </c>
      <c r="AJ54" t="s">
        <v>947</v>
      </c>
      <c r="AK54" t="s">
        <v>948</v>
      </c>
      <c r="AL54" t="s">
        <v>949</v>
      </c>
      <c r="AM54" t="s">
        <v>950</v>
      </c>
      <c r="AN54" t="s">
        <v>951</v>
      </c>
      <c r="AO54" t="s">
        <v>952</v>
      </c>
      <c r="AP54">
        <v>548026</v>
      </c>
      <c r="AQ54" s="61">
        <f t="shared" si="9"/>
        <v>0</v>
      </c>
      <c r="AR54" s="61" t="s">
        <v>753</v>
      </c>
      <c r="AS54" t="s">
        <v>953</v>
      </c>
      <c r="AT54" t="s">
        <v>954</v>
      </c>
      <c r="AU54" t="s">
        <v>955</v>
      </c>
      <c r="AV54" t="s">
        <v>956</v>
      </c>
      <c r="AW54" t="s">
        <v>957</v>
      </c>
      <c r="AX54" t="s">
        <v>958</v>
      </c>
      <c r="AY54" t="s">
        <v>959</v>
      </c>
      <c r="AZ54"/>
      <c r="BA54" s="61">
        <f>IF($O$16=1,AS54,IF($O$16=2,AT54,IF($O$16=3,AU54,IF($O$16=4,AV54,IF($O$16=5,AW54,IF($O$16=6,AX54,IF($O$16=8,AY54,IF($O$16=10,AZ54,0))))))))</f>
        <v>0</v>
      </c>
      <c r="BB54" s="61" t="s">
        <v>769</v>
      </c>
      <c r="BC54">
        <v>200861</v>
      </c>
      <c r="BD54">
        <v>200860</v>
      </c>
      <c r="BE54"/>
      <c r="BF54">
        <v>200862</v>
      </c>
      <c r="BG54"/>
      <c r="BH54"/>
      <c r="BI54"/>
      <c r="BJ54"/>
      <c r="BK54" s="61">
        <f>IF($O$16=1,BC54,IF($O$16=2,BD54,IF($O$16=3,BE54,IF($O$16=4,BF54,IF($O$16=5,BG54,IF($O$16=6,BH54,IF($O$16=8,BI54,IF($O$16=10,BJ54,0))))))))</f>
        <v>0</v>
      </c>
      <c r="BL54" s="61" t="s">
        <v>770</v>
      </c>
      <c r="BM54"/>
      <c r="BN54"/>
      <c r="BO54"/>
      <c r="BP54"/>
      <c r="BQ54"/>
      <c r="BR54"/>
      <c r="BS54"/>
      <c r="BT54"/>
      <c r="BU54"/>
      <c r="BV54"/>
      <c r="FE54" s="561" t="str">
        <f>VLOOKUP(522,Sprachindex!$A:$Z,Info!$O$7,FALSE)</f>
        <v>Kastenrinnenkessel</v>
      </c>
      <c r="FF54" s="562"/>
      <c r="FG54" s="562"/>
      <c r="FH54" s="562"/>
      <c r="FI54" s="84"/>
      <c r="FJ54" s="242"/>
      <c r="FK54" s="237"/>
      <c r="FL54" s="243"/>
      <c r="FM54" s="242"/>
      <c r="FN54" s="237"/>
      <c r="FO54" s="246"/>
      <c r="FP54" s="247"/>
      <c r="FQ54" s="111"/>
      <c r="FR54" s="243"/>
      <c r="FS54" s="256"/>
      <c r="FT54" s="271" t="str">
        <f>IF(O17=1,FZ54,IF(O17=3,GK54,IF(O17=4,GQ54," ")))</f>
        <v xml:space="preserve"> </v>
      </c>
      <c r="FY54" s="276"/>
      <c r="FZ54" s="233">
        <v>38.840000000000003</v>
      </c>
      <c r="GA54" s="277"/>
      <c r="GB54" s="277"/>
      <c r="GC54" s="278"/>
      <c r="GD54" s="276"/>
      <c r="GE54" s="277"/>
      <c r="GF54" s="277"/>
      <c r="GG54" s="277"/>
      <c r="GH54" s="278"/>
      <c r="GI54" s="276"/>
      <c r="GJ54" s="277"/>
      <c r="GK54" s="238">
        <v>40.47</v>
      </c>
      <c r="GL54" s="277"/>
      <c r="GM54" s="278"/>
      <c r="GN54" s="276"/>
      <c r="GO54" s="277"/>
      <c r="GP54" s="277"/>
      <c r="GQ54" s="239">
        <v>44.7</v>
      </c>
      <c r="GR54" s="278"/>
    </row>
    <row r="55" spans="1:200" ht="32.1" customHeight="1">
      <c r="A55" s="109"/>
      <c r="B55" s="79" t="str">
        <f>VLOOKUP(1512,Sprachindex!$A:$Z,Info!$O$7,FALSE)</f>
        <v>lfm</v>
      </c>
      <c r="C55" s="78"/>
      <c r="D55" s="78">
        <f>AG55</f>
        <v>0</v>
      </c>
      <c r="E55" s="561" t="str">
        <f>VLOOKUP(763,Sprachindex!$A:$Z,Info!$O$7,FALSE)</f>
        <v>Saumrinne (mit Schutzfolie außen)</v>
      </c>
      <c r="F55" s="562"/>
      <c r="G55" s="562"/>
      <c r="H55" s="562"/>
      <c r="I55" s="562"/>
      <c r="J55" s="627" t="str">
        <f>VLOOKUP(131,Sprachindex!$A:$Z,Info!$O$7,FALSE)</f>
        <v>700 × 1,0 mm</v>
      </c>
      <c r="K55" s="628"/>
      <c r="L55" s="79" t="str">
        <f t="shared" si="1"/>
        <v xml:space="preserve"> </v>
      </c>
      <c r="M55" s="440" t="str">
        <f t="shared" si="2"/>
        <v>lfm</v>
      </c>
      <c r="N55" s="80"/>
      <c r="O55" s="202" t="str">
        <f t="shared" si="4"/>
        <v xml:space="preserve"> </v>
      </c>
      <c r="R55" s="289"/>
      <c r="S55" s="195"/>
      <c r="T55" s="71"/>
      <c r="U55" s="149">
        <f>ROUNDUP($A55/$W55,0)*$W55</f>
        <v>0</v>
      </c>
      <c r="V55" s="149">
        <f>ROUNDUP($A55/$X55,0)*$X55</f>
        <v>0</v>
      </c>
      <c r="W55" s="149">
        <f>IF(Info!V7=1,5,6)</f>
        <v>6</v>
      </c>
      <c r="X55" s="149">
        <f>IF(Info!V7=2,5,6)</f>
        <v>6</v>
      </c>
      <c r="Y55" t="s">
        <v>960</v>
      </c>
      <c r="Z55" t="s">
        <v>961</v>
      </c>
      <c r="AA55" t="s">
        <v>962</v>
      </c>
      <c r="AB55" t="s">
        <v>963</v>
      </c>
      <c r="AC55" t="s">
        <v>964</v>
      </c>
      <c r="AD55" t="s">
        <v>965</v>
      </c>
      <c r="AE55" t="s">
        <v>966</v>
      </c>
      <c r="AF55">
        <v>575013</v>
      </c>
      <c r="AG55" s="61">
        <f t="shared" si="7"/>
        <v>0</v>
      </c>
      <c r="AH55" s="61"/>
      <c r="FE55" s="561" t="str">
        <f>VLOOKUP(763,Sprachindex!$A:$Z,Info!$O$7,FALSE)</f>
        <v>Saumrinne (mit Schutzfolie außen)</v>
      </c>
      <c r="FF55" s="562"/>
      <c r="FG55" s="562"/>
      <c r="FH55" s="562"/>
      <c r="FI55" s="562"/>
      <c r="FJ55" s="260">
        <v>39.56</v>
      </c>
      <c r="FK55" s="237"/>
      <c r="FL55" s="243"/>
      <c r="FM55" s="242"/>
      <c r="FN55" s="237"/>
      <c r="FO55" s="246"/>
      <c r="FP55" s="247"/>
      <c r="FQ55" s="111"/>
      <c r="FR55" s="243"/>
      <c r="FS55" s="256"/>
      <c r="FT55" s="271">
        <f>FJ55</f>
        <v>39.56</v>
      </c>
      <c r="FY55" s="276"/>
      <c r="FZ55" s="277"/>
      <c r="GA55" s="277"/>
      <c r="GB55" s="277"/>
      <c r="GC55" s="278"/>
      <c r="GD55" s="276"/>
      <c r="GE55" s="277"/>
      <c r="GF55" s="277"/>
      <c r="GG55" s="277"/>
      <c r="GH55" s="278"/>
      <c r="GI55" s="276"/>
      <c r="GJ55" s="277"/>
      <c r="GK55" s="277"/>
      <c r="GL55" s="277"/>
      <c r="GM55" s="278"/>
      <c r="GN55" s="276"/>
      <c r="GO55" s="277"/>
      <c r="GP55" s="277"/>
      <c r="GQ55" s="277"/>
      <c r="GR55" s="278"/>
    </row>
    <row r="56" spans="1:200" ht="32.1" customHeight="1">
      <c r="A56" s="109"/>
      <c r="B56" s="79" t="str">
        <f>VLOOKUP(878,Sprachindex!$A:$Z,Info!$O$7,FALSE)</f>
        <v>Stk.</v>
      </c>
      <c r="C56" s="78"/>
      <c r="D56" s="78">
        <f>AG56</f>
        <v>0</v>
      </c>
      <c r="E56" s="561" t="str">
        <f>VLOOKUP(764,Sprachindex!$A:$Z,Info!$O$7,FALSE)</f>
        <v>Saumrinnenendboden</v>
      </c>
      <c r="F56" s="562"/>
      <c r="G56" s="562"/>
      <c r="H56" s="562"/>
      <c r="I56" s="562"/>
      <c r="J56" s="627"/>
      <c r="K56" s="628"/>
      <c r="L56" s="79" t="str">
        <f t="shared" si="1"/>
        <v xml:space="preserve"> </v>
      </c>
      <c r="M56" s="440" t="str">
        <f t="shared" si="2"/>
        <v>Stk.</v>
      </c>
      <c r="N56" s="80"/>
      <c r="O56" s="202" t="str">
        <f t="shared" si="4"/>
        <v xml:space="preserve"> </v>
      </c>
      <c r="R56" s="289"/>
      <c r="S56" s="207"/>
      <c r="T56" s="71"/>
      <c r="U56" s="149">
        <f t="shared" ref="U56:U92" si="11">ROUNDUP($A56/W56,0)*W56</f>
        <v>0</v>
      </c>
      <c r="V56" s="149">
        <f t="shared" ref="V56:V92" si="12">ROUNDUP($A56/X56,0)*X56</f>
        <v>0</v>
      </c>
      <c r="W56" s="149">
        <v>1</v>
      </c>
      <c r="X56" s="149">
        <v>1</v>
      </c>
      <c r="Y56" t="s">
        <v>967</v>
      </c>
      <c r="Z56" t="s">
        <v>968</v>
      </c>
      <c r="AA56" t="s">
        <v>969</v>
      </c>
      <c r="AB56" t="s">
        <v>970</v>
      </c>
      <c r="AC56" t="s">
        <v>971</v>
      </c>
      <c r="AD56" t="s">
        <v>972</v>
      </c>
      <c r="AE56" t="s">
        <v>973</v>
      </c>
      <c r="AF56">
        <v>517308</v>
      </c>
      <c r="AG56" s="61">
        <f t="shared" si="7"/>
        <v>0</v>
      </c>
      <c r="AH56" s="61"/>
      <c r="FE56" s="561" t="str">
        <f>VLOOKUP(764,Sprachindex!$A:$Z,Info!$O$7,FALSE)</f>
        <v>Saumrinnenendboden</v>
      </c>
      <c r="FF56" s="562"/>
      <c r="FG56" s="562"/>
      <c r="FH56" s="562"/>
      <c r="FI56" s="562"/>
      <c r="FJ56" s="260">
        <v>37.450000000000003</v>
      </c>
      <c r="FK56" s="237"/>
      <c r="FL56" s="243"/>
      <c r="FM56" s="242"/>
      <c r="FN56" s="237"/>
      <c r="FO56" s="246"/>
      <c r="FP56" s="247"/>
      <c r="FQ56" s="111"/>
      <c r="FR56" s="243"/>
      <c r="FS56" s="256"/>
      <c r="FT56" s="271">
        <f t="shared" ref="FT56:FT58" si="13">FJ56</f>
        <v>37.450000000000003</v>
      </c>
      <c r="FY56" s="276"/>
      <c r="FZ56" s="277"/>
      <c r="GA56" s="277"/>
      <c r="GB56" s="277"/>
      <c r="GC56" s="278"/>
      <c r="GD56" s="276"/>
      <c r="GE56" s="277"/>
      <c r="GF56" s="277"/>
      <c r="GG56" s="277"/>
      <c r="GH56" s="278"/>
      <c r="GI56" s="276"/>
      <c r="GJ56" s="277"/>
      <c r="GK56" s="277"/>
      <c r="GL56" s="277"/>
      <c r="GM56" s="278"/>
      <c r="GN56" s="276"/>
      <c r="GO56" s="277"/>
      <c r="GP56" s="277"/>
      <c r="GQ56" s="277"/>
      <c r="GR56" s="278"/>
    </row>
    <row r="57" spans="1:200" ht="32.1" customHeight="1">
      <c r="A57" s="109"/>
      <c r="B57" s="79" t="str">
        <f>VLOOKUP(878,Sprachindex!$A:$Z,Info!$O$7,FALSE)</f>
        <v>Stk.</v>
      </c>
      <c r="C57" s="78"/>
      <c r="D57" s="78">
        <f>AG57</f>
        <v>0</v>
      </c>
      <c r="E57" s="561" t="str">
        <f>VLOOKUP(766,Sprachindex!$A:$Z,Info!$O$7,FALSE)</f>
        <v>Saumrinnenstutzen</v>
      </c>
      <c r="F57" s="562"/>
      <c r="G57" s="562"/>
      <c r="H57" s="562"/>
      <c r="I57" s="562"/>
      <c r="J57" s="627" t="str">
        <f>VLOOKUP(45,Sprachindex!$A:$Z,Info!$O$7,FALSE)</f>
        <v>⌀ 100</v>
      </c>
      <c r="K57" s="628"/>
      <c r="L57" s="79" t="str">
        <f t="shared" si="1"/>
        <v xml:space="preserve"> </v>
      </c>
      <c r="M57" s="440" t="str">
        <f t="shared" si="2"/>
        <v>Stk.</v>
      </c>
      <c r="N57" s="80"/>
      <c r="O57" s="202" t="str">
        <f t="shared" si="4"/>
        <v xml:space="preserve"> </v>
      </c>
      <c r="R57" s="289"/>
      <c r="S57" s="195"/>
      <c r="T57" s="71"/>
      <c r="U57" s="149">
        <f t="shared" si="11"/>
        <v>0</v>
      </c>
      <c r="V57" s="149">
        <f t="shared" si="12"/>
        <v>0</v>
      </c>
      <c r="W57" s="149">
        <v>1</v>
      </c>
      <c r="X57" s="149">
        <v>1</v>
      </c>
      <c r="Y57" t="s">
        <v>974</v>
      </c>
      <c r="Z57" t="s">
        <v>975</v>
      </c>
      <c r="AA57" t="s">
        <v>976</v>
      </c>
      <c r="AB57" t="s">
        <v>977</v>
      </c>
      <c r="AC57" t="s">
        <v>978</v>
      </c>
      <c r="AD57" t="s">
        <v>979</v>
      </c>
      <c r="AE57" t="s">
        <v>980</v>
      </c>
      <c r="AF57">
        <v>520209</v>
      </c>
      <c r="AG57" s="61">
        <f t="shared" si="7"/>
        <v>0</v>
      </c>
      <c r="AH57" s="61"/>
      <c r="FE57" s="561" t="str">
        <f>VLOOKUP(766,Sprachindex!$A:$Z,Info!$O$7,FALSE)</f>
        <v>Saumrinnenstutzen</v>
      </c>
      <c r="FF57" s="562"/>
      <c r="FG57" s="562"/>
      <c r="FH57" s="562"/>
      <c r="FI57" s="562"/>
      <c r="FJ57" s="260">
        <v>38.89</v>
      </c>
      <c r="FK57" s="237"/>
      <c r="FL57" s="243"/>
      <c r="FM57" s="242"/>
      <c r="FN57" s="237"/>
      <c r="FO57" s="246"/>
      <c r="FP57" s="247"/>
      <c r="FQ57" s="111"/>
      <c r="FR57" s="243"/>
      <c r="FS57" s="256"/>
      <c r="FT57" s="271">
        <f t="shared" si="13"/>
        <v>38.89</v>
      </c>
      <c r="FY57" s="276"/>
      <c r="FZ57" s="277"/>
      <c r="GA57" s="277"/>
      <c r="GB57" s="277"/>
      <c r="GC57" s="278"/>
      <c r="GD57" s="276"/>
      <c r="GE57" s="277"/>
      <c r="GF57" s="277"/>
      <c r="GG57" s="277"/>
      <c r="GH57" s="278"/>
      <c r="GI57" s="276"/>
      <c r="GJ57" s="277"/>
      <c r="GK57" s="277"/>
      <c r="GL57" s="277"/>
      <c r="GM57" s="278"/>
      <c r="GN57" s="276"/>
      <c r="GO57" s="277"/>
      <c r="GP57" s="277"/>
      <c r="GQ57" s="277"/>
      <c r="GR57" s="278"/>
    </row>
    <row r="58" spans="1:200" ht="32.1" customHeight="1">
      <c r="A58" s="109"/>
      <c r="B58" s="79" t="str">
        <f>VLOOKUP(878,Sprachindex!$A:$Z,Info!$O$7,FALSE)</f>
        <v>Stk.</v>
      </c>
      <c r="C58" s="78"/>
      <c r="D58" s="78">
        <f>AG58</f>
        <v>0</v>
      </c>
      <c r="E58" s="561" t="str">
        <f>VLOOKUP(765,Sprachindex!$A:$Z,Info!$O$7,FALSE)</f>
        <v>Saumrinnenhaken</v>
      </c>
      <c r="F58" s="562"/>
      <c r="G58" s="562"/>
      <c r="H58" s="562"/>
      <c r="I58" s="562"/>
      <c r="J58" s="627" t="str">
        <f>VLOOKUP(78,Sprachindex!$A:$Z,Info!$O$7,FALSE)</f>
        <v>28 × 7 mm</v>
      </c>
      <c r="K58" s="628"/>
      <c r="L58" s="79" t="str">
        <f t="shared" si="1"/>
        <v xml:space="preserve"> </v>
      </c>
      <c r="M58" s="440" t="str">
        <f t="shared" si="2"/>
        <v>Stk.</v>
      </c>
      <c r="N58" s="80"/>
      <c r="O58" s="202" t="str">
        <f t="shared" si="4"/>
        <v xml:space="preserve"> </v>
      </c>
      <c r="R58" s="289"/>
      <c r="S58" s="195"/>
      <c r="T58" s="71"/>
      <c r="U58" s="149">
        <f t="shared" si="11"/>
        <v>0</v>
      </c>
      <c r="V58" s="149">
        <f t="shared" si="12"/>
        <v>0</v>
      </c>
      <c r="W58" s="149">
        <v>20</v>
      </c>
      <c r="X58" s="149">
        <v>1</v>
      </c>
      <c r="Y58" t="s">
        <v>981</v>
      </c>
      <c r="Z58" t="s">
        <v>982</v>
      </c>
      <c r="AA58" t="s">
        <v>983</v>
      </c>
      <c r="AB58" t="s">
        <v>984</v>
      </c>
      <c r="AC58" t="s">
        <v>985</v>
      </c>
      <c r="AD58" t="s">
        <v>986</v>
      </c>
      <c r="AE58" t="s">
        <v>987</v>
      </c>
      <c r="AF58">
        <v>523012</v>
      </c>
      <c r="AG58" s="61">
        <f t="shared" si="7"/>
        <v>0</v>
      </c>
      <c r="AH58" s="61"/>
      <c r="BM58" s="47" t="s">
        <v>108</v>
      </c>
      <c r="BN58" s="47" t="s">
        <v>422</v>
      </c>
      <c r="BO58" s="47" t="s">
        <v>110</v>
      </c>
      <c r="BP58" s="47" t="s">
        <v>113</v>
      </c>
      <c r="BQ58" s="47" t="s">
        <v>118</v>
      </c>
      <c r="BR58" s="47" t="s">
        <v>115</v>
      </c>
      <c r="BS58" s="47" t="s">
        <v>423</v>
      </c>
      <c r="BT58" s="47" t="s">
        <v>424</v>
      </c>
      <c r="BU58" s="47"/>
      <c r="FE58" s="561" t="str">
        <f>VLOOKUP(765,Sprachindex!$A:$Z,Info!$O$7,FALSE)</f>
        <v>Saumrinnenhaken</v>
      </c>
      <c r="FF58" s="562"/>
      <c r="FG58" s="562"/>
      <c r="FH58" s="562"/>
      <c r="FI58" s="562"/>
      <c r="FJ58" s="260">
        <v>15.39</v>
      </c>
      <c r="FK58" s="237"/>
      <c r="FL58" s="243"/>
      <c r="FM58" s="242"/>
      <c r="FN58" s="237"/>
      <c r="FO58" s="246"/>
      <c r="FP58" s="247"/>
      <c r="FQ58" s="111"/>
      <c r="FR58" s="243"/>
      <c r="FS58" s="256"/>
      <c r="FT58" s="271">
        <f t="shared" si="13"/>
        <v>15.39</v>
      </c>
      <c r="FY58" s="276"/>
      <c r="FZ58" s="277"/>
      <c r="GA58" s="277"/>
      <c r="GB58" s="277"/>
      <c r="GC58" s="278"/>
      <c r="GD58" s="276"/>
      <c r="GE58" s="277"/>
      <c r="GF58" s="277"/>
      <c r="GG58" s="277"/>
      <c r="GH58" s="278"/>
      <c r="GI58" s="276"/>
      <c r="GJ58" s="277"/>
      <c r="GK58" s="277"/>
      <c r="GL58" s="277"/>
      <c r="GM58" s="278"/>
      <c r="GN58" s="276"/>
      <c r="GO58" s="277"/>
      <c r="GP58" s="277"/>
      <c r="GQ58" s="277"/>
      <c r="GR58" s="278"/>
    </row>
    <row r="59" spans="1:200" ht="32.1" customHeight="1">
      <c r="A59" s="109"/>
      <c r="B59" s="79" t="str">
        <f>VLOOKUP(1512,Sprachindex!$A:$Z,Info!$O$7,FALSE)</f>
        <v>lfm</v>
      </c>
      <c r="C59" s="78"/>
      <c r="D59" s="78">
        <f>IF($O$18=2,AG59,IF($O$18=3,AQ59,IF($O$18=4,BA59,IF($O$18=5,BK59,IF($O$18=1,BU59,0)))))</f>
        <v>0</v>
      </c>
      <c r="E59" s="561" t="str">
        <f>VLOOKUP(1186,Sprachindex!$A:$Z,Info!$O$7,FALSE)</f>
        <v>Ablaufrohr mit Schutzfolie</v>
      </c>
      <c r="F59" s="562"/>
      <c r="G59" s="562"/>
      <c r="H59" s="562"/>
      <c r="I59" s="562"/>
      <c r="J59" s="627" t="str">
        <f>Formeln_RI_P.10!A222</f>
        <v/>
      </c>
      <c r="K59" s="628"/>
      <c r="L59" s="79" t="str">
        <f t="shared" si="1"/>
        <v xml:space="preserve"> </v>
      </c>
      <c r="M59" s="440" t="str">
        <f t="shared" si="2"/>
        <v>lfm</v>
      </c>
      <c r="N59" s="80"/>
      <c r="O59" s="202" t="str">
        <f>IF(ISNUMBER(L59),FT59*L59," ")</f>
        <v xml:space="preserve"> </v>
      </c>
      <c r="R59" s="289"/>
      <c r="S59" s="195"/>
      <c r="T59" s="71"/>
      <c r="U59" s="149" t="e">
        <f t="shared" si="11"/>
        <v>#VALUE!</v>
      </c>
      <c r="V59" s="149">
        <f t="shared" si="12"/>
        <v>0</v>
      </c>
      <c r="W59" s="149" t="str">
        <f>IF($O$18=2,60,IF($O$18=3,39,IF($O$18=4,24,IF($O$18=5,18,""))))</f>
        <v/>
      </c>
      <c r="X59" s="149">
        <v>3</v>
      </c>
      <c r="Y59" t="s">
        <v>988</v>
      </c>
      <c r="Z59" t="s">
        <v>989</v>
      </c>
      <c r="AA59" t="s">
        <v>990</v>
      </c>
      <c r="AB59" t="s">
        <v>991</v>
      </c>
      <c r="AC59" t="s">
        <v>992</v>
      </c>
      <c r="AD59" t="s">
        <v>993</v>
      </c>
      <c r="AE59" t="s">
        <v>994</v>
      </c>
      <c r="AF59"/>
      <c r="AG59" s="61">
        <f t="shared" si="7"/>
        <v>0</v>
      </c>
      <c r="AH59" s="61">
        <v>80</v>
      </c>
      <c r="AI59" t="s">
        <v>995</v>
      </c>
      <c r="AJ59" t="s">
        <v>996</v>
      </c>
      <c r="AK59" t="s">
        <v>997</v>
      </c>
      <c r="AL59" t="s">
        <v>998</v>
      </c>
      <c r="AM59" t="s">
        <v>999</v>
      </c>
      <c r="AN59" t="s">
        <v>1000</v>
      </c>
      <c r="AO59" t="s">
        <v>1001</v>
      </c>
      <c r="AP59">
        <v>574031</v>
      </c>
      <c r="AQ59" s="61">
        <f t="shared" ref="AQ59" si="14">IF($O$16=1,AI59,IF($O$16=2,AJ59,IF($O$16=3,AK59,IF($O$16=4,AL59,IF($O$16=5,AM59,IF($O$16=6,AN59,IF($O$16=8,AO59,IF($O$16=10,AP59,0))))))))</f>
        <v>0</v>
      </c>
      <c r="AR59" s="61">
        <v>100</v>
      </c>
      <c r="AS59" t="s">
        <v>1002</v>
      </c>
      <c r="AT59" t="s">
        <v>1003</v>
      </c>
      <c r="AU59" t="s">
        <v>1004</v>
      </c>
      <c r="AV59" t="s">
        <v>1005</v>
      </c>
      <c r="AW59" t="s">
        <v>1006</v>
      </c>
      <c r="AX59" t="s">
        <v>1007</v>
      </c>
      <c r="AY59" t="s">
        <v>1008</v>
      </c>
      <c r="AZ59"/>
      <c r="BA59" s="61">
        <f>IF($O$16=1,AS59,IF($O$16=2,AT59,IF($O$16=3,AU59,IF($O$16=4,AV59,IF($O$16=5,AW59,IF($O$16=6,AX59,IF($O$16=8,AY59,IF($O$16=10,AZ59,0))))))))</f>
        <v>0</v>
      </c>
      <c r="BB59" s="61">
        <v>120</v>
      </c>
      <c r="BC59" s="188" t="s">
        <v>1009</v>
      </c>
      <c r="BD59" s="188" t="s">
        <v>1010</v>
      </c>
      <c r="BE59"/>
      <c r="BF59" s="188" t="s">
        <v>1011</v>
      </c>
      <c r="BG59"/>
      <c r="BH59"/>
      <c r="BI59"/>
      <c r="BJ59"/>
      <c r="BK59" s="61">
        <f>IF($O$16=1,BC59,IF($O$16=2,BD59,IF($O$16=3,BE59,IF($O$16=4,BF59,IF($O$16=5,BG59,IF($O$16=6,BH59,IF($O$16=8,BI59,IF($O$16=10,BJ59,0))))))))</f>
        <v>0</v>
      </c>
      <c r="BL59" s="61">
        <v>150</v>
      </c>
      <c r="BM59" s="1">
        <v>220001</v>
      </c>
      <c r="BN59" s="1">
        <v>220000</v>
      </c>
      <c r="BO59" s="1">
        <v>220004</v>
      </c>
      <c r="BP59" s="1">
        <v>220002</v>
      </c>
      <c r="BQ59" s="1">
        <v>220005</v>
      </c>
      <c r="BR59" s="1">
        <v>220006</v>
      </c>
      <c r="BS59" s="1">
        <v>220003</v>
      </c>
      <c r="BU59" s="61">
        <f>IF($O$16=1,BM59,IF($O$16=2,BN59,IF($O$16=3,BO59,IF($O$16=4,BP59,IF($O$16=5,BQ59,IF($O$16=6,BR59,IF($O$16=8,BS59,IF($O$16=10,BT59,0))))))))</f>
        <v>0</v>
      </c>
      <c r="BV59" s="61">
        <v>60</v>
      </c>
      <c r="FE59" s="561" t="str">
        <f>VLOOKUP(1186,Sprachindex!$A:$Z,Info!$O$7,FALSE)</f>
        <v>Ablaufrohr mit Schutzfolie</v>
      </c>
      <c r="FF59" s="562"/>
      <c r="FG59" s="562"/>
      <c r="FH59" s="562"/>
      <c r="FI59" s="562"/>
      <c r="FJ59" s="242"/>
      <c r="FK59" s="237"/>
      <c r="FL59" s="243"/>
      <c r="FM59" s="242"/>
      <c r="FN59" s="237"/>
      <c r="FO59" s="246"/>
      <c r="FP59" s="247"/>
      <c r="FQ59" s="111"/>
      <c r="FR59" s="243"/>
      <c r="FS59" s="256"/>
      <c r="FT59" s="271" t="str">
        <f>IF(O18=1,FY59,IF(O18=2,FZ59,IF(O18=3,GA59,IF(O18=4,GB59,IF(O18=5,GC59," ")))))</f>
        <v xml:space="preserve"> </v>
      </c>
      <c r="FY59" s="241">
        <v>16.940000000000001</v>
      </c>
      <c r="FZ59" s="236">
        <v>15.53</v>
      </c>
      <c r="GA59" s="236">
        <v>15.82</v>
      </c>
      <c r="GB59" s="236">
        <v>21.84</v>
      </c>
      <c r="GC59" s="294">
        <v>29.03</v>
      </c>
      <c r="GD59" s="276"/>
      <c r="GE59" s="277"/>
      <c r="GF59" s="277"/>
      <c r="GG59" s="277"/>
      <c r="GH59" s="278"/>
      <c r="GI59" s="276"/>
      <c r="GJ59" s="277"/>
      <c r="GK59" s="277"/>
      <c r="GL59" s="277"/>
      <c r="GM59" s="278"/>
      <c r="GN59" s="276"/>
      <c r="GO59" s="277"/>
      <c r="GP59" s="277"/>
      <c r="GQ59" s="277"/>
      <c r="GR59" s="278"/>
    </row>
    <row r="60" spans="1:200" ht="32.1" customHeight="1">
      <c r="A60" s="443"/>
      <c r="B60" s="79" t="str">
        <f>VLOOKUP(1512,Sprachindex!$A:$Z,Info!$O$7,FALSE)</f>
        <v>lfm</v>
      </c>
      <c r="C60" s="78"/>
      <c r="D60" s="78">
        <f>IF(O18=1,AG60,0)</f>
        <v>0</v>
      </c>
      <c r="E60" s="561" t="str">
        <f>VLOOKUP(149,Sprachindex!$A:$Z,Info!$O$7,FALSE)</f>
        <v>Ablaufrohr (DN 60; geschweißt)</v>
      </c>
      <c r="F60" s="562"/>
      <c r="G60" s="562"/>
      <c r="H60" s="562"/>
      <c r="I60" s="562"/>
      <c r="J60" s="627" t="str">
        <f>Formeln_RI_P.10!A240</f>
        <v>60 ⌀ × 3.000 mm</v>
      </c>
      <c r="K60" s="628"/>
      <c r="L60" s="79" t="str">
        <f t="shared" si="1"/>
        <v xml:space="preserve"> </v>
      </c>
      <c r="M60" s="440" t="str">
        <f t="shared" si="2"/>
        <v>lfm</v>
      </c>
      <c r="N60" s="80"/>
      <c r="O60" s="202" t="str">
        <f>IF(ISNUMBER(L60),FT60*L60," ")</f>
        <v xml:space="preserve"> </v>
      </c>
      <c r="R60" s="289"/>
      <c r="S60" s="195"/>
      <c r="T60" s="71"/>
      <c r="U60" s="149" t="e">
        <f t="shared" si="11"/>
        <v>#VALUE!</v>
      </c>
      <c r="V60" s="149">
        <f t="shared" si="12"/>
        <v>0</v>
      </c>
      <c r="W60" s="149" t="str">
        <f>IF($O$18=1,3,"")</f>
        <v/>
      </c>
      <c r="X60" s="149">
        <v>3</v>
      </c>
      <c r="Y60" t="s">
        <v>1012</v>
      </c>
      <c r="Z60" t="s">
        <v>1013</v>
      </c>
      <c r="AA60" t="s">
        <v>1014</v>
      </c>
      <c r="AB60" t="s">
        <v>1015</v>
      </c>
      <c r="AC60" t="s">
        <v>1016</v>
      </c>
      <c r="AD60" t="s">
        <v>1017</v>
      </c>
      <c r="AE60" t="s">
        <v>1018</v>
      </c>
      <c r="AF60"/>
      <c r="AG60" s="61">
        <f t="shared" ref="AG60" si="15">IF($O$16=1,Y60,IF($O$16=2,Z60,IF($O$16=3,AA60,IF($O$16=4,AB60,IF($O$16=5,AC60,IF($O$16=6,AD60,IF($O$16=8,AE60,IF($O$16=10,AF60,0))))))))</f>
        <v>0</v>
      </c>
      <c r="AH60" s="61">
        <v>60</v>
      </c>
      <c r="FE60" s="561" t="str">
        <f>VLOOKUP(149,Sprachindex!$A:$Z,Info!$O$7,FALSE)</f>
        <v>Ablaufrohr (DN 60; geschweißt)</v>
      </c>
      <c r="FF60" s="562"/>
      <c r="FG60" s="562"/>
      <c r="FH60" s="562"/>
      <c r="FI60" s="562"/>
      <c r="FJ60" s="242"/>
      <c r="FK60" s="237"/>
      <c r="FL60" s="243"/>
      <c r="FM60" s="242"/>
      <c r="FN60" s="237"/>
      <c r="FO60" s="246"/>
      <c r="FP60" s="247"/>
      <c r="FQ60" s="111"/>
      <c r="FR60" s="243"/>
      <c r="FS60" s="256"/>
      <c r="FT60" s="271"/>
      <c r="FY60" s="276"/>
      <c r="FZ60" s="277"/>
      <c r="GA60" s="277"/>
      <c r="GB60" s="277"/>
      <c r="GC60" s="278"/>
      <c r="GD60" s="276"/>
      <c r="GE60" s="277"/>
      <c r="GF60" s="277"/>
      <c r="GG60" s="277"/>
      <c r="GH60" s="278"/>
      <c r="GI60" s="276"/>
      <c r="GJ60" s="277"/>
      <c r="GK60" s="277"/>
      <c r="GL60" s="277"/>
      <c r="GM60" s="278"/>
      <c r="GN60" s="276"/>
      <c r="GO60" s="277"/>
      <c r="GP60" s="277"/>
      <c r="GQ60" s="277"/>
      <c r="GR60" s="278"/>
    </row>
    <row r="61" spans="1:200" ht="32.1" customHeight="1" thickBot="1">
      <c r="A61" s="443"/>
      <c r="B61" s="79" t="str">
        <f>VLOOKUP(878,Sprachindex!$A:$Z,Info!$O$7,FALSE)</f>
        <v>Stk.</v>
      </c>
      <c r="C61" s="78"/>
      <c r="D61" s="78">
        <f>IF($O$18=3,AG61,0)</f>
        <v>0</v>
      </c>
      <c r="E61" s="561" t="str">
        <f>VLOOKUP(148,Sprachindex!$A:$Z,Info!$O$7,FALSE)</f>
        <v>Ablaufrohr (1,6 mm; DN 100)</v>
      </c>
      <c r="F61" s="562"/>
      <c r="G61" s="562"/>
      <c r="H61" s="562"/>
      <c r="I61" s="562"/>
      <c r="J61" s="627" t="str">
        <f>Formeln_RI_P.10!A243</f>
        <v>100 ⌀ × 1.450 mm</v>
      </c>
      <c r="K61" s="628"/>
      <c r="L61" s="79" t="str">
        <f t="shared" si="1"/>
        <v xml:space="preserve"> </v>
      </c>
      <c r="M61" s="440" t="str">
        <f t="shared" si="2"/>
        <v>Stk.</v>
      </c>
      <c r="N61" s="80"/>
      <c r="O61" s="202" t="str">
        <f>IF(ISNUMBER(L61),FT61*L61," ")</f>
        <v xml:space="preserve"> </v>
      </c>
      <c r="R61" s="289"/>
      <c r="S61" s="195"/>
      <c r="T61" s="71"/>
      <c r="U61" s="149" t="e">
        <f t="shared" si="11"/>
        <v>#VALUE!</v>
      </c>
      <c r="V61" s="149">
        <f t="shared" si="12"/>
        <v>0</v>
      </c>
      <c r="W61" s="149" t="str">
        <f>IF($O$18=3,1,"")</f>
        <v/>
      </c>
      <c r="X61" s="149">
        <v>1</v>
      </c>
      <c r="Y61" t="s">
        <v>1019</v>
      </c>
      <c r="Z61" t="s">
        <v>1020</v>
      </c>
      <c r="AA61" t="s">
        <v>1021</v>
      </c>
      <c r="AB61" t="s">
        <v>1022</v>
      </c>
      <c r="AC61" t="s">
        <v>1023</v>
      </c>
      <c r="AD61" t="s">
        <v>1024</v>
      </c>
      <c r="AE61" t="s">
        <v>1025</v>
      </c>
      <c r="AF61"/>
      <c r="AG61" s="61">
        <f>IF($O$16=1,Y61,IF($O$16=2,Z61,IF($O$16=3,AA61,IF($O$16=4,AB61,IF($O$16=5,AC61,IF($O$16=6,AD61,IF($O$16=8,AE61,IF($O$16=10,AF61,0))))))))</f>
        <v>0</v>
      </c>
      <c r="AH61" s="61"/>
      <c r="FE61" s="561" t="str">
        <f>VLOOKUP(148,Sprachindex!$A:$Z,Info!$O$7,FALSE)</f>
        <v>Ablaufrohr (1,6 mm; DN 100)</v>
      </c>
      <c r="FF61" s="562"/>
      <c r="FG61" s="562"/>
      <c r="FH61" s="562"/>
      <c r="FI61" s="562"/>
      <c r="FJ61" s="295"/>
      <c r="FK61" s="296"/>
      <c r="FL61" s="297"/>
      <c r="FM61" s="242"/>
      <c r="FN61" s="237"/>
      <c r="FO61" s="246"/>
      <c r="FP61" s="247"/>
      <c r="FQ61" s="111"/>
      <c r="FR61" s="243"/>
      <c r="FS61" s="256"/>
      <c r="FT61" s="271" t="str">
        <f>IF(O18=3,GA61," ")</f>
        <v xml:space="preserve"> </v>
      </c>
      <c r="FY61" s="276"/>
      <c r="FZ61" s="277"/>
      <c r="GA61" s="236">
        <v>170</v>
      </c>
      <c r="GB61" s="277"/>
      <c r="GC61" s="278"/>
      <c r="GD61" s="276"/>
      <c r="GE61" s="277"/>
      <c r="GF61" s="277"/>
      <c r="GG61" s="277"/>
      <c r="GH61" s="278"/>
      <c r="GI61" s="276"/>
      <c r="GJ61" s="277"/>
      <c r="GK61" s="277"/>
      <c r="GL61" s="277"/>
      <c r="GM61" s="278"/>
      <c r="GN61" s="276"/>
      <c r="GO61" s="277"/>
      <c r="GP61" s="277"/>
      <c r="GQ61" s="277"/>
      <c r="GR61" s="278"/>
    </row>
    <row r="62" spans="1:200" ht="32.1" customHeight="1" thickBot="1">
      <c r="A62" s="109"/>
      <c r="B62" s="79" t="str">
        <f>VLOOKUP(878,Sprachindex!$A:$Z,Info!$O$7,FALSE)</f>
        <v>Stk.</v>
      </c>
      <c r="C62" s="78"/>
      <c r="D62" s="78">
        <f>IF($O$18=1,AG62,IF($O$18=2,AQ62,IF($O$18=3,BA62,IF($O$18=4,BK62,IF($O$18=5,BU62,0)))))</f>
        <v>0</v>
      </c>
      <c r="E62" s="561" t="str">
        <f>VLOOKUP(742,Sprachindex!$A:$Z,Info!$O$7,FALSE)</f>
        <v>Rohrschelle (mit M10 Gewinde; ohne Dorn)</v>
      </c>
      <c r="F62" s="562"/>
      <c r="G62" s="562"/>
      <c r="H62" s="562"/>
      <c r="I62" s="562"/>
      <c r="J62" s="627" t="str">
        <f>Formeln_RI_P.10!A225</f>
        <v/>
      </c>
      <c r="K62" s="628"/>
      <c r="L62" s="79" t="str">
        <f t="shared" si="1"/>
        <v xml:space="preserve"> </v>
      </c>
      <c r="M62" s="440" t="str">
        <f t="shared" si="2"/>
        <v>Stk.</v>
      </c>
      <c r="N62" s="80"/>
      <c r="O62" s="226" t="str">
        <f t="shared" si="4"/>
        <v xml:space="preserve"> </v>
      </c>
      <c r="R62" s="289"/>
      <c r="S62" s="195"/>
      <c r="T62" s="71"/>
      <c r="U62" s="149" t="e">
        <f t="shared" si="11"/>
        <v>#VALUE!</v>
      </c>
      <c r="V62" s="149">
        <f t="shared" si="12"/>
        <v>0</v>
      </c>
      <c r="W62" s="149" t="str">
        <f>IF($O$18=1,6,IF($O$18=2,25,IF($O$18=3,25,IF($O$18=4,25,IF($O$18=5,15,"")))))</f>
        <v/>
      </c>
      <c r="X62" s="149">
        <v>1</v>
      </c>
      <c r="Y62" t="s">
        <v>1026</v>
      </c>
      <c r="Z62" t="s">
        <v>1027</v>
      </c>
      <c r="AA62" t="s">
        <v>1028</v>
      </c>
      <c r="AB62" t="s">
        <v>1029</v>
      </c>
      <c r="AC62" t="s">
        <v>1030</v>
      </c>
      <c r="AD62" t="s">
        <v>1031</v>
      </c>
      <c r="AE62" t="s">
        <v>1032</v>
      </c>
      <c r="AF62"/>
      <c r="AG62" s="61">
        <f>IF($O$16=1,Y62,IF($O$16=2,Z62,IF($O$16=3,AA62,IF($O$16=4,AB62,IF($O$16=5,AC62,IF($O$16=6,AD62,IF($O$16=8,AE62,IF($O$16=10,AF62,0))))))))</f>
        <v>0</v>
      </c>
      <c r="AH62" s="61">
        <v>60</v>
      </c>
      <c r="AI62" t="s">
        <v>1033</v>
      </c>
      <c r="AJ62" t="s">
        <v>1034</v>
      </c>
      <c r="AK62" t="s">
        <v>1035</v>
      </c>
      <c r="AL62" t="s">
        <v>1036</v>
      </c>
      <c r="AM62" t="s">
        <v>1037</v>
      </c>
      <c r="AN62" t="s">
        <v>1038</v>
      </c>
      <c r="AO62" t="s">
        <v>1039</v>
      </c>
      <c r="AP62"/>
      <c r="AQ62" s="61">
        <f t="shared" ref="AQ62" si="16">IF($O$16=1,AI62,IF($O$16=2,AJ62,IF($O$16=3,AK62,IF($O$16=4,AL62,IF($O$16=5,AM62,IF($O$16=6,AN62,IF($O$16=8,AO62,IF($O$16=10,AP62,0))))))))</f>
        <v>0</v>
      </c>
      <c r="AR62" s="61">
        <v>80</v>
      </c>
      <c r="AS62" t="s">
        <v>1040</v>
      </c>
      <c r="AT62" t="s">
        <v>1041</v>
      </c>
      <c r="AU62" t="s">
        <v>1042</v>
      </c>
      <c r="AV62" t="s">
        <v>1043</v>
      </c>
      <c r="AW62" t="s">
        <v>1044</v>
      </c>
      <c r="AX62" t="s">
        <v>1045</v>
      </c>
      <c r="AY62" t="s">
        <v>1046</v>
      </c>
      <c r="AZ62">
        <v>529631</v>
      </c>
      <c r="BA62" s="61">
        <f>IF($O$16=1,AS62,IF($O$16=2,AT62,IF($O$16=3,AU62,IF($O$16=4,AV62,IF($O$16=5,AW62,IF($O$16=6,AX62,IF($O$16=8,AY62,IF($O$16=10,AZ62,0))))))))</f>
        <v>0</v>
      </c>
      <c r="BB62" s="61">
        <v>100</v>
      </c>
      <c r="BC62" t="s">
        <v>1047</v>
      </c>
      <c r="BD62" t="s">
        <v>1048</v>
      </c>
      <c r="BE62" t="s">
        <v>1049</v>
      </c>
      <c r="BF62" t="s">
        <v>1050</v>
      </c>
      <c r="BG62" t="s">
        <v>1051</v>
      </c>
      <c r="BH62" t="s">
        <v>1052</v>
      </c>
      <c r="BI62" t="s">
        <v>1053</v>
      </c>
      <c r="BJ62"/>
      <c r="BK62" s="61">
        <f>IF($O$16=1,BC62,IF($O$16=2,BD62,IF($O$16=3,BE62,IF($O$16=4,BF62,IF($O$16=5,BG62,IF($O$16=6,BH62,IF($O$16=8,BI62,IF($O$16=10,BJ62,0))))))))</f>
        <v>0</v>
      </c>
      <c r="BL62" s="61">
        <v>120</v>
      </c>
      <c r="BM62" s="188">
        <v>203001</v>
      </c>
      <c r="BN62" s="188">
        <v>203000</v>
      </c>
      <c r="BO62">
        <v>203004</v>
      </c>
      <c r="BP62" s="188">
        <v>203002</v>
      </c>
      <c r="BQ62">
        <v>203005</v>
      </c>
      <c r="BR62">
        <v>203006</v>
      </c>
      <c r="BS62">
        <v>203003</v>
      </c>
      <c r="BT62"/>
      <c r="BU62" s="61">
        <f>IF($O$16=1,BM62,IF($O$16=2,BN62,IF($O$16=3,BO62,IF($O$16=4,BP62,IF($O$16=5,BQ62,IF($O$16=6,BR62,IF($O$16=8,BS62,IF($O$16=10,BT62,0))))))))</f>
        <v>0</v>
      </c>
      <c r="BV62" s="61">
        <v>150</v>
      </c>
      <c r="FE62" s="561" t="str">
        <f>VLOOKUP(742,Sprachindex!$A:$Z,Info!$O$7,FALSE)</f>
        <v>Rohrschelle (mit M10 Gewinde; ohne Dorn)</v>
      </c>
      <c r="FF62" s="562"/>
      <c r="FG62" s="562"/>
      <c r="FH62" s="562"/>
      <c r="FI62" s="562"/>
      <c r="FJ62" s="645" t="s">
        <v>1054</v>
      </c>
      <c r="FK62" s="646"/>
      <c r="FL62" s="647"/>
      <c r="FM62" s="645" t="s">
        <v>1055</v>
      </c>
      <c r="FN62" s="646"/>
      <c r="FO62" s="647"/>
      <c r="FP62" s="645" t="s">
        <v>1056</v>
      </c>
      <c r="FQ62" s="646"/>
      <c r="FR62" s="647"/>
      <c r="FS62" s="256"/>
      <c r="FT62" s="271" t="str">
        <f>IF(O18=1,FY62,IF(O18=2,FZ62,IF(O18=3,GA62,IF(O18=4,GB62,IF(O18=5,GC62," ")))))</f>
        <v xml:space="preserve"> </v>
      </c>
      <c r="FY62" s="300">
        <v>7.99</v>
      </c>
      <c r="FZ62" s="301">
        <v>7.14</v>
      </c>
      <c r="GA62" s="301">
        <v>7.58</v>
      </c>
      <c r="GB62" s="301">
        <v>8.6199999999999992</v>
      </c>
      <c r="GC62" s="302">
        <v>12.11</v>
      </c>
      <c r="GD62" s="303"/>
      <c r="GE62" s="277"/>
      <c r="GF62" s="277"/>
      <c r="GG62" s="277"/>
      <c r="GH62" s="278"/>
      <c r="GI62" s="276"/>
      <c r="GJ62" s="277"/>
      <c r="GK62" s="277"/>
      <c r="GL62" s="277"/>
      <c r="GM62" s="278"/>
      <c r="GN62" s="276"/>
      <c r="GO62" s="277"/>
      <c r="GP62" s="277"/>
      <c r="GQ62" s="277"/>
      <c r="GR62" s="278"/>
    </row>
    <row r="63" spans="1:200" ht="32.1" customHeight="1" thickBot="1">
      <c r="A63" s="109"/>
      <c r="B63" s="79" t="str">
        <f>VLOOKUP(878,Sprachindex!$A:$Z,Info!$O$7,FALSE)</f>
        <v>Stk.</v>
      </c>
      <c r="C63" s="78"/>
      <c r="D63" s="78">
        <f>IF(J63=Formeln_RI_P.10!B146,345030,IF(J63=Formeln_RI_P.10!B147,345031,IF(J63=Formeln_RI_P.10!B148,345032,IF(J63=Formeln_RI_P.10!B145,345033,0))))</f>
        <v>0</v>
      </c>
      <c r="E63" s="561" t="str">
        <f>VLOOKUP(744,Sprachindex!$A:$Z,Info!$O$7,FALSE)</f>
        <v>Rohrschellendorn für WDVS-Rohrschellendübel ⌀ 10</v>
      </c>
      <c r="F63" s="562"/>
      <c r="G63" s="562"/>
      <c r="H63" s="562"/>
      <c r="I63" s="84" t="str">
        <f>VLOOKUP(556,Sprachindex!$A:$Z,Info!$O$7,FALSE)</f>
        <v>Länge wählen:</v>
      </c>
      <c r="J63" s="614"/>
      <c r="K63" s="630"/>
      <c r="L63" s="79" t="str">
        <f>IF(OR(A63="",W63="",X63="")," ",IF($O$11=1,U63,IF($O$11=2,V63,0)))</f>
        <v xml:space="preserve"> </v>
      </c>
      <c r="M63" s="440" t="str">
        <f t="shared" si="2"/>
        <v>Stk.</v>
      </c>
      <c r="N63" s="80"/>
      <c r="O63" s="202" t="str">
        <f t="shared" ref="O63:O93" si="17">IF(ISNUMBER(A63),FT63*L63," ")</f>
        <v xml:space="preserve"> </v>
      </c>
      <c r="R63" s="289"/>
      <c r="S63" s="195"/>
      <c r="T63" s="71"/>
      <c r="U63" s="149">
        <f t="shared" si="11"/>
        <v>0</v>
      </c>
      <c r="V63" s="149">
        <f t="shared" si="12"/>
        <v>0</v>
      </c>
      <c r="W63" s="149">
        <v>25</v>
      </c>
      <c r="X63" s="149">
        <v>1</v>
      </c>
      <c r="FE63" s="561" t="str">
        <f>VLOOKUP(744,Sprachindex!$A:$Z,Info!$O$7,FALSE)</f>
        <v>Rohrschellendorn für WDVS-Rohrschellendübel ⌀ 10</v>
      </c>
      <c r="FF63" s="562"/>
      <c r="FG63" s="562"/>
      <c r="FH63" s="562"/>
      <c r="FI63" s="84" t="str">
        <f>VLOOKUP(556,Sprachindex!$A:$Z,Info!$O$7,FALSE)</f>
        <v>Länge wählen:</v>
      </c>
      <c r="FJ63" s="648">
        <v>1.62</v>
      </c>
      <c r="FK63" s="649"/>
      <c r="FL63" s="650"/>
      <c r="FM63" s="648">
        <v>1.98</v>
      </c>
      <c r="FN63" s="649"/>
      <c r="FO63" s="650"/>
      <c r="FP63" s="648">
        <v>4.21</v>
      </c>
      <c r="FQ63" s="649"/>
      <c r="FR63" s="650"/>
      <c r="FS63" s="256"/>
      <c r="FT63" s="271" t="str">
        <f>IF(J63=FJ62,FJ63,IF(J63=FM62,FM63,IF(J63=FP62,FP63," ")))</f>
        <v xml:space="preserve"> </v>
      </c>
      <c r="FY63" s="660" t="s">
        <v>1057</v>
      </c>
      <c r="FZ63" s="651"/>
      <c r="GA63" s="651" t="s">
        <v>1058</v>
      </c>
      <c r="GB63" s="651"/>
      <c r="GC63" s="651" t="s">
        <v>1059</v>
      </c>
      <c r="GD63" s="652"/>
      <c r="GE63" s="299"/>
      <c r="GF63" s="277"/>
      <c r="GG63" s="277"/>
      <c r="GH63" s="278"/>
      <c r="GI63" s="276"/>
      <c r="GJ63" s="277"/>
      <c r="GK63" s="277"/>
      <c r="GL63" s="277"/>
      <c r="GM63" s="278"/>
      <c r="GN63" s="276"/>
      <c r="GO63" s="277"/>
      <c r="GP63" s="277"/>
      <c r="GQ63" s="277"/>
      <c r="GR63" s="278"/>
    </row>
    <row r="64" spans="1:200" ht="32.1" customHeight="1" thickBot="1">
      <c r="A64" s="109"/>
      <c r="B64" s="79" t="str">
        <f>VLOOKUP(878,Sprachindex!$A:$Z,Info!$O$7,FALSE)</f>
        <v>Stk.</v>
      </c>
      <c r="C64" s="78"/>
      <c r="D64" s="78">
        <f>IF(J64=Formeln_RI_P.10!A273,345040,IF(J64=Formeln_RI_P.10!A274,345041,IF(J64=Formeln_RI_P.10!A275,345042,0)))</f>
        <v>0</v>
      </c>
      <c r="E64" s="561" t="str">
        <f>VLOOKUP(745,Sprachindex!$A:$Z,Info!$O$7,FALSE)</f>
        <v>WDVS-Rohrschellendübel ⌀ 10</v>
      </c>
      <c r="F64" s="562"/>
      <c r="G64" s="562"/>
      <c r="H64" s="562"/>
      <c r="I64" s="84" t="str">
        <f>VLOOKUP(556,Sprachindex!$A:$Z,Info!$O$7,FALSE)</f>
        <v>Länge wählen:</v>
      </c>
      <c r="J64" s="614"/>
      <c r="K64" s="630"/>
      <c r="L64" s="79" t="str">
        <f t="shared" si="1"/>
        <v xml:space="preserve"> </v>
      </c>
      <c r="M64" s="440" t="str">
        <f t="shared" si="2"/>
        <v>Stk.</v>
      </c>
      <c r="N64" s="80"/>
      <c r="O64" s="202" t="str">
        <f t="shared" si="17"/>
        <v xml:space="preserve"> </v>
      </c>
      <c r="R64" s="289"/>
      <c r="S64" s="195"/>
      <c r="T64" s="71"/>
      <c r="U64" s="149" t="e">
        <f t="shared" si="11"/>
        <v>#VALUE!</v>
      </c>
      <c r="V64" s="149">
        <f t="shared" si="12"/>
        <v>0</v>
      </c>
      <c r="W64" s="149" t="str">
        <f>IF(J64=Formeln_RI_P.10!$A$272,"",25)</f>
        <v/>
      </c>
      <c r="X64" s="149">
        <v>1</v>
      </c>
      <c r="FE64" s="561" t="str">
        <f>VLOOKUP(745,Sprachindex!$A:$Z,Info!$O$7,FALSE)</f>
        <v>WDVS-Rohrschellendübel ⌀ 10</v>
      </c>
      <c r="FF64" s="562"/>
      <c r="FG64" s="562"/>
      <c r="FH64" s="562"/>
      <c r="FI64" s="84" t="str">
        <f>VLOOKUP(556,Sprachindex!$A:$Z,Info!$O$7,FALSE)</f>
        <v>Länge wählen:</v>
      </c>
      <c r="FJ64" s="263"/>
      <c r="FK64" s="298"/>
      <c r="FL64" s="265"/>
      <c r="FM64" s="242"/>
      <c r="FN64" s="237"/>
      <c r="FO64" s="246"/>
      <c r="FP64" s="247"/>
      <c r="FQ64" s="111"/>
      <c r="FR64" s="243"/>
      <c r="FS64" s="256"/>
      <c r="FT64" s="271" t="str">
        <f>IF(J64=FY63,FY64,IF(J64=GA63,GA64,IF(J64=GC63,GC64," ")))</f>
        <v xml:space="preserve"> </v>
      </c>
      <c r="FY64" s="653">
        <v>1.1599999999999999</v>
      </c>
      <c r="FZ64" s="654"/>
      <c r="GA64" s="654">
        <v>1.35</v>
      </c>
      <c r="GB64" s="654"/>
      <c r="GC64" s="654">
        <v>1.55</v>
      </c>
      <c r="GD64" s="655"/>
      <c r="GE64" s="299"/>
      <c r="GF64" s="277"/>
      <c r="GG64" s="277"/>
      <c r="GH64" s="278"/>
      <c r="GI64" s="276"/>
      <c r="GJ64" s="277"/>
      <c r="GK64" s="277"/>
      <c r="GL64" s="277"/>
      <c r="GM64" s="278"/>
      <c r="GN64" s="276"/>
      <c r="GO64" s="277"/>
      <c r="GP64" s="277"/>
      <c r="GQ64" s="277"/>
      <c r="GR64" s="278"/>
    </row>
    <row r="65" spans="1:200" ht="32.1" customHeight="1">
      <c r="A65" s="109"/>
      <c r="B65" s="79" t="str">
        <f>VLOOKUP(878,Sprachindex!$A:$Z,Info!$O$7,FALSE)</f>
        <v>Stk.</v>
      </c>
      <c r="C65" s="78"/>
      <c r="D65" s="78">
        <v>345015</v>
      </c>
      <c r="E65" s="561" t="str">
        <f>VLOOKUP(587,Sprachindex!$A:$Z,Info!$O$7,FALSE)</f>
        <v>M10-Gewindedorn</v>
      </c>
      <c r="F65" s="562"/>
      <c r="G65" s="562"/>
      <c r="H65" s="562"/>
      <c r="I65" s="562"/>
      <c r="J65" s="627" t="str">
        <f>VLOOKUP(64,Sprachindex!$A:$Z,Info!$O$7,FALSE)</f>
        <v>195 mm lang</v>
      </c>
      <c r="K65" s="628"/>
      <c r="L65" s="79" t="str">
        <f t="shared" si="1"/>
        <v xml:space="preserve"> </v>
      </c>
      <c r="M65" s="440" t="str">
        <f t="shared" si="2"/>
        <v>Stk.</v>
      </c>
      <c r="N65" s="80"/>
      <c r="O65" s="202" t="str">
        <f t="shared" si="17"/>
        <v xml:space="preserve"> </v>
      </c>
      <c r="R65" s="289"/>
      <c r="S65" s="195"/>
      <c r="T65" s="71"/>
      <c r="U65" s="149">
        <f t="shared" si="11"/>
        <v>0</v>
      </c>
      <c r="V65" s="149">
        <f t="shared" si="12"/>
        <v>0</v>
      </c>
      <c r="W65" s="149">
        <v>100</v>
      </c>
      <c r="X65" s="149">
        <v>1</v>
      </c>
      <c r="FE65" s="561" t="str">
        <f>VLOOKUP(587,Sprachindex!$A:$Z,Info!$O$7,FALSE)</f>
        <v>M10-Gewindedorn</v>
      </c>
      <c r="FF65" s="562"/>
      <c r="FG65" s="562"/>
      <c r="FH65" s="562"/>
      <c r="FI65" s="562"/>
      <c r="FJ65" s="260">
        <v>3.2</v>
      </c>
      <c r="FK65" s="237"/>
      <c r="FL65" s="243"/>
      <c r="FM65" s="242"/>
      <c r="FN65" s="304"/>
      <c r="FO65" s="246"/>
      <c r="FP65" s="247"/>
      <c r="FQ65" s="111"/>
      <c r="FR65" s="243"/>
      <c r="FS65" s="256"/>
      <c r="FT65" s="271">
        <f>FJ65</f>
        <v>3.2</v>
      </c>
      <c r="FY65" s="279"/>
      <c r="FZ65" s="280"/>
      <c r="GA65" s="280"/>
      <c r="GB65" s="280"/>
      <c r="GC65" s="283"/>
      <c r="GD65" s="279"/>
      <c r="GE65" s="277"/>
      <c r="GF65" s="277"/>
      <c r="GG65" s="277"/>
      <c r="GH65" s="278"/>
      <c r="GI65" s="276"/>
      <c r="GJ65" s="277"/>
      <c r="GK65" s="277"/>
      <c r="GL65" s="277"/>
      <c r="GM65" s="278"/>
      <c r="GN65" s="276"/>
      <c r="GO65" s="277"/>
      <c r="GP65" s="277"/>
      <c r="GQ65" s="277"/>
      <c r="GR65" s="278"/>
    </row>
    <row r="66" spans="1:200" ht="32.1" customHeight="1">
      <c r="A66" s="109"/>
      <c r="B66" s="79" t="str">
        <f>VLOOKUP(878,Sprachindex!$A:$Z,Info!$O$7,FALSE)</f>
        <v>Stk.</v>
      </c>
      <c r="C66" s="78"/>
      <c r="D66" s="78">
        <f>IF(J66=Formeln_RI_P.10!A152,420305,IF(J66=Formeln_RI_P.10!A153,420306,0))</f>
        <v>0</v>
      </c>
      <c r="E66" s="561" t="str">
        <f>VLOOKUP(746,Sprachindex!$A:$Z,Info!$O$7,FALSE)</f>
        <v>Rohrschellenhalter für WDVS</v>
      </c>
      <c r="F66" s="562"/>
      <c r="G66" s="562"/>
      <c r="H66" s="562"/>
      <c r="I66" s="84" t="str">
        <f>VLOOKUP(556,Sprachindex!$A:$Z,Info!$O$7,FALSE)</f>
        <v>Länge wählen:</v>
      </c>
      <c r="J66" s="614"/>
      <c r="K66" s="630"/>
      <c r="L66" s="79" t="str">
        <f t="shared" si="1"/>
        <v xml:space="preserve"> </v>
      </c>
      <c r="M66" s="440" t="str">
        <f t="shared" si="2"/>
        <v>Stk.</v>
      </c>
      <c r="N66" s="80"/>
      <c r="O66" s="202" t="str">
        <f t="shared" si="17"/>
        <v xml:space="preserve"> </v>
      </c>
      <c r="R66" s="289"/>
      <c r="S66" s="195"/>
      <c r="T66" s="71"/>
      <c r="U66" s="149" t="e">
        <f t="shared" si="11"/>
        <v>#VALUE!</v>
      </c>
      <c r="V66" s="149">
        <f t="shared" si="12"/>
        <v>0</v>
      </c>
      <c r="W66" s="149" t="str">
        <f>IF(J66=Formeln_RI_P.10!$A$151,"",4)</f>
        <v/>
      </c>
      <c r="X66" s="149">
        <v>1</v>
      </c>
      <c r="Y66" s="47" t="s">
        <v>108</v>
      </c>
      <c r="Z66" s="47" t="s">
        <v>422</v>
      </c>
      <c r="AA66" s="47" t="s">
        <v>110</v>
      </c>
      <c r="AB66" s="47" t="s">
        <v>113</v>
      </c>
      <c r="AC66" s="47" t="s">
        <v>118</v>
      </c>
      <c r="AD66" s="47" t="s">
        <v>115</v>
      </c>
      <c r="AE66" s="47" t="s">
        <v>423</v>
      </c>
      <c r="AF66" s="47" t="s">
        <v>424</v>
      </c>
      <c r="AG66" s="47"/>
      <c r="AH66" s="61"/>
      <c r="AI66" s="47" t="s">
        <v>108</v>
      </c>
      <c r="AJ66" s="47" t="s">
        <v>422</v>
      </c>
      <c r="AK66" s="47" t="s">
        <v>110</v>
      </c>
      <c r="AL66" s="47" t="s">
        <v>113</v>
      </c>
      <c r="AM66" s="47" t="s">
        <v>118</v>
      </c>
      <c r="AN66" s="47" t="s">
        <v>115</v>
      </c>
      <c r="AO66" s="47" t="s">
        <v>423</v>
      </c>
      <c r="AP66" s="47" t="s">
        <v>424</v>
      </c>
      <c r="AQ66" s="47"/>
      <c r="AR66" s="61"/>
      <c r="AS66" s="47" t="s">
        <v>108</v>
      </c>
      <c r="AT66" s="47" t="s">
        <v>422</v>
      </c>
      <c r="AU66" s="47" t="s">
        <v>110</v>
      </c>
      <c r="AV66" s="47" t="s">
        <v>113</v>
      </c>
      <c r="AW66" s="47" t="s">
        <v>118</v>
      </c>
      <c r="AX66" s="47" t="s">
        <v>115</v>
      </c>
      <c r="AY66" s="47" t="s">
        <v>423</v>
      </c>
      <c r="AZ66" s="47" t="s">
        <v>424</v>
      </c>
      <c r="BA66" s="47"/>
      <c r="BB66" s="61"/>
      <c r="BC66" s="47" t="s">
        <v>108</v>
      </c>
      <c r="BD66" s="47" t="s">
        <v>422</v>
      </c>
      <c r="BE66" s="47" t="s">
        <v>110</v>
      </c>
      <c r="BF66" s="47" t="s">
        <v>113</v>
      </c>
      <c r="BG66" s="47" t="s">
        <v>118</v>
      </c>
      <c r="BH66" s="47" t="s">
        <v>115</v>
      </c>
      <c r="BI66" s="47" t="s">
        <v>423</v>
      </c>
      <c r="BJ66" s="47" t="s">
        <v>424</v>
      </c>
      <c r="BK66" s="47"/>
      <c r="BL66" s="61"/>
      <c r="BM66" s="47" t="s">
        <v>108</v>
      </c>
      <c r="BN66" s="47" t="s">
        <v>422</v>
      </c>
      <c r="BO66" s="47" t="s">
        <v>110</v>
      </c>
      <c r="BP66" s="47" t="s">
        <v>113</v>
      </c>
      <c r="BQ66" s="47" t="s">
        <v>118</v>
      </c>
      <c r="BR66" s="47" t="s">
        <v>115</v>
      </c>
      <c r="BS66" s="47" t="s">
        <v>423</v>
      </c>
      <c r="BT66" s="47" t="s">
        <v>424</v>
      </c>
      <c r="BU66" s="47"/>
      <c r="BV66" s="61"/>
      <c r="BW66" s="47" t="s">
        <v>108</v>
      </c>
      <c r="BX66" s="47" t="s">
        <v>422</v>
      </c>
      <c r="BY66" s="47" t="s">
        <v>110</v>
      </c>
      <c r="BZ66" s="47" t="s">
        <v>113</v>
      </c>
      <c r="CA66" s="47" t="s">
        <v>118</v>
      </c>
      <c r="CB66" s="47" t="s">
        <v>115</v>
      </c>
      <c r="CC66" s="47" t="s">
        <v>423</v>
      </c>
      <c r="CD66" s="47" t="s">
        <v>424</v>
      </c>
      <c r="CE66" s="47"/>
      <c r="CF66" s="61"/>
      <c r="CG66" s="159" t="s">
        <v>108</v>
      </c>
      <c r="CH66" s="47" t="s">
        <v>422</v>
      </c>
      <c r="CI66" s="47" t="s">
        <v>110</v>
      </c>
      <c r="CJ66" s="47" t="s">
        <v>113</v>
      </c>
      <c r="CK66" s="47" t="s">
        <v>118</v>
      </c>
      <c r="CL66" s="47" t="s">
        <v>115</v>
      </c>
      <c r="CM66" s="47" t="s">
        <v>423</v>
      </c>
      <c r="CN66" s="47"/>
      <c r="CO66" s="47"/>
      <c r="CP66" s="61"/>
      <c r="CQ66" s="47" t="s">
        <v>108</v>
      </c>
      <c r="CR66" s="47" t="s">
        <v>422</v>
      </c>
      <c r="CS66" s="47" t="s">
        <v>110</v>
      </c>
      <c r="CT66" s="47" t="s">
        <v>113</v>
      </c>
      <c r="CU66" s="47" t="s">
        <v>118</v>
      </c>
      <c r="CV66" s="47" t="s">
        <v>115</v>
      </c>
      <c r="CW66" s="47" t="s">
        <v>423</v>
      </c>
      <c r="CX66" s="47" t="s">
        <v>424</v>
      </c>
      <c r="CY66" s="47"/>
      <c r="CZ66" s="61"/>
      <c r="DA66" s="47" t="s">
        <v>108</v>
      </c>
      <c r="DB66" s="47" t="s">
        <v>422</v>
      </c>
      <c r="DC66" s="47" t="s">
        <v>110</v>
      </c>
      <c r="DD66" s="47" t="s">
        <v>113</v>
      </c>
      <c r="DE66" s="47" t="s">
        <v>118</v>
      </c>
      <c r="DF66" s="47" t="s">
        <v>115</v>
      </c>
      <c r="DG66" s="47" t="s">
        <v>423</v>
      </c>
      <c r="DH66" s="47" t="s">
        <v>424</v>
      </c>
      <c r="DI66" s="47"/>
      <c r="DJ66" s="61"/>
      <c r="FE66" s="561" t="str">
        <f>VLOOKUP(746,Sprachindex!$A:$Z,Info!$O$7,FALSE)</f>
        <v>Rohrschellenhalter für WDVS</v>
      </c>
      <c r="FF66" s="562"/>
      <c r="FG66" s="562"/>
      <c r="FH66" s="562"/>
      <c r="FI66" s="84" t="str">
        <f>VLOOKUP(556,Sprachindex!$A:$Z,Info!$O$7,FALSE)</f>
        <v>Länge wählen:</v>
      </c>
      <c r="FJ66" s="656" t="s">
        <v>1060</v>
      </c>
      <c r="FK66" s="657"/>
      <c r="FL66" s="305" t="s">
        <v>1061</v>
      </c>
      <c r="FM66" s="307">
        <v>19.53</v>
      </c>
      <c r="FN66" s="306"/>
      <c r="FO66" s="246"/>
      <c r="FP66" s="658" t="s">
        <v>1062</v>
      </c>
      <c r="FQ66" s="659"/>
      <c r="FR66" s="305" t="s">
        <v>1061</v>
      </c>
      <c r="FS66" s="305">
        <v>20.86</v>
      </c>
      <c r="FT66" s="271" t="str">
        <f>IF(J66=FJ66,FM66,IF(J66=FP66,FS66," "))</f>
        <v xml:space="preserve"> </v>
      </c>
      <c r="FY66" s="276"/>
      <c r="FZ66" s="277"/>
      <c r="GA66" s="277"/>
      <c r="GB66" s="277"/>
      <c r="GC66" s="278"/>
      <c r="GD66" s="276"/>
      <c r="GE66" s="277"/>
      <c r="GF66" s="277"/>
      <c r="GG66" s="277"/>
      <c r="GH66" s="278"/>
      <c r="GI66" s="276"/>
      <c r="GJ66" s="277"/>
      <c r="GK66" s="277"/>
      <c r="GL66" s="277"/>
      <c r="GM66" s="278"/>
      <c r="GN66" s="276"/>
      <c r="GO66" s="277"/>
      <c r="GP66" s="277"/>
      <c r="GQ66" s="277"/>
      <c r="GR66" s="278"/>
    </row>
    <row r="67" spans="1:200" ht="32.1" customHeight="1">
      <c r="A67" s="109"/>
      <c r="B67" s="79" t="str">
        <f>VLOOKUP(878,Sprachindex!$A:$Z,Info!$O$7,FALSE)</f>
        <v>Stk.</v>
      </c>
      <c r="C67" s="78"/>
      <c r="D67" s="78">
        <f>AG67</f>
        <v>0</v>
      </c>
      <c r="E67" s="561" t="str">
        <f>VLOOKUP(1001,Sprachindex!$A:$Z,Info!$O$7,FALSE)</f>
        <v>Wandmontageplatte</v>
      </c>
      <c r="F67" s="562"/>
      <c r="G67" s="562"/>
      <c r="H67" s="562"/>
      <c r="I67" s="562"/>
      <c r="J67" s="627"/>
      <c r="K67" s="628"/>
      <c r="L67" s="79" t="str">
        <f t="shared" si="1"/>
        <v xml:space="preserve"> </v>
      </c>
      <c r="M67" s="440" t="str">
        <f t="shared" si="2"/>
        <v>Stk.</v>
      </c>
      <c r="N67" s="80"/>
      <c r="O67" s="202" t="str">
        <f t="shared" si="17"/>
        <v xml:space="preserve"> </v>
      </c>
      <c r="R67" s="289"/>
      <c r="S67" s="195"/>
      <c r="T67" s="71"/>
      <c r="U67" s="149">
        <f t="shared" si="11"/>
        <v>0</v>
      </c>
      <c r="V67" s="149">
        <f t="shared" si="12"/>
        <v>0</v>
      </c>
      <c r="W67" s="149">
        <v>10</v>
      </c>
      <c r="X67" s="149">
        <v>1</v>
      </c>
      <c r="Y67" t="s">
        <v>1063</v>
      </c>
      <c r="Z67" t="s">
        <v>1064</v>
      </c>
      <c r="AA67">
        <v>202904</v>
      </c>
      <c r="AB67" t="s">
        <v>1065</v>
      </c>
      <c r="AC67" t="s">
        <v>1066</v>
      </c>
      <c r="AD67" t="s">
        <v>1067</v>
      </c>
      <c r="AE67" t="s">
        <v>1068</v>
      </c>
      <c r="AF67">
        <v>529311</v>
      </c>
      <c r="AG67" s="61">
        <f>IF($O$16=1,Y67,IF($O$16=2,Z67,IF($O$16=3,AA67,IF($O$16=4,AB67,IF($O$16=5,AC67,IF($O$16=6,AD67,IF($O$16=8,AE67,IF($O$16=10,AF67,0))))))))</f>
        <v>0</v>
      </c>
      <c r="AH67" s="61"/>
      <c r="FE67" s="561" t="str">
        <f>VLOOKUP(1001,Sprachindex!$A:$Z,Info!$O$7,FALSE)</f>
        <v>Wandmontageplatte</v>
      </c>
      <c r="FF67" s="562"/>
      <c r="FG67" s="562"/>
      <c r="FH67" s="562"/>
      <c r="FI67" s="562"/>
      <c r="FJ67" s="260">
        <v>9.9</v>
      </c>
      <c r="FK67" s="237"/>
      <c r="FL67" s="243"/>
      <c r="FM67" s="242"/>
      <c r="FN67" s="237"/>
      <c r="FO67" s="246"/>
      <c r="FP67" s="247"/>
      <c r="FQ67" s="111"/>
      <c r="FR67" s="243"/>
      <c r="FS67" s="256"/>
      <c r="FT67" s="271">
        <f>FJ67</f>
        <v>9.9</v>
      </c>
      <c r="FY67" s="276"/>
      <c r="FZ67" s="277"/>
      <c r="GA67" s="277"/>
      <c r="GB67" s="277"/>
      <c r="GC67" s="278"/>
      <c r="GD67" s="276"/>
      <c r="GE67" s="277"/>
      <c r="GF67" s="277"/>
      <c r="GG67" s="277"/>
      <c r="GH67" s="278"/>
      <c r="GI67" s="276"/>
      <c r="GJ67" s="277"/>
      <c r="GK67" s="277"/>
      <c r="GL67" s="277"/>
      <c r="GM67" s="278"/>
      <c r="GN67" s="276"/>
      <c r="GO67" s="277"/>
      <c r="GP67" s="277"/>
      <c r="GQ67" s="277"/>
      <c r="GR67" s="278"/>
    </row>
    <row r="68" spans="1:200" ht="32.1" customHeight="1">
      <c r="A68" s="109"/>
      <c r="B68" s="79" t="str">
        <f>VLOOKUP(878,Sprachindex!$A:$Z,Info!$O$7,FALSE)</f>
        <v>Stk.</v>
      </c>
      <c r="C68" s="78"/>
      <c r="D68" s="78">
        <v>529502</v>
      </c>
      <c r="E68" s="561" t="str">
        <f>VLOOKUP(138,Sprachindex!$A:$Z,Info!$O$7,FALSE)</f>
        <v>Abdeckkappe für Rohrschellendorn</v>
      </c>
      <c r="F68" s="562"/>
      <c r="G68" s="562"/>
      <c r="H68" s="562"/>
      <c r="I68" s="562"/>
      <c r="J68" s="627"/>
      <c r="K68" s="628"/>
      <c r="L68" s="79" t="str">
        <f t="shared" si="1"/>
        <v xml:space="preserve"> </v>
      </c>
      <c r="M68" s="440" t="str">
        <f t="shared" si="2"/>
        <v>Stk.</v>
      </c>
      <c r="N68" s="80"/>
      <c r="O68" s="202" t="str">
        <f t="shared" si="17"/>
        <v xml:space="preserve"> </v>
      </c>
      <c r="R68" s="289"/>
      <c r="S68" s="195"/>
      <c r="T68" s="71"/>
      <c r="U68" s="149">
        <f t="shared" si="11"/>
        <v>0</v>
      </c>
      <c r="V68" s="149">
        <f t="shared" si="12"/>
        <v>0</v>
      </c>
      <c r="W68" s="149">
        <v>25</v>
      </c>
      <c r="X68" s="149">
        <v>1</v>
      </c>
      <c r="FE68" s="561" t="str">
        <f>VLOOKUP(138,Sprachindex!$A:$Z,Info!$O$7,FALSE)</f>
        <v>Abdeckkappe für Rohrschellendorn</v>
      </c>
      <c r="FF68" s="562"/>
      <c r="FG68" s="562"/>
      <c r="FH68" s="562"/>
      <c r="FI68" s="562"/>
      <c r="FJ68" s="260">
        <v>0.61</v>
      </c>
      <c r="FK68" s="237"/>
      <c r="FL68" s="243"/>
      <c r="FM68" s="242"/>
      <c r="FN68" s="237"/>
      <c r="FO68" s="246"/>
      <c r="FP68" s="247"/>
      <c r="FQ68" s="111"/>
      <c r="FR68" s="243"/>
      <c r="FS68" s="256"/>
      <c r="FT68" s="271">
        <f>FJ68</f>
        <v>0.61</v>
      </c>
      <c r="FY68" s="276"/>
      <c r="FZ68" s="277"/>
      <c r="GA68" s="277"/>
      <c r="GB68" s="277"/>
      <c r="GC68" s="278"/>
      <c r="GD68" s="276"/>
      <c r="GE68" s="277"/>
      <c r="GF68" s="277"/>
      <c r="GG68" s="277"/>
      <c r="GH68" s="278"/>
      <c r="GI68" s="276"/>
      <c r="GJ68" s="277"/>
      <c r="GK68" s="277"/>
      <c r="GL68" s="277"/>
      <c r="GM68" s="278"/>
      <c r="GN68" s="276"/>
      <c r="GO68" s="277"/>
      <c r="GP68" s="277"/>
      <c r="GQ68" s="277"/>
      <c r="GR68" s="278"/>
    </row>
    <row r="69" spans="1:200" ht="32.1" customHeight="1">
      <c r="A69" s="109"/>
      <c r="B69" s="79" t="str">
        <f>VLOOKUP(878,Sprachindex!$A:$Z,Info!$O$7,FALSE)</f>
        <v>Stk.</v>
      </c>
      <c r="C69" s="78"/>
      <c r="D69" s="78" t="str">
        <f>IF(J69=Formeln_RI_P.10!F187,150053,IF('RI_P.10'!J69=Formeln_RI_P.10!F186,150052,""))</f>
        <v/>
      </c>
      <c r="E69" s="561" t="str">
        <f>VLOOKUP(444,Sprachindex!$A:$Z,Info!$O$7,FALSE)</f>
        <v>Gummidichtung passend für HT/KG</v>
      </c>
      <c r="F69" s="562"/>
      <c r="G69" s="562"/>
      <c r="H69" s="562"/>
      <c r="I69" s="551" t="str">
        <f>VLOOKUP(306,Sprachindex!$A:$Z,Info!$O$7,FALSE)</f>
        <v>Dimension wählen:</v>
      </c>
      <c r="J69" s="614"/>
      <c r="K69" s="615"/>
      <c r="L69" s="79" t="str">
        <f t="shared" si="1"/>
        <v xml:space="preserve"> </v>
      </c>
      <c r="M69" s="440" t="str">
        <f t="shared" si="2"/>
        <v>Stk.</v>
      </c>
      <c r="N69" s="80"/>
      <c r="O69" s="202" t="str">
        <f t="shared" si="17"/>
        <v xml:space="preserve"> </v>
      </c>
      <c r="R69" s="289"/>
      <c r="S69" s="195"/>
      <c r="T69" s="71"/>
      <c r="U69" s="149">
        <f t="shared" si="11"/>
        <v>0</v>
      </c>
      <c r="V69" s="149">
        <f t="shared" si="12"/>
        <v>0</v>
      </c>
      <c r="W69" s="149">
        <v>1</v>
      </c>
      <c r="X69" s="149">
        <v>1</v>
      </c>
      <c r="FE69" s="561" t="str">
        <f>VLOOKUP(444,Sprachindex!$A:$Z,Info!$O$7,FALSE)</f>
        <v>Gummidichtung passend für HT/KG</v>
      </c>
      <c r="FF69" s="562"/>
      <c r="FG69" s="562"/>
      <c r="FH69" s="562"/>
      <c r="FI69" s="562"/>
      <c r="FJ69" s="260">
        <v>6.98</v>
      </c>
      <c r="FK69" s="237"/>
      <c r="FL69" s="243"/>
      <c r="FM69" s="242"/>
      <c r="FN69" s="237"/>
      <c r="FO69" s="246"/>
      <c r="FP69" s="247"/>
      <c r="FQ69" s="111"/>
      <c r="FR69" s="243"/>
      <c r="FS69" s="256"/>
      <c r="FT69" s="271">
        <f>FJ69</f>
        <v>6.98</v>
      </c>
      <c r="FY69" s="276"/>
      <c r="FZ69" s="277"/>
      <c r="GA69" s="277"/>
      <c r="GB69" s="277"/>
      <c r="GC69" s="278"/>
    </row>
    <row r="70" spans="1:200" ht="32.1" customHeight="1">
      <c r="A70" s="109"/>
      <c r="B70" s="79" t="str">
        <f>VLOOKUP(878,Sprachindex!$A:$Z,Info!$O$7,FALSE)</f>
        <v>Stk.</v>
      </c>
      <c r="C70" s="78"/>
      <c r="D70" s="78">
        <f>AG70</f>
        <v>0</v>
      </c>
      <c r="E70" s="561" t="str">
        <f>VLOOKUP(893,Sprachindex!$A:$Z,Info!$O$7,FALSE)</f>
        <v>Stutzen mit Klebeflansch (passend für Ablaufrohr ⌀ 60)</v>
      </c>
      <c r="F70" s="562"/>
      <c r="G70" s="562"/>
      <c r="H70" s="562"/>
      <c r="I70" s="562"/>
      <c r="J70" s="627" t="str">
        <f>Formeln_RI_P.10!A187</f>
        <v/>
      </c>
      <c r="K70" s="628"/>
      <c r="L70" s="79" t="str">
        <f t="shared" si="1"/>
        <v xml:space="preserve"> </v>
      </c>
      <c r="M70" s="440" t="str">
        <f t="shared" si="2"/>
        <v>Stk.</v>
      </c>
      <c r="N70" s="80"/>
      <c r="O70" s="202" t="str">
        <f t="shared" si="17"/>
        <v xml:space="preserve"> </v>
      </c>
      <c r="R70" s="289"/>
      <c r="S70" s="195"/>
      <c r="T70" s="71"/>
      <c r="U70" s="149">
        <f t="shared" si="11"/>
        <v>0</v>
      </c>
      <c r="V70" s="149">
        <f t="shared" si="12"/>
        <v>0</v>
      </c>
      <c r="W70" s="149">
        <v>3</v>
      </c>
      <c r="X70" s="149">
        <v>1</v>
      </c>
      <c r="Y70" t="s">
        <v>1070</v>
      </c>
      <c r="Z70" t="s">
        <v>1071</v>
      </c>
      <c r="AA70" t="s">
        <v>1072</v>
      </c>
      <c r="AB70" t="s">
        <v>1073</v>
      </c>
      <c r="AC70" t="s">
        <v>1074</v>
      </c>
      <c r="AD70" t="s">
        <v>1075</v>
      </c>
      <c r="AE70" t="s">
        <v>1076</v>
      </c>
      <c r="AF70"/>
      <c r="AG70" s="61">
        <f>IF($O$16=1,Y70,IF($O$16=2,Z70,IF($O$16=3,AA70,IF($O$16=4,AB70,IF($O$16=5,AC70,IF($O$16=6,AD70,IF($O$16=8,AE70,IF($O$16=10,AF70,0))))))))</f>
        <v>0</v>
      </c>
      <c r="AH70" s="61" t="s">
        <v>1077</v>
      </c>
      <c r="FE70" s="561" t="str">
        <f>VLOOKUP(893,Sprachindex!$A:$Z,Info!$O$7,FALSE)</f>
        <v>Stutzen mit Klebeflansch (passend für Ablaufrohr ⌀ 60)</v>
      </c>
      <c r="FF70" s="562"/>
      <c r="FG70" s="562"/>
      <c r="FH70" s="562"/>
      <c r="FI70" s="562"/>
      <c r="FJ70" s="260">
        <v>14.6</v>
      </c>
      <c r="FK70" s="237"/>
      <c r="FL70" s="243"/>
      <c r="FM70" s="242"/>
      <c r="FN70" s="237"/>
      <c r="FO70" s="246"/>
      <c r="FP70" s="247"/>
      <c r="FQ70" s="111"/>
      <c r="FR70" s="243"/>
      <c r="FS70" s="256"/>
      <c r="FT70" s="271">
        <f>FJ70</f>
        <v>14.6</v>
      </c>
      <c r="FY70" s="276"/>
      <c r="FZ70" s="277"/>
      <c r="GA70" s="277"/>
      <c r="GB70" s="277"/>
      <c r="GC70" s="278"/>
    </row>
    <row r="71" spans="1:200" ht="32.1" customHeight="1">
      <c r="A71" s="109"/>
      <c r="B71" s="79" t="str">
        <f>VLOOKUP(878,Sprachindex!$A:$Z,Info!$O$7,FALSE)</f>
        <v>Stk.</v>
      </c>
      <c r="C71" s="78"/>
      <c r="D71" s="78">
        <f>IF($O$18=2,AQ71,IF($O$18=3,BA71,IF($O$18=4,BK71,IF($O$18=5,BU71,IF($O$18=1,AG71,0)))))</f>
        <v>0</v>
      </c>
      <c r="E71" s="561" t="str">
        <f>VLOOKUP(728,Sprachindex!$A:$Z,Info!$O$7,FALSE)</f>
        <v>Rohrbogen 72°</v>
      </c>
      <c r="F71" s="562"/>
      <c r="G71" s="562"/>
      <c r="H71" s="562"/>
      <c r="I71" s="562"/>
      <c r="J71" s="627" t="str">
        <f>Formeln_RI_P.10!A228</f>
        <v/>
      </c>
      <c r="K71" s="628"/>
      <c r="L71" s="79" t="str">
        <f>IF(OR(A71="",W71="",X71="")," ",IF($O$11=1,U71,IF($O$11=2,V71,0)))</f>
        <v xml:space="preserve"> </v>
      </c>
      <c r="M71" s="440" t="str">
        <f t="shared" si="2"/>
        <v>Stk.</v>
      </c>
      <c r="N71" s="80"/>
      <c r="O71" s="202" t="str">
        <f t="shared" si="17"/>
        <v xml:space="preserve"> </v>
      </c>
      <c r="R71" s="289"/>
      <c r="S71" s="195"/>
      <c r="T71" s="71"/>
      <c r="U71" s="149" t="e">
        <f t="shared" si="11"/>
        <v>#VALUE!</v>
      </c>
      <c r="V71" s="149">
        <f t="shared" si="12"/>
        <v>0</v>
      </c>
      <c r="W71" s="149" t="str">
        <f>IF($O$18=1,3,IF($O$18=2,8,IF($O$18=3,8,IF($O$18=4,4,IF($O$18=5,1,"")))))</f>
        <v/>
      </c>
      <c r="X71" s="149">
        <v>1</v>
      </c>
      <c r="Y71" t="s">
        <v>1078</v>
      </c>
      <c r="Z71" t="s">
        <v>1079</v>
      </c>
      <c r="AA71" t="s">
        <v>1080</v>
      </c>
      <c r="AB71" t="s">
        <v>1081</v>
      </c>
      <c r="AC71" t="s">
        <v>1082</v>
      </c>
      <c r="AD71" t="s">
        <v>1083</v>
      </c>
      <c r="AE71" t="s">
        <v>1084</v>
      </c>
      <c r="AF71"/>
      <c r="AG71" s="61">
        <f t="shared" ref="AG71:AG92" si="18">IF($O$16=1,Y71,IF($O$16=2,Z71,IF($O$16=3,AA71,IF($O$16=4,AB71,IF($O$16=5,AC71,IF($O$16=6,AD71,IF($O$16=8,AE71,IF($O$16=10,AF71,0))))))))</f>
        <v>0</v>
      </c>
      <c r="AH71" s="61">
        <v>60</v>
      </c>
      <c r="AI71" t="s">
        <v>1085</v>
      </c>
      <c r="AJ71" t="s">
        <v>1086</v>
      </c>
      <c r="AK71" t="s">
        <v>1087</v>
      </c>
      <c r="AL71" t="s">
        <v>1088</v>
      </c>
      <c r="AM71" t="s">
        <v>1089</v>
      </c>
      <c r="AN71" t="s">
        <v>1090</v>
      </c>
      <c r="AO71" t="s">
        <v>1091</v>
      </c>
      <c r="AP71"/>
      <c r="AQ71" s="61">
        <f>IF($O$16=1,AI71,IF($O$16=2,AJ71,IF($O$16=3,AK71,IF($O$16=4,AL71,IF($O$16=5,AM71,IF($O$16=6,AN71,IF($O$16=8,AO71,IF($O$16=10,AP71,0))))))))</f>
        <v>0</v>
      </c>
      <c r="AR71" s="61">
        <v>80</v>
      </c>
      <c r="AS71" t="s">
        <v>1092</v>
      </c>
      <c r="AT71" t="s">
        <v>1093</v>
      </c>
      <c r="AU71" t="s">
        <v>1094</v>
      </c>
      <c r="AV71" t="s">
        <v>1095</v>
      </c>
      <c r="AW71" t="s">
        <v>1096</v>
      </c>
      <c r="AX71" t="s">
        <v>1097</v>
      </c>
      <c r="AY71" t="s">
        <v>1098</v>
      </c>
      <c r="AZ71">
        <v>526029</v>
      </c>
      <c r="BA71" s="61">
        <f>IF($O$16=1,AS71,IF($O$16=2,AT71,IF($O$16=3,AU71,IF($O$16=4,AV71,IF($O$16=5,AW71,IF($O$16=6,AX71,IF($O$16=8,AY71,IF($O$16=10,AZ71,0))))))))</f>
        <v>0</v>
      </c>
      <c r="BB71" s="61">
        <v>100</v>
      </c>
      <c r="BC71" t="s">
        <v>1099</v>
      </c>
      <c r="BD71" t="s">
        <v>1100</v>
      </c>
      <c r="BE71" t="s">
        <v>1101</v>
      </c>
      <c r="BF71" t="s">
        <v>1102</v>
      </c>
      <c r="BG71" t="s">
        <v>1103</v>
      </c>
      <c r="BH71" t="s">
        <v>1104</v>
      </c>
      <c r="BI71" t="s">
        <v>1105</v>
      </c>
      <c r="BJ71"/>
      <c r="BK71" s="61">
        <f>IF($O$16=1,BC71,IF($O$16=2,BD71,IF($O$16=3,BE71,IF($O$16=4,BF71,IF($O$16=5,BG71,IF($O$16=6,BH71,IF($O$16=8,BI71,IF($O$16=10,BJ71,0))))))))</f>
        <v>0</v>
      </c>
      <c r="BL71" s="61">
        <v>120</v>
      </c>
      <c r="BM71">
        <v>202481</v>
      </c>
      <c r="BN71">
        <v>202480</v>
      </c>
      <c r="BO71"/>
      <c r="BP71">
        <v>202482</v>
      </c>
      <c r="BQ71"/>
      <c r="BR71"/>
      <c r="BS71"/>
      <c r="BT71"/>
      <c r="BU71" s="61">
        <f>IF($O$16=1,BM71,IF($O$16=2,BN71,IF($O$16=3,BO71,IF($O$16=4,BP71,IF($O$16=5,BQ71,IF($O$16=6,BR71,IF($O$16=8,BS71,IF($O$16=10,BT71,0))))))))</f>
        <v>0</v>
      </c>
      <c r="BV71" s="61">
        <v>150</v>
      </c>
      <c r="FE71" s="561" t="str">
        <f>VLOOKUP(728,Sprachindex!$A:$Z,Info!$O$7,FALSE)</f>
        <v>Rohrbogen 72°</v>
      </c>
      <c r="FF71" s="562"/>
      <c r="FG71" s="562"/>
      <c r="FH71" s="562"/>
      <c r="FI71" s="562"/>
      <c r="FJ71" s="242"/>
      <c r="FK71" s="237"/>
      <c r="FL71" s="243"/>
      <c r="FM71" s="242"/>
      <c r="FN71" s="237"/>
      <c r="FO71" s="246"/>
      <c r="FP71" s="247"/>
      <c r="FQ71" s="111"/>
      <c r="FR71" s="243"/>
      <c r="FS71" s="256"/>
      <c r="FT71" s="271" t="str">
        <f>IF(O18=1,FY71,IF(O18=2,FZ71,IF(O18=3,GA71,IF(O18=4,GB71,IF(O18=5,GC71," ")))))</f>
        <v xml:space="preserve"> </v>
      </c>
      <c r="FY71" s="300">
        <v>15.76</v>
      </c>
      <c r="FZ71" s="301">
        <v>17.16</v>
      </c>
      <c r="GA71" s="301">
        <v>18.89</v>
      </c>
      <c r="GB71" s="301">
        <v>24.92</v>
      </c>
      <c r="GC71" s="302">
        <v>46.5</v>
      </c>
    </row>
    <row r="72" spans="1:200" ht="32.1" customHeight="1">
      <c r="A72" s="109"/>
      <c r="B72" s="79" t="str">
        <f>VLOOKUP(878,Sprachindex!$A:$Z,Info!$O$7,FALSE)</f>
        <v>Stk.</v>
      </c>
      <c r="C72" s="78"/>
      <c r="D72" s="78">
        <f>IF($O$18=2,AQ72,IF($O$18=3,BA72,IF($O$18=4,BK72,IF($O$18=5,BU72,IF($O$18=1,AG72,0)))))</f>
        <v>0</v>
      </c>
      <c r="E72" s="561" t="str">
        <f>VLOOKUP(729,Sprachindex!$A:$Z,Info!$O$7,FALSE)</f>
        <v>Rohrbogen 85°</v>
      </c>
      <c r="F72" s="562"/>
      <c r="G72" s="562"/>
      <c r="H72" s="562"/>
      <c r="I72" s="562"/>
      <c r="J72" s="627" t="str">
        <f>Formeln_RI_P.10!A268</f>
        <v/>
      </c>
      <c r="K72" s="628"/>
      <c r="L72" s="79" t="str">
        <f t="shared" si="1"/>
        <v xml:space="preserve"> </v>
      </c>
      <c r="M72" s="440" t="str">
        <f t="shared" si="2"/>
        <v>Stk.</v>
      </c>
      <c r="N72" s="80"/>
      <c r="O72" s="202" t="str">
        <f t="shared" ref="O72:O82" si="19">IF(ISNUMBER(L72),FT72*L72," ")</f>
        <v xml:space="preserve"> </v>
      </c>
      <c r="R72" s="289"/>
      <c r="S72" s="195"/>
      <c r="T72" s="71"/>
      <c r="U72" s="149" t="e">
        <f t="shared" si="11"/>
        <v>#VALUE!</v>
      </c>
      <c r="V72" s="149">
        <f t="shared" si="12"/>
        <v>0</v>
      </c>
      <c r="W72" s="149" t="str">
        <f>IF($O$18=1,3,IF($O$18=2,8,IF($O$18=3,6,IF($O$18=4,3,""))))</f>
        <v/>
      </c>
      <c r="X72" s="149">
        <v>1</v>
      </c>
      <c r="Y72" t="s">
        <v>1106</v>
      </c>
      <c r="Z72" t="s">
        <v>1107</v>
      </c>
      <c r="AA72" t="s">
        <v>1108</v>
      </c>
      <c r="AB72" t="s">
        <v>1109</v>
      </c>
      <c r="AC72" t="s">
        <v>1110</v>
      </c>
      <c r="AD72" t="s">
        <v>1111</v>
      </c>
      <c r="AE72" t="s">
        <v>1112</v>
      </c>
      <c r="AF72"/>
      <c r="AG72" s="61">
        <f t="shared" si="18"/>
        <v>0</v>
      </c>
      <c r="AH72" s="61">
        <v>60</v>
      </c>
      <c r="AI72" t="s">
        <v>1113</v>
      </c>
      <c r="AJ72" t="s">
        <v>1114</v>
      </c>
      <c r="AK72" t="s">
        <v>1115</v>
      </c>
      <c r="AL72" t="s">
        <v>1116</v>
      </c>
      <c r="AM72" t="s">
        <v>1117</v>
      </c>
      <c r="AN72" t="s">
        <v>1118</v>
      </c>
      <c r="AO72" t="s">
        <v>1119</v>
      </c>
      <c r="AP72"/>
      <c r="AQ72" s="61">
        <f t="shared" ref="AQ72:AQ77" si="20">IF($O$16=1,AI72,IF($O$16=2,AJ72,IF($O$16=3,AK72,IF($O$16=4,AL72,IF($O$16=5,AM72,IF($O$16=6,AN72,IF($O$16=8,AO72,IF($O$16=10,AP72,0))))))))</f>
        <v>0</v>
      </c>
      <c r="AR72" s="61">
        <v>80</v>
      </c>
      <c r="AS72" t="s">
        <v>1120</v>
      </c>
      <c r="AT72" t="s">
        <v>1121</v>
      </c>
      <c r="AU72" t="s">
        <v>1122</v>
      </c>
      <c r="AV72" t="s">
        <v>1123</v>
      </c>
      <c r="AW72" t="s">
        <v>1124</v>
      </c>
      <c r="AX72" t="s">
        <v>1125</v>
      </c>
      <c r="AY72" t="s">
        <v>1126</v>
      </c>
      <c r="AZ72">
        <v>526309</v>
      </c>
      <c r="BA72" s="61">
        <f t="shared" ref="BA72:BA90" si="21">IF($O$16=1,AS72,IF($O$16=2,AT72,IF($O$16=3,AU72,IF($O$16=4,AV72,IF($O$16=5,AW72,IF($O$16=6,AX72,IF($O$16=8,AY72,IF($O$16=10,AZ72,0))))))))</f>
        <v>0</v>
      </c>
      <c r="BB72" s="61">
        <v>100</v>
      </c>
      <c r="BC72" t="s">
        <v>1127</v>
      </c>
      <c r="BD72" t="s">
        <v>1128</v>
      </c>
      <c r="BE72" t="s">
        <v>1129</v>
      </c>
      <c r="BF72" t="s">
        <v>1130</v>
      </c>
      <c r="BG72" t="s">
        <v>1131</v>
      </c>
      <c r="BH72" t="s">
        <v>1132</v>
      </c>
      <c r="BI72" t="s">
        <v>1133</v>
      </c>
      <c r="BJ72"/>
      <c r="BK72" s="61">
        <f>IF($O$16=1,BC72,IF($O$16=2,BD72,IF($O$16=3,BE72,IF($O$16=4,BF72,IF($O$16=5,BG72,IF($O$16=6,BH72,IF($O$16=8,BI72,IF($O$16=10,BJ72,0))))))))</f>
        <v>0</v>
      </c>
      <c r="BL72" s="61">
        <v>120</v>
      </c>
      <c r="FE72" s="561" t="str">
        <f>VLOOKUP(729,Sprachindex!$A:$Z,Info!$O$7,FALSE)</f>
        <v>Rohrbogen 85°</v>
      </c>
      <c r="FF72" s="562"/>
      <c r="FG72" s="562"/>
      <c r="FH72" s="562"/>
      <c r="FI72" s="562"/>
      <c r="FJ72" s="242"/>
      <c r="FK72" s="237"/>
      <c r="FL72" s="243"/>
      <c r="FM72" s="242"/>
      <c r="FN72" s="237"/>
      <c r="FO72" s="246"/>
      <c r="FP72" s="247"/>
      <c r="FQ72" s="111"/>
      <c r="FR72" s="243"/>
      <c r="FS72" s="256"/>
      <c r="FT72" s="271" t="str">
        <f>IF(O18=1,FY72,IF(O18=2,FZ72,IF(O18=3,GA72,IF(O18=4,GB72," "))))</f>
        <v xml:space="preserve"> </v>
      </c>
      <c r="FY72" s="276">
        <v>21.72</v>
      </c>
      <c r="FZ72" s="277">
        <v>23.7</v>
      </c>
      <c r="GA72" s="277">
        <v>24.69</v>
      </c>
      <c r="GB72" s="277">
        <v>31.35</v>
      </c>
      <c r="GC72" s="278"/>
    </row>
    <row r="73" spans="1:200" ht="32.1" customHeight="1">
      <c r="A73" s="109"/>
      <c r="B73" s="79" t="str">
        <f>VLOOKUP(878,Sprachindex!$A:$Z,Info!$O$7,FALSE)</f>
        <v>Stk.</v>
      </c>
      <c r="C73" s="78"/>
      <c r="D73" s="78">
        <f>IF($O$18=2,AQ73,IF($O$18=3,BA73,IF($O$18=4,BK73,IF($O$18=5,BU73,IF($O$18=1,AG73,0)))))</f>
        <v>0</v>
      </c>
      <c r="E73" s="561" t="str">
        <f>VLOOKUP(727,Sprachindex!$A:$Z,Info!$O$7,FALSE)</f>
        <v>Rohrbogen 40°</v>
      </c>
      <c r="F73" s="562"/>
      <c r="G73" s="562"/>
      <c r="H73" s="562"/>
      <c r="I73" s="562"/>
      <c r="J73" s="627" t="str">
        <f>Formeln_RI_P.10!A268</f>
        <v/>
      </c>
      <c r="K73" s="628"/>
      <c r="L73" s="79" t="str">
        <f t="shared" si="1"/>
        <v xml:space="preserve"> </v>
      </c>
      <c r="M73" s="440" t="str">
        <f t="shared" si="2"/>
        <v>Stk.</v>
      </c>
      <c r="N73" s="80"/>
      <c r="O73" s="202" t="str">
        <f t="shared" si="19"/>
        <v xml:space="preserve"> </v>
      </c>
      <c r="R73" s="289"/>
      <c r="S73" s="195"/>
      <c r="T73" s="71"/>
      <c r="U73" s="149" t="e">
        <f t="shared" si="11"/>
        <v>#VALUE!</v>
      </c>
      <c r="V73" s="149">
        <f t="shared" si="12"/>
        <v>0</v>
      </c>
      <c r="W73" s="149" t="str">
        <f>IF($O$18=1,3,IF($O$18=2,12,IF($O$18=3,8,IF($O$18=4,4,""))))</f>
        <v/>
      </c>
      <c r="X73" s="149">
        <v>1</v>
      </c>
      <c r="Y73" t="s">
        <v>1134</v>
      </c>
      <c r="Z73" t="s">
        <v>1135</v>
      </c>
      <c r="AA73" t="s">
        <v>1136</v>
      </c>
      <c r="AB73" t="s">
        <v>1137</v>
      </c>
      <c r="AC73" t="s">
        <v>1138</v>
      </c>
      <c r="AD73" t="s">
        <v>1139</v>
      </c>
      <c r="AE73" t="s">
        <v>1140</v>
      </c>
      <c r="AF73"/>
      <c r="AG73" s="61">
        <f t="shared" si="18"/>
        <v>0</v>
      </c>
      <c r="AH73" s="61">
        <v>60</v>
      </c>
      <c r="AI73" t="s">
        <v>1141</v>
      </c>
      <c r="AJ73" t="s">
        <v>1142</v>
      </c>
      <c r="AK73" t="s">
        <v>1143</v>
      </c>
      <c r="AL73" t="s">
        <v>1144</v>
      </c>
      <c r="AM73" t="s">
        <v>1145</v>
      </c>
      <c r="AN73" t="s">
        <v>1146</v>
      </c>
      <c r="AO73" t="s">
        <v>1147</v>
      </c>
      <c r="AP73"/>
      <c r="AQ73" s="61">
        <f t="shared" si="20"/>
        <v>0</v>
      </c>
      <c r="AR73" s="61">
        <v>80</v>
      </c>
      <c r="AS73" t="s">
        <v>1148</v>
      </c>
      <c r="AT73" t="s">
        <v>1149</v>
      </c>
      <c r="AU73" t="s">
        <v>1150</v>
      </c>
      <c r="AV73" t="s">
        <v>1151</v>
      </c>
      <c r="AW73" t="s">
        <v>1152</v>
      </c>
      <c r="AX73" t="s">
        <v>1153</v>
      </c>
      <c r="AY73" t="s">
        <v>1154</v>
      </c>
      <c r="AZ73">
        <v>526089</v>
      </c>
      <c r="BA73" s="61">
        <f t="shared" si="21"/>
        <v>0</v>
      </c>
      <c r="BB73" s="61">
        <v>100</v>
      </c>
      <c r="BC73" t="s">
        <v>1155</v>
      </c>
      <c r="BD73" t="s">
        <v>1156</v>
      </c>
      <c r="BE73" t="s">
        <v>1157</v>
      </c>
      <c r="BF73" t="s">
        <v>1158</v>
      </c>
      <c r="BG73" t="s">
        <v>1159</v>
      </c>
      <c r="BH73" t="s">
        <v>1160</v>
      </c>
      <c r="BI73" t="s">
        <v>1161</v>
      </c>
      <c r="BJ73"/>
      <c r="BK73" s="61">
        <f>IF($O$16=1,BC73,IF($O$16=2,BD73,IF($O$16=3,BE73,IF($O$16=4,BF73,IF($O$16=5,BG73,IF($O$16=6,BH73,IF($O$16=8,BI73,IF($O$16=10,BJ73,0))))))))</f>
        <v>0</v>
      </c>
      <c r="BL73" s="61">
        <v>120</v>
      </c>
      <c r="FE73" s="561" t="str">
        <f>VLOOKUP(727,Sprachindex!$A:$Z,Info!$O$7,FALSE)</f>
        <v>Rohrbogen 40°</v>
      </c>
      <c r="FF73" s="562"/>
      <c r="FG73" s="562"/>
      <c r="FH73" s="562"/>
      <c r="FI73" s="562"/>
      <c r="FJ73" s="242"/>
      <c r="FK73" s="237"/>
      <c r="FL73" s="243"/>
      <c r="FM73" s="242"/>
      <c r="FN73" s="237"/>
      <c r="FO73" s="246"/>
      <c r="FP73" s="247"/>
      <c r="FQ73" s="111"/>
      <c r="FR73" s="243"/>
      <c r="FS73" s="256"/>
      <c r="FT73" s="271" t="str">
        <f>IF(O18=1,FY73,IF(O18=2,FZ73,IF(O18=3,GA73,IF(O18=4,GB73," "))))</f>
        <v xml:space="preserve"> </v>
      </c>
      <c r="FY73" s="276">
        <v>15.73</v>
      </c>
      <c r="FZ73" s="277">
        <v>17.440000000000001</v>
      </c>
      <c r="GA73" s="277">
        <v>19.38</v>
      </c>
      <c r="GB73" s="277">
        <v>25.56</v>
      </c>
      <c r="GC73" s="278"/>
    </row>
    <row r="74" spans="1:200" ht="32.1" customHeight="1">
      <c r="A74" s="109"/>
      <c r="B74" s="79" t="str">
        <f>VLOOKUP(878,Sprachindex!$A:$Z,Info!$O$7,FALSE)</f>
        <v>Stk.</v>
      </c>
      <c r="C74" s="78"/>
      <c r="D74" s="78">
        <f>IF($O$18=2,AG74,IF($O$18=3,AQ74,IF($O$18=4,BA74,IF($O$18=5,BK74,0))))</f>
        <v>0</v>
      </c>
      <c r="E74" s="561" t="str">
        <f>VLOOKUP(839,Sprachindex!$A:$Z,Info!$O$7,FALSE)</f>
        <v>Sockelknie (Ausladung: 60 mm)</v>
      </c>
      <c r="F74" s="562"/>
      <c r="G74" s="562"/>
      <c r="H74" s="562"/>
      <c r="I74" s="562"/>
      <c r="J74" s="627" t="str">
        <f>Formeln_RI_P.10!A222</f>
        <v/>
      </c>
      <c r="K74" s="628"/>
      <c r="L74" s="79" t="str">
        <f t="shared" si="1"/>
        <v xml:space="preserve"> </v>
      </c>
      <c r="M74" s="440" t="str">
        <f t="shared" si="2"/>
        <v>Stk.</v>
      </c>
      <c r="N74" s="80"/>
      <c r="O74" s="202" t="str">
        <f t="shared" si="19"/>
        <v xml:space="preserve"> </v>
      </c>
      <c r="R74" s="289"/>
      <c r="S74" s="195"/>
      <c r="T74" s="71"/>
      <c r="U74" s="149" t="e">
        <f t="shared" si="11"/>
        <v>#VALUE!</v>
      </c>
      <c r="V74" s="149">
        <f t="shared" si="12"/>
        <v>0</v>
      </c>
      <c r="W74" s="149" t="str">
        <f>IF($O$18=1,"",IF($O$18=2,8,IF($O$18=3,8,IF($O$18=4,4,IF($O$18=5,1,"")))))</f>
        <v/>
      </c>
      <c r="X74" s="149">
        <v>1</v>
      </c>
      <c r="Y74" t="s">
        <v>1162</v>
      </c>
      <c r="Z74" t="s">
        <v>1163</v>
      </c>
      <c r="AA74" t="s">
        <v>1164</v>
      </c>
      <c r="AB74" t="s">
        <v>1165</v>
      </c>
      <c r="AC74" t="s">
        <v>1166</v>
      </c>
      <c r="AD74" t="s">
        <v>1167</v>
      </c>
      <c r="AE74" t="s">
        <v>1168</v>
      </c>
      <c r="AF74"/>
      <c r="AG74" s="61">
        <f t="shared" si="18"/>
        <v>0</v>
      </c>
      <c r="AH74" s="61">
        <v>80</v>
      </c>
      <c r="AI74" t="s">
        <v>1169</v>
      </c>
      <c r="AJ74" t="s">
        <v>1170</v>
      </c>
      <c r="AK74" t="s">
        <v>1171</v>
      </c>
      <c r="AL74" t="s">
        <v>1172</v>
      </c>
      <c r="AM74" t="s">
        <v>1173</v>
      </c>
      <c r="AN74" t="s">
        <v>1174</v>
      </c>
      <c r="AO74" t="s">
        <v>1175</v>
      </c>
      <c r="AP74">
        <v>527029</v>
      </c>
      <c r="AQ74" s="61">
        <f t="shared" si="20"/>
        <v>0</v>
      </c>
      <c r="AR74" s="61">
        <v>100</v>
      </c>
      <c r="AS74" t="s">
        <v>1176</v>
      </c>
      <c r="AT74" t="s">
        <v>1177</v>
      </c>
      <c r="AU74" t="s">
        <v>1178</v>
      </c>
      <c r="AV74" t="s">
        <v>1179</v>
      </c>
      <c r="AW74" t="s">
        <v>1180</v>
      </c>
      <c r="AX74" t="s">
        <v>1181</v>
      </c>
      <c r="AY74" t="s">
        <v>1182</v>
      </c>
      <c r="AZ74"/>
      <c r="BA74" s="61">
        <f t="shared" si="21"/>
        <v>0</v>
      </c>
      <c r="BB74" s="61">
        <v>120</v>
      </c>
      <c r="BC74">
        <v>202681</v>
      </c>
      <c r="BD74">
        <v>202680</v>
      </c>
      <c r="BE74"/>
      <c r="BF74">
        <v>202682</v>
      </c>
      <c r="BG74"/>
      <c r="BH74"/>
      <c r="BI74"/>
      <c r="BJ74"/>
      <c r="BK74" s="61">
        <f>IF($O$16=1,BC74,IF($O$16=2,BD74,IF($O$16=3,BE74,IF($O$16=4,BF74,IF($O$16=5,BG74,IF($O$16=6,BH74,IF($O$16=8,BI74,IF($O$16=10,BJ74,0))))))))</f>
        <v>0</v>
      </c>
      <c r="BL74" s="61">
        <v>150</v>
      </c>
      <c r="FE74" s="561" t="str">
        <f>VLOOKUP(839,Sprachindex!$A:$Z,Info!$O$7,FALSE)</f>
        <v>Sockelknie (Ausladung: 60 mm)</v>
      </c>
      <c r="FF74" s="562"/>
      <c r="FG74" s="562"/>
      <c r="FH74" s="562"/>
      <c r="FI74" s="562"/>
      <c r="FJ74" s="242"/>
      <c r="FK74" s="237"/>
      <c r="FL74" s="243"/>
      <c r="FM74" s="242"/>
      <c r="FN74" s="237"/>
      <c r="FO74" s="246"/>
      <c r="FP74" s="247"/>
      <c r="FQ74" s="111"/>
      <c r="FR74" s="243"/>
      <c r="FS74" s="256"/>
      <c r="FT74" s="271" t="str">
        <f>IF(O18=2,FZ74,IF(O18=3,GA74,IF(O18=4,GB74,IF(O18=5,GC74," "))))</f>
        <v xml:space="preserve"> </v>
      </c>
      <c r="FY74" s="276"/>
      <c r="FZ74" s="277">
        <v>23.02</v>
      </c>
      <c r="GA74" s="277">
        <v>23.76</v>
      </c>
      <c r="GB74" s="277">
        <v>30.11</v>
      </c>
      <c r="GC74" s="278">
        <v>22.72</v>
      </c>
    </row>
    <row r="75" spans="1:200" ht="32.1" customHeight="1">
      <c r="A75" s="109"/>
      <c r="B75" s="79" t="str">
        <f>VLOOKUP(878,Sprachindex!$A:$Z,Info!$O$7,FALSE)</f>
        <v>Stk.</v>
      </c>
      <c r="C75" s="78"/>
      <c r="D75" s="78">
        <f>IF($O$18=2,AG75,IF($O$18=3,AQ75,IF($O$18=4,BA75,IF($O$18=5,BK75,0))))</f>
        <v>0</v>
      </c>
      <c r="E75" s="561" t="str">
        <f>VLOOKUP(1425,Sprachindex!$A:$Z,Info!$O$7,FALSE)</f>
        <v>Sockelknie (Ausladung: 30 mm)</v>
      </c>
      <c r="F75" s="562"/>
      <c r="G75" s="562"/>
      <c r="H75" s="562"/>
      <c r="I75" s="562"/>
      <c r="J75" s="627" t="str">
        <f>IF($O$18="","",IF($O$18=1,Formeln!$A$177,IF($O$18=2,Formeln!$A$177,IF($O$18=3,Formeln!$F$194,IF($O$18=4,Formeln!$A$177,"")))))</f>
        <v/>
      </c>
      <c r="K75" s="628"/>
      <c r="L75" s="79" t="str">
        <f t="shared" si="1"/>
        <v xml:space="preserve"> </v>
      </c>
      <c r="M75" s="440" t="str">
        <f t="shared" si="2"/>
        <v>Stk.</v>
      </c>
      <c r="N75" s="80"/>
      <c r="O75" s="202" t="str">
        <f t="shared" si="19"/>
        <v xml:space="preserve"> </v>
      </c>
      <c r="R75" s="289"/>
      <c r="S75" s="195"/>
      <c r="T75" s="71"/>
      <c r="U75" s="149" t="e">
        <f t="shared" si="11"/>
        <v>#VALUE!</v>
      </c>
      <c r="V75" s="149">
        <f t="shared" si="12"/>
        <v>0</v>
      </c>
      <c r="W75" s="149" t="str">
        <f>IF($O$18=1,"",IF($O$18=2,"",IF($O$18=3,8,IF($O$18=4,"",""))))</f>
        <v/>
      </c>
      <c r="X75" s="149">
        <v>1</v>
      </c>
      <c r="Y75"/>
      <c r="Z75"/>
      <c r="AA75"/>
      <c r="AB75"/>
      <c r="AC75"/>
      <c r="AD75"/>
      <c r="AE75"/>
      <c r="AF75"/>
      <c r="AG75" s="61">
        <f t="shared" si="18"/>
        <v>0</v>
      </c>
      <c r="AH75" s="61"/>
      <c r="AI75" t="s">
        <v>1183</v>
      </c>
      <c r="AJ75" t="s">
        <v>1184</v>
      </c>
      <c r="AK75" t="s">
        <v>1185</v>
      </c>
      <c r="AL75" t="s">
        <v>1186</v>
      </c>
      <c r="AM75" t="s">
        <v>1187</v>
      </c>
      <c r="AN75" t="s">
        <v>1188</v>
      </c>
      <c r="AO75" t="s">
        <v>1189</v>
      </c>
      <c r="AP75"/>
      <c r="AQ75" s="61">
        <f t="shared" si="20"/>
        <v>0</v>
      </c>
      <c r="AR75" s="61">
        <v>100</v>
      </c>
      <c r="AS75"/>
      <c r="AT75"/>
      <c r="AU75"/>
      <c r="AV75"/>
      <c r="AW75"/>
      <c r="AX75"/>
      <c r="AY75"/>
      <c r="AZ75"/>
      <c r="BA75" s="61">
        <f t="shared" si="21"/>
        <v>0</v>
      </c>
      <c r="BB75" s="61"/>
      <c r="BC75"/>
      <c r="BD75"/>
      <c r="BE75"/>
      <c r="BF75"/>
      <c r="BG75"/>
      <c r="BH75"/>
      <c r="BI75"/>
      <c r="BJ75"/>
      <c r="BK75"/>
      <c r="BL75"/>
      <c r="FE75" s="561" t="str">
        <f>VLOOKUP(1425,Sprachindex!$A:$Z,Info!$O$7,FALSE)</f>
        <v>Sockelknie (Ausladung: 30 mm)</v>
      </c>
      <c r="FF75" s="562"/>
      <c r="FG75" s="562"/>
      <c r="FH75" s="562"/>
      <c r="FI75" s="562"/>
      <c r="FJ75" s="242"/>
      <c r="FK75" s="237"/>
      <c r="FL75" s="243"/>
      <c r="FM75" s="242"/>
      <c r="FN75" s="237"/>
      <c r="FO75" s="246"/>
      <c r="FP75" s="247"/>
      <c r="FQ75" s="111"/>
      <c r="FR75" s="243"/>
      <c r="FS75" s="256"/>
      <c r="FT75" s="271" t="str">
        <f>IF(O18=3,GA75," ")</f>
        <v xml:space="preserve"> </v>
      </c>
      <c r="FY75" s="276"/>
      <c r="FZ75" s="277"/>
      <c r="GA75" s="277">
        <v>25.03</v>
      </c>
      <c r="GB75" s="277"/>
      <c r="GC75" s="278"/>
    </row>
    <row r="76" spans="1:200" ht="32.1" customHeight="1" thickBot="1">
      <c r="A76" s="109"/>
      <c r="B76" s="79" t="str">
        <f>VLOOKUP(878,Sprachindex!$A:$Z,Info!$O$7,FALSE)</f>
        <v>Stk.</v>
      </c>
      <c r="C76" s="78"/>
      <c r="D76" s="78">
        <f>IF($O$18=2,AG76,IF($O$18=3,AQ76,IF($O$18=4,BA76,IF($O$18=5,BK76,0))))</f>
        <v>0</v>
      </c>
      <c r="E76" s="561" t="str">
        <f>VLOOKUP(1013,Sprachindex!$A:$Z,Info!$O$7,FALSE)</f>
        <v>Wassersammler</v>
      </c>
      <c r="F76" s="562"/>
      <c r="G76" s="562"/>
      <c r="H76" s="562"/>
      <c r="I76" s="562"/>
      <c r="J76" s="627" t="str">
        <f>Formeln_RI_P.10!A231</f>
        <v/>
      </c>
      <c r="K76" s="628"/>
      <c r="L76" s="79" t="str">
        <f t="shared" si="1"/>
        <v xml:space="preserve"> </v>
      </c>
      <c r="M76" s="440" t="str">
        <f t="shared" si="2"/>
        <v>Stk.</v>
      </c>
      <c r="N76" s="80"/>
      <c r="O76" s="202" t="str">
        <f t="shared" si="19"/>
        <v xml:space="preserve"> </v>
      </c>
      <c r="R76" s="289"/>
      <c r="S76" s="195"/>
      <c r="T76" s="71"/>
      <c r="U76" s="149" t="e">
        <f t="shared" si="11"/>
        <v>#VALUE!</v>
      </c>
      <c r="V76" s="149">
        <f t="shared" si="12"/>
        <v>0</v>
      </c>
      <c r="W76" s="149" t="str">
        <f>IF($O$18=1,"",IF($O$18=2,1,IF($O$18=3,1,IF($O$18=4,1,""))))</f>
        <v/>
      </c>
      <c r="X76" s="149">
        <v>1</v>
      </c>
      <c r="Y76" t="s">
        <v>1190</v>
      </c>
      <c r="Z76" t="s">
        <v>1191</v>
      </c>
      <c r="AA76" t="s">
        <v>1192</v>
      </c>
      <c r="AB76" t="s">
        <v>873</v>
      </c>
      <c r="AC76" t="s">
        <v>1193</v>
      </c>
      <c r="AD76" t="s">
        <v>1194</v>
      </c>
      <c r="AE76" t="s">
        <v>1195</v>
      </c>
      <c r="AF76"/>
      <c r="AG76" s="61">
        <f t="shared" si="18"/>
        <v>0</v>
      </c>
      <c r="AH76" s="61">
        <v>80</v>
      </c>
      <c r="AI76" t="s">
        <v>1196</v>
      </c>
      <c r="AJ76" t="s">
        <v>1197</v>
      </c>
      <c r="AK76" t="s">
        <v>1198</v>
      </c>
      <c r="AL76" t="s">
        <v>1199</v>
      </c>
      <c r="AM76" t="s">
        <v>1200</v>
      </c>
      <c r="AN76" t="s">
        <v>1201</v>
      </c>
      <c r="AO76" t="s">
        <v>1202</v>
      </c>
      <c r="AP76"/>
      <c r="AQ76" s="61">
        <f t="shared" si="20"/>
        <v>0</v>
      </c>
      <c r="AR76" s="61">
        <v>100</v>
      </c>
      <c r="AS76" t="s">
        <v>1203</v>
      </c>
      <c r="AT76" t="s">
        <v>1204</v>
      </c>
      <c r="AU76" t="s">
        <v>1205</v>
      </c>
      <c r="AV76" t="s">
        <v>1206</v>
      </c>
      <c r="AW76" t="s">
        <v>1207</v>
      </c>
      <c r="AX76" t="s">
        <v>1208</v>
      </c>
      <c r="AY76" t="s">
        <v>1209</v>
      </c>
      <c r="AZ76"/>
      <c r="BA76" s="61">
        <f t="shared" si="21"/>
        <v>0</v>
      </c>
      <c r="BB76" s="61">
        <v>120</v>
      </c>
      <c r="FE76" s="561" t="str">
        <f>VLOOKUP(1013,Sprachindex!$A:$Z,Info!$O$7,FALSE)</f>
        <v>Wassersammler</v>
      </c>
      <c r="FF76" s="562"/>
      <c r="FG76" s="562"/>
      <c r="FH76" s="562"/>
      <c r="FI76" s="562"/>
      <c r="FJ76" s="242"/>
      <c r="FK76" s="237"/>
      <c r="FL76" s="243"/>
      <c r="FM76" s="242"/>
      <c r="FN76" s="237"/>
      <c r="FO76" s="246"/>
      <c r="FP76" s="247"/>
      <c r="FQ76" s="111"/>
      <c r="FR76" s="243"/>
      <c r="FS76" s="256"/>
      <c r="FT76" s="271" t="str">
        <f>IF(O18=2,FZ76,IF(O18=3,GA76,IF(O18=4,GB76," ")))</f>
        <v xml:space="preserve"> </v>
      </c>
      <c r="FY76" s="276"/>
      <c r="FZ76" s="277">
        <v>138.80000000000001</v>
      </c>
      <c r="GA76" s="277">
        <v>145.1</v>
      </c>
      <c r="GB76" s="277">
        <v>198.3</v>
      </c>
      <c r="GC76" s="278"/>
    </row>
    <row r="77" spans="1:200" ht="32.1" customHeight="1">
      <c r="A77" s="109"/>
      <c r="B77" s="79" t="str">
        <f>VLOOKUP(878,Sprachindex!$A:$Z,Info!$O$7,FALSE)</f>
        <v>Stk.</v>
      </c>
      <c r="C77" s="78"/>
      <c r="D77" s="78">
        <f>IF($O$18=2,AG77,IF($O$18=3,AQ77,IF($O$18=4,BA77,IF($O$18=5,BK77,0))))</f>
        <v>0</v>
      </c>
      <c r="E77" s="561" t="str">
        <f>VLOOKUP(702,Sprachindex!$A:$Z,Info!$O$7,FALSE)</f>
        <v>Regenklappe</v>
      </c>
      <c r="F77" s="562"/>
      <c r="G77" s="562"/>
      <c r="H77" s="562"/>
      <c r="I77" s="562"/>
      <c r="J77" s="627" t="str">
        <f>Formeln_RI_P.10!A231</f>
        <v/>
      </c>
      <c r="K77" s="628"/>
      <c r="L77" s="79" t="str">
        <f t="shared" si="1"/>
        <v xml:space="preserve"> </v>
      </c>
      <c r="M77" s="440" t="str">
        <f t="shared" si="2"/>
        <v>Stk.</v>
      </c>
      <c r="N77" s="80"/>
      <c r="O77" s="202" t="str">
        <f t="shared" si="19"/>
        <v xml:space="preserve"> </v>
      </c>
      <c r="R77" s="289"/>
      <c r="S77" s="195"/>
      <c r="T77" s="71"/>
      <c r="U77" s="149" t="e">
        <f t="shared" si="11"/>
        <v>#VALUE!</v>
      </c>
      <c r="V77" s="149">
        <f t="shared" si="12"/>
        <v>0</v>
      </c>
      <c r="W77" s="149" t="str">
        <f>IF($O$18=1,"",IF($O$18=2,1,IF($O$18=3,1,IF($O$18=4,1,""))))</f>
        <v/>
      </c>
      <c r="X77" s="149">
        <v>1</v>
      </c>
      <c r="Y77" t="s">
        <v>1210</v>
      </c>
      <c r="Z77" t="s">
        <v>1211</v>
      </c>
      <c r="AA77" t="s">
        <v>1212</v>
      </c>
      <c r="AB77" t="s">
        <v>1213</v>
      </c>
      <c r="AC77" t="s">
        <v>1214</v>
      </c>
      <c r="AD77" t="s">
        <v>1215</v>
      </c>
      <c r="AE77" t="s">
        <v>1216</v>
      </c>
      <c r="AF77"/>
      <c r="AG77" s="61">
        <f t="shared" si="18"/>
        <v>0</v>
      </c>
      <c r="AH77" s="61">
        <v>80</v>
      </c>
      <c r="AI77" t="s">
        <v>1217</v>
      </c>
      <c r="AJ77" t="s">
        <v>1218</v>
      </c>
      <c r="AK77" t="s">
        <v>1219</v>
      </c>
      <c r="AL77" t="s">
        <v>1220</v>
      </c>
      <c r="AM77" t="s">
        <v>1221</v>
      </c>
      <c r="AN77" t="s">
        <v>1222</v>
      </c>
      <c r="AO77" t="s">
        <v>1223</v>
      </c>
      <c r="AP77">
        <v>539029</v>
      </c>
      <c r="AQ77" s="61">
        <f t="shared" si="20"/>
        <v>0</v>
      </c>
      <c r="AR77" s="61">
        <v>100</v>
      </c>
      <c r="AS77" t="s">
        <v>1224</v>
      </c>
      <c r="AT77" t="s">
        <v>1225</v>
      </c>
      <c r="AU77" t="s">
        <v>1226</v>
      </c>
      <c r="AV77" t="s">
        <v>1227</v>
      </c>
      <c r="AW77">
        <v>203065</v>
      </c>
      <c r="AX77" t="s">
        <v>1228</v>
      </c>
      <c r="AY77" t="s">
        <v>1229</v>
      </c>
      <c r="AZ77"/>
      <c r="BA77" s="61">
        <f t="shared" si="21"/>
        <v>0</v>
      </c>
      <c r="BB77" s="61">
        <v>120</v>
      </c>
      <c r="FE77" s="561" t="str">
        <f>VLOOKUP(702,Sprachindex!$A:$Z,Info!$O$7,FALSE)</f>
        <v>Regenklappe</v>
      </c>
      <c r="FF77" s="562"/>
      <c r="FG77" s="562"/>
      <c r="FH77" s="562"/>
      <c r="FI77" s="562"/>
      <c r="FJ77" s="242"/>
      <c r="FK77" s="237"/>
      <c r="FL77" s="243"/>
      <c r="FM77" s="242"/>
      <c r="FN77" s="237"/>
      <c r="FO77" s="246"/>
      <c r="FP77" s="247"/>
      <c r="FQ77" s="111"/>
      <c r="FR77" s="243"/>
      <c r="FS77" s="256"/>
      <c r="FT77" s="271" t="str">
        <f>IF(O18=2,FZ77,IF(O18=3,GA77,IF(O18=4,GB77," ")))</f>
        <v xml:space="preserve"> </v>
      </c>
      <c r="FY77" s="276"/>
      <c r="FZ77" s="277">
        <v>59.74</v>
      </c>
      <c r="GA77" s="277">
        <v>66.67</v>
      </c>
      <c r="GB77" s="277">
        <v>77.39</v>
      </c>
      <c r="GC77" s="278"/>
      <c r="GE77" s="631">
        <v>80</v>
      </c>
      <c r="GF77" s="632"/>
      <c r="GG77" s="624">
        <v>100</v>
      </c>
      <c r="GH77" s="625"/>
      <c r="GI77" s="626"/>
      <c r="GJ77" s="621">
        <v>120</v>
      </c>
      <c r="GK77" s="622"/>
      <c r="GL77" s="623"/>
    </row>
    <row r="78" spans="1:200" ht="32.1" customHeight="1">
      <c r="A78" s="109"/>
      <c r="B78" s="79" t="str">
        <f>VLOOKUP(878,Sprachindex!$A:$Z,Info!$O$7,FALSE)</f>
        <v>Stk.</v>
      </c>
      <c r="C78" s="78"/>
      <c r="D78" s="78" t="str">
        <f>IF(O18=2,AG78,IF(O18=3,AQ78,IF(O18=4,BA78,"")))</f>
        <v/>
      </c>
      <c r="E78" s="561" t="str">
        <f>VLOOKUP(373,Sprachindex!$A:$Z,Info!$O$7,FALSE)</f>
        <v>Ersatzgitter für Regenklappe</v>
      </c>
      <c r="F78" s="562"/>
      <c r="G78" s="562"/>
      <c r="H78" s="562"/>
      <c r="I78" s="562"/>
      <c r="J78" s="627" t="str">
        <f>Formeln_RI_P.10!A222</f>
        <v/>
      </c>
      <c r="K78" s="628"/>
      <c r="L78" s="79" t="str">
        <f t="shared" si="1"/>
        <v xml:space="preserve"> </v>
      </c>
      <c r="M78" s="440" t="str">
        <f t="shared" si="2"/>
        <v>Stk.</v>
      </c>
      <c r="N78" s="80"/>
      <c r="O78" s="202" t="str">
        <f t="shared" si="19"/>
        <v xml:space="preserve"> </v>
      </c>
      <c r="R78" s="289"/>
      <c r="S78" s="195"/>
      <c r="T78" s="71"/>
      <c r="U78" s="149" t="e">
        <f t="shared" si="11"/>
        <v>#VALUE!</v>
      </c>
      <c r="V78" s="149">
        <f t="shared" si="12"/>
        <v>0</v>
      </c>
      <c r="W78" s="149" t="str">
        <f>IF($O$18=1,"",IF($O$18=2,1,IF($O$18=3,1,IF($O$18=4,1,""))))</f>
        <v/>
      </c>
      <c r="X78" s="149">
        <v>1</v>
      </c>
      <c r="Y78"/>
      <c r="Z78"/>
      <c r="AA78"/>
      <c r="AB78"/>
      <c r="AC78"/>
      <c r="AD78"/>
      <c r="AE78"/>
      <c r="AF78"/>
      <c r="AG78" s="61">
        <v>539089</v>
      </c>
      <c r="AH78" s="61">
        <v>80</v>
      </c>
      <c r="AI78"/>
      <c r="AJ78"/>
      <c r="AK78"/>
      <c r="AL78"/>
      <c r="AM78"/>
      <c r="AN78"/>
      <c r="AO78"/>
      <c r="AP78"/>
      <c r="AQ78" s="61">
        <v>539090</v>
      </c>
      <c r="AR78" s="61">
        <v>100</v>
      </c>
      <c r="AS78"/>
      <c r="AT78"/>
      <c r="AU78"/>
      <c r="AV78"/>
      <c r="AW78"/>
      <c r="AX78"/>
      <c r="AY78"/>
      <c r="AZ78"/>
      <c r="BA78" s="61">
        <v>539091</v>
      </c>
      <c r="BB78" s="61">
        <v>120</v>
      </c>
      <c r="FE78" s="561" t="str">
        <f>VLOOKUP(373,Sprachindex!$A:$Z,Info!$O$7,FALSE)</f>
        <v>Ersatzgitter für Regenklappe</v>
      </c>
      <c r="FF78" s="562"/>
      <c r="FG78" s="562"/>
      <c r="FH78" s="562"/>
      <c r="FI78" s="562"/>
      <c r="FJ78" s="242"/>
      <c r="FK78" s="237"/>
      <c r="FL78" s="243"/>
      <c r="FM78" s="242"/>
      <c r="FN78" s="237"/>
      <c r="FO78" s="246"/>
      <c r="FP78" s="247"/>
      <c r="FQ78" s="111"/>
      <c r="FR78" s="243"/>
      <c r="FS78" s="256"/>
      <c r="FT78" s="271" t="str">
        <f>IF(O18=2,FZ78,IF(O18=3,GA78,IF(O18=4,GB78," ")))</f>
        <v xml:space="preserve"> </v>
      </c>
      <c r="FY78" s="276"/>
      <c r="FZ78" s="277">
        <v>25.23</v>
      </c>
      <c r="GA78" s="277">
        <v>25.23</v>
      </c>
      <c r="GB78" s="277">
        <v>25.23</v>
      </c>
      <c r="GC78" s="278"/>
      <c r="GE78" s="276" t="s">
        <v>1230</v>
      </c>
      <c r="GF78" s="317" t="s">
        <v>1231</v>
      </c>
      <c r="GG78" s="276" t="s">
        <v>1232</v>
      </c>
      <c r="GH78" s="277" t="s">
        <v>1233</v>
      </c>
      <c r="GI78" s="278" t="s">
        <v>1234</v>
      </c>
      <c r="GJ78" s="276" t="s">
        <v>1235</v>
      </c>
      <c r="GK78" s="277" t="s">
        <v>1236</v>
      </c>
      <c r="GL78" s="278" t="s">
        <v>1237</v>
      </c>
    </row>
    <row r="79" spans="1:200" ht="32.1" customHeight="1" thickBot="1">
      <c r="A79" s="443"/>
      <c r="B79" s="79" t="str">
        <f>VLOOKUP(878,Sprachindex!$A:$Z,Info!$O$7,FALSE)</f>
        <v>Stk.</v>
      </c>
      <c r="C79" s="78"/>
      <c r="D79" s="78">
        <f>IF(AND($O$18=2,J79=Formeln_RI_P.10!A235),AG79,IF(AND($O$18=3,J79=Formeln_RI_P.10!A236),BK79,IF(AND($O$18=3,J79=Formeln_RI_P.10!A237),BU79,IF(AND($O$18=4,J79=Formeln_RI_P.10!A235),CE79,IF(AND($O$18=4,J79=Formeln_RI_P.10!A236),CO79,IF(AND($O$18=4,J79=Formeln_RI_P.10!A237),CY79,IF(AND($O$18=2,J79=Formeln_RI_P.10!A236),AQ79,IF(AND($O$18=3,J79=Formeln_RI_P.10!A235),BA79,0))))))))</f>
        <v>0</v>
      </c>
      <c r="E79" s="561" t="str">
        <f>VLOOKUP(732,Sprachindex!$A:$Z,Info!$O$7,FALSE)</f>
        <v>Rohreinmündung</v>
      </c>
      <c r="F79" s="562"/>
      <c r="G79" s="562"/>
      <c r="H79" s="562"/>
      <c r="I79" s="562"/>
      <c r="J79" s="614" t="s">
        <v>1234</v>
      </c>
      <c r="K79" s="630"/>
      <c r="L79" s="79" t="str">
        <f t="shared" si="1"/>
        <v xml:space="preserve"> </v>
      </c>
      <c r="M79" s="440" t="str">
        <f t="shared" si="2"/>
        <v>Stk.</v>
      </c>
      <c r="N79" s="80"/>
      <c r="O79" s="202" t="str">
        <f t="shared" si="19"/>
        <v xml:space="preserve"> </v>
      </c>
      <c r="R79" s="289"/>
      <c r="S79" s="195"/>
      <c r="T79" s="71"/>
      <c r="U79" s="149">
        <f t="shared" si="11"/>
        <v>0</v>
      </c>
      <c r="V79" s="149">
        <f t="shared" si="12"/>
        <v>0</v>
      </c>
      <c r="W79" s="149">
        <f>IF(J79="","",IF($O$18=1,"",IF(OR($O$18=2,3),2,IF($O$18=4,1,""))))</f>
        <v>2</v>
      </c>
      <c r="X79" s="149">
        <v>1</v>
      </c>
      <c r="Y79" s="19" t="s">
        <v>1238</v>
      </c>
      <c r="Z79" s="19" t="s">
        <v>1239</v>
      </c>
      <c r="AA79" s="19" t="s">
        <v>1240</v>
      </c>
      <c r="AB79" s="19" t="s">
        <v>1241</v>
      </c>
      <c r="AC79" s="19" t="s">
        <v>1242</v>
      </c>
      <c r="AD79" s="19" t="s">
        <v>1243</v>
      </c>
      <c r="AE79" s="19" t="s">
        <v>1244</v>
      </c>
      <c r="AF79" s="19"/>
      <c r="AG79" s="61">
        <f t="shared" si="18"/>
        <v>0</v>
      </c>
      <c r="AH79" s="61" t="s">
        <v>1245</v>
      </c>
      <c r="AI79" s="19" t="s">
        <v>1246</v>
      </c>
      <c r="AJ79" s="19" t="s">
        <v>1247</v>
      </c>
      <c r="AK79" s="19" t="s">
        <v>1248</v>
      </c>
      <c r="AL79" s="19" t="s">
        <v>1249</v>
      </c>
      <c r="AM79" s="19" t="s">
        <v>1250</v>
      </c>
      <c r="AN79" s="19" t="s">
        <v>1251</v>
      </c>
      <c r="AO79" s="19" t="s">
        <v>1252</v>
      </c>
      <c r="AP79" s="19"/>
      <c r="AQ79" s="61">
        <f>IF($O$16=1,AI79,IF($O$16=2,AJ79,IF($O$16=3,AK79,IF($O$16=4,AL79,IF($O$16=5,AM79,IF($O$16=6,AN79,IF($O$16=8,AO79,IF($O$16=10,AP79,0))))))))</f>
        <v>0</v>
      </c>
      <c r="AR79" s="61" t="s">
        <v>1253</v>
      </c>
      <c r="AS79" s="19" t="s">
        <v>1254</v>
      </c>
      <c r="AT79" s="19" t="s">
        <v>1255</v>
      </c>
      <c r="AU79" s="19" t="s">
        <v>1256</v>
      </c>
      <c r="AV79" s="19" t="s">
        <v>1257</v>
      </c>
      <c r="AW79" s="19" t="s">
        <v>1258</v>
      </c>
      <c r="AX79" s="19" t="s">
        <v>1259</v>
      </c>
      <c r="AY79" s="19" t="s">
        <v>1260</v>
      </c>
      <c r="AZ79" s="19"/>
      <c r="BA79" s="61">
        <f t="shared" si="21"/>
        <v>0</v>
      </c>
      <c r="BB79" s="61" t="s">
        <v>1261</v>
      </c>
      <c r="BC79" s="19" t="s">
        <v>1262</v>
      </c>
      <c r="BD79" s="19" t="s">
        <v>1263</v>
      </c>
      <c r="BE79" s="19">
        <v>203264</v>
      </c>
      <c r="BF79" s="19" t="s">
        <v>1264</v>
      </c>
      <c r="BG79" s="19" t="s">
        <v>1265</v>
      </c>
      <c r="BH79" s="19" t="s">
        <v>1266</v>
      </c>
      <c r="BI79" s="19" t="s">
        <v>1267</v>
      </c>
      <c r="BJ79" s="19"/>
      <c r="BK79" s="61">
        <f>IF($O$16=1,BC79,IF($O$16=2,BD79,IF($O$16=3,BE79,IF($O$16=4,BF79,IF($O$16=5,BG79,IF($O$16=6,BH79,IF($O$16=8,BI79,IF($O$16=10,BJ79,0))))))))</f>
        <v>0</v>
      </c>
      <c r="BL79" s="61" t="s">
        <v>1268</v>
      </c>
      <c r="BM79" s="19" t="s">
        <v>1269</v>
      </c>
      <c r="BN79" s="19" t="s">
        <v>1270</v>
      </c>
      <c r="BO79" s="19" t="s">
        <v>1271</v>
      </c>
      <c r="BP79" s="19" t="s">
        <v>1272</v>
      </c>
      <c r="BQ79" s="19" t="s">
        <v>1273</v>
      </c>
      <c r="BR79" s="19" t="s">
        <v>1274</v>
      </c>
      <c r="BS79" s="19" t="s">
        <v>1275</v>
      </c>
      <c r="BT79" s="19">
        <v>542049</v>
      </c>
      <c r="BU79" s="61">
        <f>IF($O$16=1,BM79,IF($O$16=2,BN79,IF($O$16=3,BO79,IF($O$16=4,BP79,IF($O$16=5,BQ79,IF($O$16=6,BR79,IF($O$16=8,BS79,IF($O$16=10,BT79,0))))))))</f>
        <v>0</v>
      </c>
      <c r="BV79" s="61" t="s">
        <v>1276</v>
      </c>
      <c r="BW79" s="19" t="s">
        <v>1277</v>
      </c>
      <c r="BX79" s="19" t="s">
        <v>1278</v>
      </c>
      <c r="BY79" s="19" t="s">
        <v>1279</v>
      </c>
      <c r="BZ79" s="19" t="s">
        <v>1280</v>
      </c>
      <c r="CA79" s="19" t="s">
        <v>1281</v>
      </c>
      <c r="CB79" s="19" t="s">
        <v>1282</v>
      </c>
      <c r="CC79" s="19" t="s">
        <v>1283</v>
      </c>
      <c r="CD79" s="19"/>
      <c r="CE79" s="61">
        <f>IF($O$16=1,BW79,IF($O$16=2,BX79,IF($O$16=3,BY79,IF($O$16=4,BZ79,IF($O$16=5,CA79,IF($O$16=6,CB79,IF($O$16=8,CC79,IF($O$16=10,CD79,0))))))))</f>
        <v>0</v>
      </c>
      <c r="CF79" s="61" t="s">
        <v>1284</v>
      </c>
      <c r="CG79" s="19" t="s">
        <v>1285</v>
      </c>
      <c r="CH79" s="19" t="s">
        <v>1286</v>
      </c>
      <c r="CI79" s="19" t="s">
        <v>1287</v>
      </c>
      <c r="CJ79" s="19" t="s">
        <v>1288</v>
      </c>
      <c r="CK79" s="19" t="s">
        <v>1289</v>
      </c>
      <c r="CL79" s="19" t="s">
        <v>1290</v>
      </c>
      <c r="CM79" s="19" t="s">
        <v>1291</v>
      </c>
      <c r="CN79" s="19"/>
      <c r="CO79" s="61">
        <f>IF($O$16=1,CG79,IF($O$16=2,CH79,IF($O$16=3,CI79,IF($O$16=4,CJ79,IF($O$16=5,CK79,IF($O$16=6,CL79,IF($O$16=8,CM79,IF($O$16=10,CN79,0))))))))</f>
        <v>0</v>
      </c>
      <c r="CP79" s="61" t="s">
        <v>1292</v>
      </c>
      <c r="CQ79" s="19" t="s">
        <v>1293</v>
      </c>
      <c r="CR79" s="19" t="s">
        <v>1294</v>
      </c>
      <c r="CS79" s="19" t="s">
        <v>1295</v>
      </c>
      <c r="CT79" s="19" t="s">
        <v>1296</v>
      </c>
      <c r="CU79" s="19" t="s">
        <v>1297</v>
      </c>
      <c r="CV79" s="19" t="s">
        <v>1298</v>
      </c>
      <c r="CW79" s="19" t="s">
        <v>1299</v>
      </c>
      <c r="CX79" s="19"/>
      <c r="CY79" s="61">
        <f>IF($O$16=1,CQ79,IF($O$16=2,CR79,IF($O$16=3,CS79,IF($O$16=4,CT79,IF($O$16=5,CU79,IF($O$16=6,CV79,IF($O$16=8,CW79,IF($O$16=10,CX79,0))))))))</f>
        <v>0</v>
      </c>
      <c r="CZ79" s="61" t="s">
        <v>1300</v>
      </c>
      <c r="FE79" s="561" t="str">
        <f>VLOOKUP(732,Sprachindex!$A:$Z,Info!$O$7,FALSE)</f>
        <v>Rohreinmündung</v>
      </c>
      <c r="FF79" s="562"/>
      <c r="FG79" s="562"/>
      <c r="FH79" s="562"/>
      <c r="FI79" s="562"/>
      <c r="FJ79" s="242"/>
      <c r="FK79" s="237"/>
      <c r="FL79" s="243"/>
      <c r="FM79" s="242"/>
      <c r="FN79" s="237"/>
      <c r="FO79" s="246"/>
      <c r="FP79" s="247"/>
      <c r="FQ79" s="111"/>
      <c r="FR79" s="243"/>
      <c r="FS79" s="256"/>
      <c r="FT79" s="271" t="str">
        <f>IF(O18=2,FV79,IF(O18=3,FW79,IF(O18=4,FX79," ")))</f>
        <v xml:space="preserve"> </v>
      </c>
      <c r="FV79" s="318" t="str">
        <f>IF(O18=2,IF(J79=GE78,GE79,IF(J79=GF78,GF79," "))," ")</f>
        <v xml:space="preserve"> </v>
      </c>
      <c r="FW79" s="319" t="str">
        <f>IF(O18=3,IF(J79=GG78,GG79,IF(J79=GH78,GH79,IF(J79=GI78,GI79," ")))," ")</f>
        <v xml:space="preserve"> </v>
      </c>
      <c r="FX79" s="320" t="str">
        <f>IF(O18=4,IF(J79=GJ78,GJ79,IF(J79=GK78,GK79,IF(J79=GL78,GL79," ")))," ")</f>
        <v xml:space="preserve"> </v>
      </c>
      <c r="FY79" s="276"/>
      <c r="FZ79" s="277"/>
      <c r="GA79" s="277"/>
      <c r="GB79" s="277"/>
      <c r="GC79" s="278"/>
      <c r="GE79" s="313">
        <v>68.040000000000006</v>
      </c>
      <c r="GF79" s="316">
        <v>70.16</v>
      </c>
      <c r="GG79" s="313">
        <v>68.86</v>
      </c>
      <c r="GH79" s="314">
        <v>71.010000000000005</v>
      </c>
      <c r="GI79" s="315">
        <v>71.739999999999995</v>
      </c>
      <c r="GJ79" s="313">
        <v>72.540000000000006</v>
      </c>
      <c r="GK79" s="314">
        <v>72.540000000000006</v>
      </c>
      <c r="GL79" s="315">
        <v>80.19</v>
      </c>
    </row>
    <row r="80" spans="1:200" ht="32.1" customHeight="1">
      <c r="A80" s="443"/>
      <c r="B80" s="79" t="str">
        <f>VLOOKUP(878,Sprachindex!$A:$Z,Info!$O$7,FALSE)</f>
        <v>Stk.</v>
      </c>
      <c r="C80" s="78"/>
      <c r="D80" s="78" t="str">
        <f>IF(O18=3,AG80,"")</f>
        <v/>
      </c>
      <c r="E80" s="561" t="str">
        <f>VLOOKUP(733,Sprachindex!$A:$Z,Info!$O$7,FALSE)</f>
        <v>Rohreinmündung konisch</v>
      </c>
      <c r="F80" s="562"/>
      <c r="G80" s="562"/>
      <c r="H80" s="562"/>
      <c r="I80" s="629"/>
      <c r="J80" s="627" t="s">
        <v>1301</v>
      </c>
      <c r="K80" s="628"/>
      <c r="L80" s="79" t="str">
        <f>IF(OR(A80="",W80="",X80="")," ",IF($O$11=1,U80,IF($O$11=2,V80,"")))</f>
        <v xml:space="preserve"> </v>
      </c>
      <c r="M80" s="440" t="str">
        <f t="shared" si="2"/>
        <v>Stk.</v>
      </c>
      <c r="N80" s="80"/>
      <c r="O80" s="202" t="str">
        <f t="shared" si="19"/>
        <v xml:space="preserve"> </v>
      </c>
      <c r="R80" s="289"/>
      <c r="S80" s="195"/>
      <c r="T80" s="71"/>
      <c r="U80" s="149" t="e">
        <f t="shared" si="11"/>
        <v>#VALUE!</v>
      </c>
      <c r="V80" s="149">
        <f t="shared" si="12"/>
        <v>0</v>
      </c>
      <c r="W80" s="149" t="str">
        <f>IF($O$18=3,2,"")</f>
        <v/>
      </c>
      <c r="X80" s="149">
        <v>1</v>
      </c>
      <c r="Y80" t="s">
        <v>1302</v>
      </c>
      <c r="Z80" t="s">
        <v>1303</v>
      </c>
      <c r="AA80" t="s">
        <v>1304</v>
      </c>
      <c r="AB80" t="s">
        <v>1305</v>
      </c>
      <c r="AC80" t="s">
        <v>1306</v>
      </c>
      <c r="AD80" t="s">
        <v>1307</v>
      </c>
      <c r="AE80" t="s">
        <v>1308</v>
      </c>
      <c r="AF80"/>
      <c r="AG80" s="61">
        <f t="shared" si="18"/>
        <v>0</v>
      </c>
      <c r="AH80" s="61" t="s">
        <v>1309</v>
      </c>
      <c r="FE80" s="561" t="str">
        <f>VLOOKUP(733,Sprachindex!$A:$Z,Info!$O$7,FALSE)</f>
        <v>Rohreinmündung konisch</v>
      </c>
      <c r="FF80" s="562"/>
      <c r="FG80" s="562"/>
      <c r="FH80" s="562"/>
      <c r="FI80" s="629"/>
      <c r="FJ80" s="242"/>
      <c r="FK80" s="237"/>
      <c r="FL80" s="243"/>
      <c r="FM80" s="242"/>
      <c r="FN80" s="237"/>
      <c r="FO80" s="246"/>
      <c r="FP80" s="247"/>
      <c r="FQ80" s="111"/>
      <c r="FR80" s="243"/>
      <c r="FS80" s="256"/>
      <c r="FT80" s="271">
        <f>GA80</f>
        <v>96.77</v>
      </c>
      <c r="FY80" s="276"/>
      <c r="FZ80" s="277"/>
      <c r="GA80" s="277">
        <v>96.77</v>
      </c>
      <c r="GB80" s="277"/>
      <c r="GC80" s="278"/>
    </row>
    <row r="81" spans="1:204" ht="32.1" customHeight="1">
      <c r="A81" s="109"/>
      <c r="B81" s="79" t="str">
        <f>VLOOKUP(878,Sprachindex!$A:$Z,Info!$O$7,FALSE)</f>
        <v>Stk.</v>
      </c>
      <c r="C81" s="78"/>
      <c r="D81" s="78" t="str">
        <f>IF(AND(O18=1,J81=Formeln_RI_P.10!A250),AG81,IF(AND(O18=2,J81=Formeln_RI_P.10!A250),AQ81,IF(AND(O18=3,J81=Formeln_RI_P.10!A250),BA81,IF(AND(O18=3,J81=Formeln_RI_P.10!A251),BK81,IF(AND(O18=4,J81=Formeln_RI_P.10!A250),BU81,"")))))</f>
        <v/>
      </c>
      <c r="E81" s="561" t="str">
        <f>VLOOKUP(861,Sprachindex!$A:$Z,Info!$O$7,FALSE)</f>
        <v>Standrohrkappe</v>
      </c>
      <c r="F81" s="562"/>
      <c r="G81" s="562"/>
      <c r="H81" s="562"/>
      <c r="I81" s="629"/>
      <c r="J81" s="614" t="s">
        <v>1310</v>
      </c>
      <c r="K81" s="630"/>
      <c r="L81" s="79" t="str">
        <f>IF(OR(A81="",W81="",X81="")," ",IF($O$11=1,U81,IF($O$11=2,V81,0)))</f>
        <v xml:space="preserve"> </v>
      </c>
      <c r="M81" s="440" t="str">
        <f t="shared" si="2"/>
        <v>Stk.</v>
      </c>
      <c r="N81" s="80"/>
      <c r="O81" s="202" t="str">
        <f t="shared" si="19"/>
        <v xml:space="preserve"> </v>
      </c>
      <c r="R81" s="289"/>
      <c r="S81" s="195"/>
      <c r="T81" s="71"/>
      <c r="U81" s="149" t="e">
        <f t="shared" si="11"/>
        <v>#VALUE!</v>
      </c>
      <c r="V81" s="149">
        <f t="shared" si="12"/>
        <v>0</v>
      </c>
      <c r="W81" s="149" t="str">
        <f>IF(J81="","",IF($O$18=1,20,IF($O$18=2,20,IF($O$18=3,20,IF($O$18=4,10,"")))))</f>
        <v/>
      </c>
      <c r="X81" s="149">
        <v>1</v>
      </c>
      <c r="Y81" t="s">
        <v>1311</v>
      </c>
      <c r="Z81" t="s">
        <v>1312</v>
      </c>
      <c r="AA81" t="s">
        <v>1313</v>
      </c>
      <c r="AB81" t="s">
        <v>1314</v>
      </c>
      <c r="AC81" t="s">
        <v>1315</v>
      </c>
      <c r="AD81" t="s">
        <v>1316</v>
      </c>
      <c r="AE81" t="s">
        <v>1317</v>
      </c>
      <c r="AF81"/>
      <c r="AG81" s="61">
        <f t="shared" si="18"/>
        <v>0</v>
      </c>
      <c r="AH81" s="61" t="s">
        <v>1318</v>
      </c>
      <c r="AI81" t="s">
        <v>1319</v>
      </c>
      <c r="AJ81" t="s">
        <v>1320</v>
      </c>
      <c r="AK81" t="s">
        <v>1321</v>
      </c>
      <c r="AL81" t="s">
        <v>1322</v>
      </c>
      <c r="AM81" t="s">
        <v>1323</v>
      </c>
      <c r="AN81" t="s">
        <v>1324</v>
      </c>
      <c r="AO81" t="s">
        <v>1325</v>
      </c>
      <c r="AP81"/>
      <c r="AQ81" s="61">
        <f>IF($O$16=1,AI81,IF($O$16=2,AJ81,IF($O$16=3,AK81,IF($O$16=4,AL81,IF($O$16=5,AM81,IF($O$16=6,AN81,IF($O$16=8,AO81,IF($O$16=10,AP81,0))))))))</f>
        <v>0</v>
      </c>
      <c r="AR81" s="61" t="s">
        <v>1326</v>
      </c>
      <c r="AS81" t="s">
        <v>1327</v>
      </c>
      <c r="AT81" t="s">
        <v>1328</v>
      </c>
      <c r="AU81" t="s">
        <v>1329</v>
      </c>
      <c r="AV81" t="s">
        <v>1330</v>
      </c>
      <c r="AW81" t="s">
        <v>1331</v>
      </c>
      <c r="AX81" t="s">
        <v>1332</v>
      </c>
      <c r="AY81" t="s">
        <v>1333</v>
      </c>
      <c r="AZ81">
        <v>537228</v>
      </c>
      <c r="BA81" s="61">
        <f t="shared" si="21"/>
        <v>0</v>
      </c>
      <c r="BB81" s="61" t="s">
        <v>1334</v>
      </c>
      <c r="BC81" t="s">
        <v>1335</v>
      </c>
      <c r="BD81" t="s">
        <v>1336</v>
      </c>
      <c r="BE81" t="s">
        <v>1337</v>
      </c>
      <c r="BF81" t="s">
        <v>1338</v>
      </c>
      <c r="BG81" t="s">
        <v>1339</v>
      </c>
      <c r="BH81" t="s">
        <v>1340</v>
      </c>
      <c r="BI81" t="s">
        <v>1341</v>
      </c>
      <c r="BJ81">
        <v>537238</v>
      </c>
      <c r="BK81" s="61">
        <f>IF($O$16=1,BC81,IF($O$16=2,BD81,IF($O$16=3,BE81,IF($O$16=4,BF81,IF($O$16=5,BG81,IF($O$16=6,BH81,IF($O$16=8,BI81,IF($O$16=10,BJ81,0))))))))</f>
        <v>0</v>
      </c>
      <c r="BL81" s="61" t="s">
        <v>1310</v>
      </c>
      <c r="BM81" t="s">
        <v>1342</v>
      </c>
      <c r="BN81" t="s">
        <v>1343</v>
      </c>
      <c r="BO81" t="s">
        <v>1344</v>
      </c>
      <c r="BP81" t="s">
        <v>1345</v>
      </c>
      <c r="BQ81" t="s">
        <v>1346</v>
      </c>
      <c r="BR81" t="s">
        <v>1347</v>
      </c>
      <c r="BS81" t="s">
        <v>1348</v>
      </c>
      <c r="BT81"/>
      <c r="BU81" s="61">
        <f>IF($O$16=1,BM81,IF($O$16=2,BN81,IF($O$16=3,BO81,IF($O$16=4,BP81,IF($O$16=5,BQ81,IF($O$16=6,BR81,IF($O$16=8,BS81,IF($O$16=10,BT81,0))))))))</f>
        <v>0</v>
      </c>
      <c r="BV81" s="61" t="s">
        <v>1349</v>
      </c>
      <c r="FE81" s="561" t="str">
        <f>VLOOKUP(861,Sprachindex!$A:$Z,Info!$O$7,FALSE)</f>
        <v>Standrohrkappe</v>
      </c>
      <c r="FF81" s="562"/>
      <c r="FG81" s="562"/>
      <c r="FH81" s="562"/>
      <c r="FI81" s="629"/>
      <c r="FJ81" s="242"/>
      <c r="FK81" s="237"/>
      <c r="FL81" s="243"/>
      <c r="FM81" s="242"/>
      <c r="FN81" s="237"/>
      <c r="FO81" s="246"/>
      <c r="FP81" s="247"/>
      <c r="FQ81" s="111"/>
      <c r="FR81" s="243"/>
      <c r="FS81" s="256"/>
      <c r="FT81" s="271" t="str">
        <f>IF(O18=1,FY81,IF(O18=2,FZ81,IF(O18=3,GA81,IF(O18=4,GB81,IF(O18=5,GC81," ")))))</f>
        <v xml:space="preserve"> </v>
      </c>
      <c r="FY81" s="276">
        <v>6.9</v>
      </c>
      <c r="FZ81" s="277">
        <v>7.11</v>
      </c>
      <c r="GA81" s="277">
        <v>7.26</v>
      </c>
      <c r="GB81" s="277">
        <v>8.39</v>
      </c>
      <c r="GC81" s="278">
        <v>9.65</v>
      </c>
    </row>
    <row r="82" spans="1:204" ht="32.1" customHeight="1">
      <c r="A82" s="109"/>
      <c r="B82" s="79" t="str">
        <f>VLOOKUP(878,Sprachindex!$A:$Z,Info!$O$7,FALSE)</f>
        <v>Stk.</v>
      </c>
      <c r="C82" s="78"/>
      <c r="D82" s="78">
        <f>IF($O$18=2,AG82,IF($O$18=3,AQ82,IF($O$18=4,BA82,IF($O$18=5,BK82,0))))</f>
        <v>0</v>
      </c>
      <c r="E82" s="561" t="str">
        <f>VLOOKUP(860,Sprachindex!$A:$Z,Info!$O$7,FALSE)</f>
        <v>Standrohr mit Reinigungsöffnung</v>
      </c>
      <c r="F82" s="562"/>
      <c r="G82" s="562"/>
      <c r="H82" s="562"/>
      <c r="I82" s="562"/>
      <c r="J82" s="627" t="str">
        <f>Formeln_RI_P.10!A254</f>
        <v/>
      </c>
      <c r="K82" s="628"/>
      <c r="L82" s="79" t="str">
        <f>IF(OR(A82="",W82="",X82="")," ",IF($O$11=1,U82,IF($O$11=2,V82,0)))</f>
        <v xml:space="preserve"> </v>
      </c>
      <c r="M82" s="440" t="str">
        <f t="shared" si="2"/>
        <v>Stk.</v>
      </c>
      <c r="N82" s="80"/>
      <c r="O82" s="202" t="str">
        <f t="shared" si="19"/>
        <v xml:space="preserve"> </v>
      </c>
      <c r="R82" s="289"/>
      <c r="S82" s="195"/>
      <c r="T82" s="71"/>
      <c r="U82" s="149" t="e">
        <f t="shared" si="11"/>
        <v>#VALUE!</v>
      </c>
      <c r="V82" s="149">
        <f t="shared" si="12"/>
        <v>0</v>
      </c>
      <c r="W82" s="149" t="str">
        <f>IF($O$18=2,1,IF($O$18=3,1,IF($O$18=4,1,"")))</f>
        <v/>
      </c>
      <c r="X82" s="149">
        <v>1</v>
      </c>
      <c r="Y82" t="s">
        <v>1350</v>
      </c>
      <c r="Z82" t="s">
        <v>1351</v>
      </c>
      <c r="AA82" t="s">
        <v>1352</v>
      </c>
      <c r="AB82" t="s">
        <v>1353</v>
      </c>
      <c r="AC82" t="s">
        <v>1354</v>
      </c>
      <c r="AD82" t="s">
        <v>1355</v>
      </c>
      <c r="AE82" t="s">
        <v>1356</v>
      </c>
      <c r="AF82"/>
      <c r="AG82" s="61">
        <f t="shared" si="18"/>
        <v>0</v>
      </c>
      <c r="AH82" s="61" t="s">
        <v>1357</v>
      </c>
      <c r="AI82" t="s">
        <v>1358</v>
      </c>
      <c r="AJ82" t="s">
        <v>1359</v>
      </c>
      <c r="AK82" t="s">
        <v>1360</v>
      </c>
      <c r="AL82" t="s">
        <v>1361</v>
      </c>
      <c r="AM82" t="s">
        <v>1362</v>
      </c>
      <c r="AN82" t="s">
        <v>1363</v>
      </c>
      <c r="AO82" t="s">
        <v>1364</v>
      </c>
      <c r="AP82">
        <v>668142</v>
      </c>
      <c r="AQ82" s="61">
        <f t="shared" ref="AQ82:AQ90" si="22">IF($O$16=1,AI82,IF($O$16=2,AJ82,IF($O$16=3,AK82,IF($O$16=4,AL82,IF($O$16=5,AM82,IF($O$16=6,AN82,IF($O$16=8,AO82,IF($O$16=10,AP82,0))))))))</f>
        <v>0</v>
      </c>
      <c r="AR82" s="61" t="s">
        <v>1365</v>
      </c>
      <c r="AS82" t="s">
        <v>1366</v>
      </c>
      <c r="AT82" t="s">
        <v>1367</v>
      </c>
      <c r="AU82" t="s">
        <v>1368</v>
      </c>
      <c r="AV82" t="s">
        <v>1369</v>
      </c>
      <c r="AW82" t="s">
        <v>1370</v>
      </c>
      <c r="AX82" t="s">
        <v>1371</v>
      </c>
      <c r="AY82" t="s">
        <v>1372</v>
      </c>
      <c r="AZ82"/>
      <c r="BA82" s="61">
        <f t="shared" si="21"/>
        <v>0</v>
      </c>
      <c r="BB82" s="61" t="s">
        <v>1373</v>
      </c>
      <c r="FE82" s="561" t="str">
        <f>VLOOKUP(860,Sprachindex!$A:$Z,Info!$O$7,FALSE)</f>
        <v>Standrohr mit Reinigungsöffnung</v>
      </c>
      <c r="FF82" s="562"/>
      <c r="FG82" s="562"/>
      <c r="FH82" s="562"/>
      <c r="FI82" s="562"/>
      <c r="FJ82" s="242"/>
      <c r="FK82" s="237"/>
      <c r="FL82" s="243"/>
      <c r="FM82" s="242"/>
      <c r="FN82" s="237"/>
      <c r="FO82" s="246"/>
      <c r="FP82" s="247"/>
      <c r="FQ82" s="111"/>
      <c r="FR82" s="243"/>
      <c r="FS82" s="256"/>
      <c r="FT82" s="271" t="str">
        <f>IF(O18=2,FZ82,IF(O18=3,GA82,IF(O18=4,GB82," ")))</f>
        <v xml:space="preserve"> </v>
      </c>
      <c r="FY82" s="276"/>
      <c r="FZ82" s="277">
        <v>88.01</v>
      </c>
      <c r="GA82" s="277">
        <v>95.33</v>
      </c>
      <c r="GB82" s="277">
        <v>208.2</v>
      </c>
      <c r="GC82" s="278"/>
    </row>
    <row r="83" spans="1:204" ht="32.1" customHeight="1">
      <c r="A83" s="109"/>
      <c r="B83" s="79" t="str">
        <f>VLOOKUP(878,Sprachindex!$A:$Z,Info!$O$7,FALSE)</f>
        <v>Stk.</v>
      </c>
      <c r="C83" s="78"/>
      <c r="D83" s="78">
        <f>IF($O$18=2,AQ83,IF($O$18=3,BA83,IF($O$18=4,BK83,IF($O$18=1,AG83,IF($O$18=5,BU83,0)))))</f>
        <v>0</v>
      </c>
      <c r="E83" s="561" t="str">
        <f>VLOOKUP(747,Sprachindex!$A:$Z,Info!$O$7,FALSE)</f>
        <v>Rohrverbinder</v>
      </c>
      <c r="F83" s="562"/>
      <c r="G83" s="562"/>
      <c r="H83" s="562"/>
      <c r="I83" s="629"/>
      <c r="J83" s="627" t="str">
        <f>Formeln_RI_P.10!A187</f>
        <v/>
      </c>
      <c r="K83" s="628"/>
      <c r="L83" s="79" t="str">
        <f>IF(OR(A83="",W83="",X83="")," ",IF($O$11=1,U83,IF($O$11=2,V83,0)))</f>
        <v xml:space="preserve"> </v>
      </c>
      <c r="M83" s="440" t="str">
        <f t="shared" si="2"/>
        <v>Stk.</v>
      </c>
      <c r="N83" s="80"/>
      <c r="O83" s="202" t="str">
        <f t="shared" si="17"/>
        <v xml:space="preserve"> </v>
      </c>
      <c r="R83" s="289"/>
      <c r="S83" s="195"/>
      <c r="T83" s="71"/>
      <c r="U83" s="149">
        <f t="shared" si="11"/>
        <v>0</v>
      </c>
      <c r="V83" s="149">
        <f t="shared" si="12"/>
        <v>0</v>
      </c>
      <c r="W83" s="149">
        <f>IF($O$18="","",2)</f>
        <v>2</v>
      </c>
      <c r="X83" s="149">
        <v>1</v>
      </c>
      <c r="Y83" t="s">
        <v>1374</v>
      </c>
      <c r="Z83" t="s">
        <v>1375</v>
      </c>
      <c r="AA83" t="s">
        <v>1376</v>
      </c>
      <c r="AB83" t="s">
        <v>1377</v>
      </c>
      <c r="AC83" t="s">
        <v>1378</v>
      </c>
      <c r="AD83" t="s">
        <v>1379</v>
      </c>
      <c r="AE83" t="s">
        <v>1380</v>
      </c>
      <c r="AF83"/>
      <c r="AG83" s="61">
        <f t="shared" si="18"/>
        <v>0</v>
      </c>
      <c r="AH83" s="61">
        <v>60</v>
      </c>
      <c r="AI83" t="s">
        <v>1381</v>
      </c>
      <c r="AJ83" t="s">
        <v>1382</v>
      </c>
      <c r="AK83" t="s">
        <v>1383</v>
      </c>
      <c r="AL83" t="s">
        <v>1384</v>
      </c>
      <c r="AM83" t="s">
        <v>1385</v>
      </c>
      <c r="AN83" t="s">
        <v>1386</v>
      </c>
      <c r="AO83" t="s">
        <v>1387</v>
      </c>
      <c r="AP83"/>
      <c r="AQ83" s="61">
        <f t="shared" si="22"/>
        <v>0</v>
      </c>
      <c r="AR83" s="61">
        <v>80</v>
      </c>
      <c r="AS83" t="s">
        <v>1388</v>
      </c>
      <c r="AT83" t="s">
        <v>1389</v>
      </c>
      <c r="AU83" t="s">
        <v>1390</v>
      </c>
      <c r="AV83" t="s">
        <v>1391</v>
      </c>
      <c r="AW83" t="s">
        <v>1392</v>
      </c>
      <c r="AX83" t="s">
        <v>1393</v>
      </c>
      <c r="AY83" t="s">
        <v>1394</v>
      </c>
      <c r="AZ83"/>
      <c r="BA83" s="61">
        <f t="shared" si="21"/>
        <v>0</v>
      </c>
      <c r="BB83" s="61">
        <v>100</v>
      </c>
      <c r="BC83" t="s">
        <v>1395</v>
      </c>
      <c r="BD83" t="s">
        <v>1396</v>
      </c>
      <c r="BE83" t="s">
        <v>1397</v>
      </c>
      <c r="BF83" t="s">
        <v>1398</v>
      </c>
      <c r="BG83" t="s">
        <v>1399</v>
      </c>
      <c r="BH83" t="s">
        <v>1400</v>
      </c>
      <c r="BI83" t="s">
        <v>1401</v>
      </c>
      <c r="BJ83"/>
      <c r="BK83" s="61">
        <f>IF($O$16=1,BC83,IF($O$16=2,BD83,IF($O$16=3,BE83,IF($O$16=4,BF83,IF($O$16=5,BG83,IF($O$16=6,BH83,IF($O$16=8,BI83,IF($O$16=10,BJ83,0))))))))</f>
        <v>0</v>
      </c>
      <c r="BL83" s="61">
        <v>120</v>
      </c>
      <c r="BM83"/>
      <c r="BN83"/>
      <c r="BO83"/>
      <c r="BP83"/>
      <c r="BQ83"/>
      <c r="BR83"/>
      <c r="BS83"/>
      <c r="BT83"/>
      <c r="BU83" s="61">
        <f>IF($O$16=1,BM83,IF($O$16=2,BN83,IF($O$16=3,BO83,IF($O$16=4,BP83,IF($O$16=5,BQ83,IF($O$16=6,BR83,IF($O$16=8,BS83,IF($O$16=10,BT83,0))))))))</f>
        <v>0</v>
      </c>
      <c r="BV83" s="61">
        <v>150</v>
      </c>
      <c r="FE83" s="561" t="str">
        <f>VLOOKUP(747,Sprachindex!$A:$Z,Info!$O$7,FALSE)</f>
        <v>Rohrverbinder</v>
      </c>
      <c r="FF83" s="562"/>
      <c r="FG83" s="562"/>
      <c r="FH83" s="562"/>
      <c r="FI83" s="629"/>
      <c r="FJ83" s="242"/>
      <c r="FK83" s="237"/>
      <c r="FL83" s="243"/>
      <c r="FM83" s="242"/>
      <c r="FN83" s="237"/>
      <c r="FO83" s="246"/>
      <c r="FP83" s="247"/>
      <c r="FQ83" s="111"/>
      <c r="FR83" s="243"/>
      <c r="FS83" s="256"/>
      <c r="FT83" s="271" t="str">
        <f>IF(O18=1,FY83,IF(O18=2,FZ83,IF(O18=3,GA83,IF(O18=4,GB83,IF(O18=5,GC83," ")))))</f>
        <v xml:space="preserve"> </v>
      </c>
      <c r="FY83" s="276">
        <v>8.49</v>
      </c>
      <c r="FZ83" s="277">
        <v>6.59</v>
      </c>
      <c r="GA83" s="277">
        <v>6.81</v>
      </c>
      <c r="GB83" s="277">
        <v>9.69</v>
      </c>
      <c r="GC83" s="278">
        <v>63.67</v>
      </c>
    </row>
    <row r="84" spans="1:204" ht="32.1" customHeight="1">
      <c r="A84" s="109"/>
      <c r="B84" s="79" t="str">
        <f>VLOOKUP(878,Sprachindex!$A:$Z,Info!$O$7,FALSE)</f>
        <v>Stk.</v>
      </c>
      <c r="C84" s="78"/>
      <c r="D84" s="78"/>
      <c r="E84" s="561" t="str">
        <f>VLOOKUP(1876,Sprachindex!$A:$Z,Info!$O$7,FALSE)</f>
        <v>Rohrverbinder Stärke 1,6 mm</v>
      </c>
      <c r="F84" s="562"/>
      <c r="G84" s="562"/>
      <c r="H84" s="562"/>
      <c r="I84" s="562"/>
      <c r="J84" s="627" t="str">
        <f>IF($O$18="","",IF($O$18=1,Formeln!$A$177,IF($O$18=2,Formeln!$A$177,IF($O$18=3,Formeln!$F$194,IF($O$18=4,Formeln!$A$177,IF($O$18=5,Formeln!$A$177,""))))))</f>
        <v/>
      </c>
      <c r="K84" s="628"/>
      <c r="L84" s="79" t="str">
        <f>IF(OR(A84="",W84="",X84="")," ",IF($O$11=1,$U84,IF($O$11=2,V84,0)))</f>
        <v xml:space="preserve"> </v>
      </c>
      <c r="M84" s="440" t="str">
        <f t="shared" si="2"/>
        <v>Stk.</v>
      </c>
      <c r="N84" s="80"/>
      <c r="O84" s="202" t="str">
        <f t="shared" ref="O84:O92" si="23">IF(ISNUMBER(L84),FT84*L84," ")</f>
        <v xml:space="preserve"> </v>
      </c>
      <c r="R84" s="289"/>
      <c r="S84" s="195"/>
      <c r="T84" s="71"/>
      <c r="U84" s="149">
        <f t="shared" si="11"/>
        <v>0</v>
      </c>
      <c r="V84" s="149">
        <f t="shared" si="12"/>
        <v>0</v>
      </c>
      <c r="W84" s="149">
        <v>2</v>
      </c>
      <c r="X84" s="149">
        <v>1</v>
      </c>
      <c r="Y84" t="s">
        <v>1402</v>
      </c>
      <c r="Z84"/>
      <c r="AA84"/>
      <c r="AB84"/>
      <c r="AC84"/>
      <c r="AD84"/>
      <c r="AE84"/>
      <c r="AF84"/>
      <c r="AG84"/>
      <c r="AH84"/>
      <c r="AI84"/>
      <c r="AJ84"/>
      <c r="AK84" s="59"/>
      <c r="AL84" s="61">
        <f t="shared" ref="AL84" si="24">IF($O$21=1,AA84,IF($O$21=2,AC84,IF($O$21=3,AB84,IF($O$21=4,AE84,IF($O$21=5,AG84,IF($O$21=6,Z84,IF($O$21=7,AH84,IF($O$21=8,AI84,IF($O$21=9,Y84,0)))))))))</f>
        <v>0</v>
      </c>
      <c r="AM84" s="61"/>
      <c r="FE84" s="561" t="str">
        <f>VLOOKUP(1876,Sprachindex!$A:$Z,Info!$O$7,FALSE)</f>
        <v>Rohrverbinder Stärke 1,6 mm</v>
      </c>
      <c r="FF84" s="562"/>
      <c r="FG84" s="562"/>
      <c r="FH84" s="562"/>
      <c r="FI84" s="562"/>
      <c r="FJ84" s="242"/>
      <c r="FK84" s="237"/>
      <c r="FL84" s="243"/>
      <c r="FM84" s="242"/>
      <c r="FN84" s="237"/>
      <c r="FO84" s="246"/>
      <c r="FP84" s="247"/>
      <c r="FQ84" s="111"/>
      <c r="FR84" s="243"/>
      <c r="FS84" s="256"/>
      <c r="FT84" s="271">
        <f>GA84</f>
        <v>8.01</v>
      </c>
      <c r="FY84" s="276"/>
      <c r="FZ84" s="277"/>
      <c r="GA84" s="277">
        <v>8.01</v>
      </c>
      <c r="GB84" s="277"/>
      <c r="GC84" s="278"/>
    </row>
    <row r="85" spans="1:204" ht="32.1" customHeight="1">
      <c r="A85" s="109"/>
      <c r="B85" s="79" t="str">
        <f>VLOOKUP(878,Sprachindex!$A:$Z,Info!$O$7,FALSE)</f>
        <v>Stk.</v>
      </c>
      <c r="C85" s="78"/>
      <c r="D85" s="78">
        <f>IF(J85=Formeln_RI_P.10!G185,AG85,IF(J85=Formeln_RI_P.10!G186,AQ85,0))</f>
        <v>0</v>
      </c>
      <c r="E85" s="561" t="str">
        <f>VLOOKUP(788,Sprachindex!$A:$Z,Info!$O$7,FALSE)</f>
        <v>Schiebemuffe</v>
      </c>
      <c r="F85" s="562"/>
      <c r="G85" s="562"/>
      <c r="H85" s="562"/>
      <c r="I85" s="629"/>
      <c r="J85" s="627" t="str">
        <f>Formeln_RI_P.10!A187</f>
        <v/>
      </c>
      <c r="K85" s="628"/>
      <c r="L85" s="79" t="str">
        <f t="shared" ref="L85:L89" si="25">IF(OR(A85="",W85="",X85="")," ",IF($O$11=1,U85,IF($O$11=2,V85,0)))</f>
        <v xml:space="preserve"> </v>
      </c>
      <c r="M85" s="440" t="str">
        <f t="shared" si="2"/>
        <v>Stk.</v>
      </c>
      <c r="N85" s="80"/>
      <c r="O85" s="202" t="str">
        <f t="shared" si="23"/>
        <v xml:space="preserve"> </v>
      </c>
      <c r="R85" s="289"/>
      <c r="S85" s="195"/>
      <c r="T85" s="71"/>
      <c r="U85" s="149" t="e">
        <f t="shared" si="11"/>
        <v>#VALUE!</v>
      </c>
      <c r="V85" s="149">
        <f t="shared" si="12"/>
        <v>0</v>
      </c>
      <c r="W85" s="149" t="str">
        <f>IF(J85=Formeln_RI_P.10!G185,2,IF('RI_P.10'!J85=Formeln_RI_P.10!G186,2,IF('RI_P.10'!J85=Formeln_RI_P.10!G187,1,IF('RI_P.10'!J85=Formeln_RI_P.10!G184,"",""))))</f>
        <v/>
      </c>
      <c r="X85" s="149">
        <v>1</v>
      </c>
      <c r="Y85" t="s">
        <v>1403</v>
      </c>
      <c r="Z85" t="s">
        <v>1404</v>
      </c>
      <c r="AA85" t="s">
        <v>1405</v>
      </c>
      <c r="AB85" t="s">
        <v>1406</v>
      </c>
      <c r="AC85" t="s">
        <v>1407</v>
      </c>
      <c r="AD85" t="s">
        <v>1408</v>
      </c>
      <c r="AE85" t="s">
        <v>1409</v>
      </c>
      <c r="AF85"/>
      <c r="AG85" s="61">
        <f t="shared" si="18"/>
        <v>0</v>
      </c>
      <c r="AH85" s="61">
        <v>80</v>
      </c>
      <c r="AI85" t="s">
        <v>1410</v>
      </c>
      <c r="AJ85" t="s">
        <v>1411</v>
      </c>
      <c r="AK85" t="s">
        <v>1412</v>
      </c>
      <c r="AL85" t="s">
        <v>1413</v>
      </c>
      <c r="AM85" t="s">
        <v>1414</v>
      </c>
      <c r="AN85" t="s">
        <v>1415</v>
      </c>
      <c r="AO85" t="s">
        <v>1416</v>
      </c>
      <c r="AP85"/>
      <c r="AQ85" s="61">
        <f t="shared" si="22"/>
        <v>0</v>
      </c>
      <c r="AR85" s="61">
        <v>100</v>
      </c>
      <c r="AS85"/>
      <c r="AT85"/>
      <c r="AU85"/>
      <c r="AV85"/>
      <c r="AW85"/>
      <c r="AX85"/>
      <c r="AY85"/>
      <c r="AZ85"/>
      <c r="BA85" s="61">
        <f t="shared" si="21"/>
        <v>0</v>
      </c>
      <c r="BB85" s="61">
        <v>120</v>
      </c>
      <c r="BC85"/>
      <c r="BD85"/>
      <c r="BE85"/>
      <c r="BF85"/>
      <c r="BG85"/>
      <c r="BH85"/>
      <c r="BI85"/>
      <c r="BJ85"/>
      <c r="BK85" s="61">
        <f>IF($O$16=1,BC85,IF($O$16=2,BD85,IF($O$16=3,BF85,0)))</f>
        <v>0</v>
      </c>
      <c r="BL85" s="132"/>
      <c r="FE85" s="561" t="str">
        <f>VLOOKUP(788,Sprachindex!$A:$Z,Info!$O$7,FALSE)</f>
        <v>Schiebemuffe</v>
      </c>
      <c r="FF85" s="562"/>
      <c r="FG85" s="562"/>
      <c r="FH85" s="562"/>
      <c r="FI85" s="629"/>
      <c r="FJ85" s="242"/>
      <c r="FK85" s="237"/>
      <c r="FL85" s="243"/>
      <c r="FM85" s="242"/>
      <c r="FN85" s="237"/>
      <c r="FO85" s="246"/>
      <c r="FP85" s="247"/>
      <c r="FQ85" s="111"/>
      <c r="FR85" s="243"/>
      <c r="FS85" s="256"/>
      <c r="FT85" s="271" t="str">
        <f>IF(O18=2,FZ85,IF(O18=3,GA85,IF(O18=4,GB85," ")))</f>
        <v xml:space="preserve"> </v>
      </c>
      <c r="FY85" s="276"/>
      <c r="FZ85" s="277">
        <v>51.81</v>
      </c>
      <c r="GA85" s="277">
        <v>52.27</v>
      </c>
      <c r="GB85" s="277">
        <v>59.85</v>
      </c>
      <c r="GC85" s="278"/>
    </row>
    <row r="86" spans="1:204" ht="32.1" customHeight="1">
      <c r="A86" s="109"/>
      <c r="B86" s="79" t="s">
        <v>32</v>
      </c>
      <c r="C86" s="78"/>
      <c r="D86" s="78">
        <f>IF(J86=Formeln_RI_P.10!A299,'RI_P.10'!AG86,IF('RI_P.10'!J86=Formeln_RI_P.10!A300,'RI_P.10'!AQ86,""))</f>
        <v>0</v>
      </c>
      <c r="E86" s="561" t="str">
        <f>VLOOKUP(1439,Sprachindex!$A:$Z,Info!$O$7,FALSE)</f>
        <v>Rohrübergang</v>
      </c>
      <c r="F86" s="562"/>
      <c r="G86" s="562"/>
      <c r="H86" s="562"/>
      <c r="I86" s="629"/>
      <c r="J86" s="614" t="s">
        <v>1417</v>
      </c>
      <c r="K86" s="615"/>
      <c r="L86" s="79" t="str">
        <f t="shared" si="25"/>
        <v xml:space="preserve"> </v>
      </c>
      <c r="M86" s="440" t="str">
        <f t="shared" si="2"/>
        <v>STK</v>
      </c>
      <c r="N86" s="80"/>
      <c r="O86" s="202" t="str">
        <f t="shared" si="23"/>
        <v xml:space="preserve"> </v>
      </c>
      <c r="R86" s="289"/>
      <c r="S86" s="195"/>
      <c r="T86" s="71"/>
      <c r="U86" s="149">
        <f t="shared" si="11"/>
        <v>0</v>
      </c>
      <c r="V86" s="149">
        <f t="shared" si="12"/>
        <v>0</v>
      </c>
      <c r="W86" s="149">
        <v>1</v>
      </c>
      <c r="X86" s="149">
        <v>1</v>
      </c>
      <c r="Y86"/>
      <c r="Z86">
        <v>205000</v>
      </c>
      <c r="AA86"/>
      <c r="AB86"/>
      <c r="AC86"/>
      <c r="AD86"/>
      <c r="AE86"/>
      <c r="AF86"/>
      <c r="AG86" s="61">
        <f t="shared" si="18"/>
        <v>0</v>
      </c>
      <c r="AH86" s="61" t="s">
        <v>1418</v>
      </c>
      <c r="AI86"/>
      <c r="AJ86"/>
      <c r="AK86"/>
      <c r="AL86"/>
      <c r="AM86"/>
      <c r="AN86"/>
      <c r="AO86"/>
      <c r="AP86"/>
      <c r="AQ86" s="61">
        <f t="shared" si="22"/>
        <v>0</v>
      </c>
      <c r="AR86" s="61" t="s">
        <v>1419</v>
      </c>
      <c r="AS86"/>
      <c r="AT86"/>
      <c r="AU86"/>
      <c r="AV86"/>
      <c r="AW86"/>
      <c r="AX86"/>
      <c r="AY86"/>
      <c r="AZ86"/>
      <c r="BA86" s="61">
        <f t="shared" si="21"/>
        <v>0</v>
      </c>
      <c r="BB86" s="61"/>
      <c r="BC86"/>
      <c r="BD86"/>
      <c r="BE86"/>
      <c r="BF86"/>
      <c r="BG86"/>
      <c r="BH86"/>
      <c r="BI86"/>
      <c r="BJ86"/>
      <c r="BK86" s="132"/>
      <c r="BL86" s="132"/>
      <c r="FE86" s="561" t="str">
        <f>VLOOKUP(1439,Sprachindex!$A:$Z,Info!$O$7,FALSE)</f>
        <v>Rohrübergang</v>
      </c>
      <c r="FF86" s="562"/>
      <c r="FG86" s="562"/>
      <c r="FH86" s="562"/>
      <c r="FI86" s="629"/>
      <c r="FJ86" s="242"/>
      <c r="FK86" s="237"/>
      <c r="FL86" s="243"/>
      <c r="FM86" s="242"/>
      <c r="FN86" s="237"/>
      <c r="FO86" s="246"/>
      <c r="FP86" s="247"/>
      <c r="FQ86" s="111"/>
      <c r="FR86" s="243"/>
      <c r="FS86" s="256"/>
      <c r="FT86" s="271" t="str">
        <f>IF($J$86=GF86,GA86,IF($J$86=GJ86,GB86," "))</f>
        <v xml:space="preserve"> </v>
      </c>
      <c r="FY86" s="276"/>
      <c r="FZ86" s="277"/>
      <c r="GA86" s="277">
        <v>85.01</v>
      </c>
      <c r="GB86" s="277">
        <v>117.37</v>
      </c>
      <c r="GC86" s="278"/>
      <c r="GF86" s="1" t="s">
        <v>1420</v>
      </c>
      <c r="GJ86" s="1" t="s">
        <v>1421</v>
      </c>
    </row>
    <row r="87" spans="1:204" ht="32.1" customHeight="1">
      <c r="A87" s="109"/>
      <c r="B87" s="79" t="str">
        <f>VLOOKUP(878,Sprachindex!$A:$Z,Info!$O$7,FALSE)</f>
        <v>Stk.</v>
      </c>
      <c r="C87" s="78"/>
      <c r="D87" s="78">
        <f>IF($O$18=2,AG87,IF($O$18=3,AQ87,IF($O$18=4,BA87,IF($O$18=5,BK87,0))))</f>
        <v>0</v>
      </c>
      <c r="E87" s="561" t="str">
        <f>VLOOKUP(741,Sprachindex!$A:$Z,Info!$O$7,FALSE)</f>
        <v>Rohrschelle für Standrohr</v>
      </c>
      <c r="F87" s="562"/>
      <c r="G87" s="562"/>
      <c r="H87" s="562"/>
      <c r="I87" s="562"/>
      <c r="J87" s="627" t="str">
        <f>Formeln_RI_P.10!A231</f>
        <v/>
      </c>
      <c r="K87" s="628"/>
      <c r="L87" s="79" t="str">
        <f t="shared" si="25"/>
        <v xml:space="preserve"> </v>
      </c>
      <c r="M87" s="440" t="str">
        <f t="shared" si="2"/>
        <v>Stk.</v>
      </c>
      <c r="N87" s="80"/>
      <c r="O87" s="202" t="str">
        <f t="shared" si="23"/>
        <v xml:space="preserve"> </v>
      </c>
      <c r="R87" s="289"/>
      <c r="S87" s="195"/>
      <c r="T87" s="71"/>
      <c r="U87" s="149" t="e">
        <f t="shared" si="11"/>
        <v>#VALUE!</v>
      </c>
      <c r="V87" s="149">
        <f t="shared" si="12"/>
        <v>0</v>
      </c>
      <c r="W87" s="149" t="str">
        <f>IF($O$18=2,15,IF($O$18=3,15,IF($O$18=4,15,"")))</f>
        <v/>
      </c>
      <c r="X87" s="149">
        <v>2</v>
      </c>
      <c r="Y87" t="s">
        <v>1422</v>
      </c>
      <c r="Z87" t="s">
        <v>1423</v>
      </c>
      <c r="AA87" t="s">
        <v>1424</v>
      </c>
      <c r="AB87" t="s">
        <v>1425</v>
      </c>
      <c r="AC87" t="s">
        <v>1426</v>
      </c>
      <c r="AD87" t="s">
        <v>1427</v>
      </c>
      <c r="AE87" t="s">
        <v>1428</v>
      </c>
      <c r="AF87"/>
      <c r="AG87" s="61">
        <f t="shared" si="18"/>
        <v>0</v>
      </c>
      <c r="AH87" s="61">
        <v>80</v>
      </c>
      <c r="AI87" t="s">
        <v>1429</v>
      </c>
      <c r="AJ87" t="s">
        <v>1430</v>
      </c>
      <c r="AK87">
        <v>203824</v>
      </c>
      <c r="AL87" t="s">
        <v>1431</v>
      </c>
      <c r="AM87" t="s">
        <v>1432</v>
      </c>
      <c r="AN87" t="s">
        <v>1433</v>
      </c>
      <c r="AO87" t="s">
        <v>1434</v>
      </c>
      <c r="AP87">
        <v>668330</v>
      </c>
      <c r="AQ87" s="61">
        <f t="shared" si="22"/>
        <v>0</v>
      </c>
      <c r="AR87" s="61">
        <v>100</v>
      </c>
      <c r="AS87" t="s">
        <v>1435</v>
      </c>
      <c r="AT87" t="s">
        <v>1436</v>
      </c>
      <c r="AU87" t="s">
        <v>1437</v>
      </c>
      <c r="AV87" t="s">
        <v>1438</v>
      </c>
      <c r="AW87" t="s">
        <v>1439</v>
      </c>
      <c r="AX87" t="s">
        <v>1440</v>
      </c>
      <c r="AY87" t="s">
        <v>1441</v>
      </c>
      <c r="AZ87"/>
      <c r="BA87" s="61">
        <f t="shared" si="21"/>
        <v>0</v>
      </c>
      <c r="BB87" s="61">
        <v>120</v>
      </c>
      <c r="FE87" s="561" t="str">
        <f>VLOOKUP(741,Sprachindex!$A:$Z,Info!$O$7,FALSE)</f>
        <v>Rohrschelle für Standrohr</v>
      </c>
      <c r="FF87" s="562"/>
      <c r="FG87" s="562"/>
      <c r="FH87" s="562"/>
      <c r="FI87" s="562"/>
      <c r="FJ87" s="242"/>
      <c r="FK87" s="237"/>
      <c r="FL87" s="243"/>
      <c r="FM87" s="242"/>
      <c r="FN87" s="237"/>
      <c r="FO87" s="246"/>
      <c r="FP87" s="247"/>
      <c r="FQ87" s="111"/>
      <c r="FR87" s="243"/>
      <c r="FS87" s="256"/>
      <c r="FT87" s="271" t="str">
        <f>IF(O18=2,FZ87,IF(O18=3,GA87,IF(O18=4,GB87," ")))</f>
        <v xml:space="preserve"> </v>
      </c>
      <c r="FY87" s="276"/>
      <c r="FZ87" s="277">
        <v>10.08</v>
      </c>
      <c r="GA87" s="277">
        <v>10.41</v>
      </c>
      <c r="GB87" s="277">
        <v>10.94</v>
      </c>
      <c r="GC87" s="278"/>
    </row>
    <row r="88" spans="1:204" ht="32.1" customHeight="1">
      <c r="A88" s="109"/>
      <c r="B88" s="79" t="str">
        <f>VLOOKUP(878,Sprachindex!$A:$Z,Info!$O$7,FALSE)</f>
        <v>Stk.</v>
      </c>
      <c r="C88" s="78"/>
      <c r="D88" s="78">
        <f>IF($O$18=2,AG88,IF($O$18=3,AQ88,IF($O$18=4,BA88,IF($O$18=5,BK88,0))))</f>
        <v>0</v>
      </c>
      <c r="E88" s="561" t="str">
        <f>VLOOKUP(1008,Sprachindex!$A:$Z,Info!$O$7,FALSE)</f>
        <v>Wasserfangkasten</v>
      </c>
      <c r="F88" s="562"/>
      <c r="G88" s="562"/>
      <c r="H88" s="562"/>
      <c r="I88" s="562"/>
      <c r="J88" s="627" t="str">
        <f>Formeln_RI_P.10!A222</f>
        <v/>
      </c>
      <c r="K88" s="628"/>
      <c r="L88" s="79" t="str">
        <f>IF(OR(A88="",W88="",X88="")," ",IF($O$11=1,U88,IF($O$11=2,V88,0)))</f>
        <v xml:space="preserve"> </v>
      </c>
      <c r="M88" s="440" t="str">
        <f t="shared" si="2"/>
        <v>Stk.</v>
      </c>
      <c r="N88" s="80"/>
      <c r="O88" s="202" t="str">
        <f t="shared" si="23"/>
        <v xml:space="preserve"> </v>
      </c>
      <c r="R88" s="289"/>
      <c r="S88" s="195"/>
      <c r="T88" s="71"/>
      <c r="U88" s="149" t="str">
        <f>IF(ISNUMBER(W88),ROUNDUP($A88/W88,0)*W88," ")</f>
        <v xml:space="preserve"> </v>
      </c>
      <c r="V88" s="149">
        <f t="shared" si="12"/>
        <v>0</v>
      </c>
      <c r="W88" s="149" t="str">
        <f>IF(OR($O$18=2,$O$18=3,$O$18=4),1,IF($O$18=5,2," "))</f>
        <v xml:space="preserve"> </v>
      </c>
      <c r="X88" s="149">
        <v>1</v>
      </c>
      <c r="Y88" t="s">
        <v>1442</v>
      </c>
      <c r="Z88" t="s">
        <v>1443</v>
      </c>
      <c r="AA88" t="s">
        <v>1444</v>
      </c>
      <c r="AB88" t="s">
        <v>1445</v>
      </c>
      <c r="AC88" t="s">
        <v>1446</v>
      </c>
      <c r="AD88" t="s">
        <v>1447</v>
      </c>
      <c r="AE88" t="s">
        <v>1448</v>
      </c>
      <c r="AF88"/>
      <c r="AG88" s="61">
        <f t="shared" si="18"/>
        <v>0</v>
      </c>
      <c r="AH88" s="61">
        <v>80</v>
      </c>
      <c r="AI88" t="s">
        <v>1449</v>
      </c>
      <c r="AJ88" t="s">
        <v>1450</v>
      </c>
      <c r="AK88" t="s">
        <v>1451</v>
      </c>
      <c r="AL88" t="s">
        <v>1452</v>
      </c>
      <c r="AM88" t="s">
        <v>1453</v>
      </c>
      <c r="AN88" t="s">
        <v>1454</v>
      </c>
      <c r="AO88" t="s">
        <v>1455</v>
      </c>
      <c r="AP88">
        <v>550131</v>
      </c>
      <c r="AQ88" s="61">
        <f t="shared" si="22"/>
        <v>0</v>
      </c>
      <c r="AR88" s="61">
        <v>100</v>
      </c>
      <c r="AS88" t="s">
        <v>1456</v>
      </c>
      <c r="AT88" t="s">
        <v>1457</v>
      </c>
      <c r="AU88" t="s">
        <v>1458</v>
      </c>
      <c r="AV88" t="s">
        <v>1459</v>
      </c>
      <c r="AW88" t="s">
        <v>1460</v>
      </c>
      <c r="AX88" t="s">
        <v>1461</v>
      </c>
      <c r="AY88" t="s">
        <v>1462</v>
      </c>
      <c r="AZ88"/>
      <c r="BA88" s="61">
        <f t="shared" si="21"/>
        <v>0</v>
      </c>
      <c r="BB88" s="61">
        <v>120</v>
      </c>
      <c r="BC88">
        <v>202181</v>
      </c>
      <c r="BD88">
        <v>202180</v>
      </c>
      <c r="BE88"/>
      <c r="BF88">
        <v>202182</v>
      </c>
      <c r="BG88"/>
      <c r="BH88"/>
      <c r="BI88"/>
      <c r="BJ88"/>
      <c r="BK88" s="61">
        <f>IF($O$16=1,BC88,IF($O$16=2,BD88,IF($O$16=3,BE88,IF($O$16=4,BF88,IF($O$16=5,BG88,IF($O$16=6,BH88,IF($O$16=8,BI88,IF($O$16=10,BJ88,0))))))))</f>
        <v>0</v>
      </c>
      <c r="BL88" s="61">
        <v>150</v>
      </c>
      <c r="FE88" s="561" t="str">
        <f>VLOOKUP(1008,Sprachindex!$A:$Z,Info!$O$7,FALSE)</f>
        <v>Wasserfangkasten</v>
      </c>
      <c r="FF88" s="562"/>
      <c r="FG88" s="562"/>
      <c r="FH88" s="562"/>
      <c r="FI88" s="562"/>
      <c r="FJ88" s="242"/>
      <c r="FK88" s="237"/>
      <c r="FL88" s="243"/>
      <c r="FM88" s="242"/>
      <c r="FN88" s="237"/>
      <c r="FO88" s="246"/>
      <c r="FP88" s="247"/>
      <c r="FQ88" s="111"/>
      <c r="FR88" s="243"/>
      <c r="FS88" s="256"/>
      <c r="FT88" s="271" t="str">
        <f>IF(O18=2,FZ88,IF(O18=3,GA88,IF(O18=4,GB88,IF(O18=5,GC88," "))))</f>
        <v xml:space="preserve"> </v>
      </c>
      <c r="FY88" s="276"/>
      <c r="FZ88" s="277">
        <v>228.7</v>
      </c>
      <c r="GA88" s="277">
        <v>238.3</v>
      </c>
      <c r="GB88" s="277">
        <v>244.8</v>
      </c>
      <c r="GC88" s="278">
        <v>263.77</v>
      </c>
    </row>
    <row r="89" spans="1:204" ht="32.1" customHeight="1">
      <c r="A89" s="443"/>
      <c r="B89" s="79" t="str">
        <f>VLOOKUP(878,Sprachindex!$A:$Z,Info!$O$7,FALSE)</f>
        <v>Stk.</v>
      </c>
      <c r="C89" s="78"/>
      <c r="D89" s="78">
        <f>AG89</f>
        <v>0</v>
      </c>
      <c r="E89" s="561" t="str">
        <f>VLOOKUP(1010,Sprachindex!$A:$Z,Info!$O$7,FALSE)</f>
        <v>Wasserfangkasten rund</v>
      </c>
      <c r="F89" s="562"/>
      <c r="G89" s="562"/>
      <c r="H89" s="562"/>
      <c r="I89" s="562"/>
      <c r="J89" s="627" t="str">
        <f>IF($O$18="","",IF(O18=3,Formeln_RI_P.10!F186,Formeln_RI_P.10!A169))</f>
        <v>Dimension nicht möglich</v>
      </c>
      <c r="K89" s="628"/>
      <c r="L89" s="79" t="str">
        <f t="shared" si="25"/>
        <v xml:space="preserve"> </v>
      </c>
      <c r="M89" s="440" t="str">
        <f t="shared" si="2"/>
        <v>Stk.</v>
      </c>
      <c r="N89" s="80"/>
      <c r="O89" s="202" t="str">
        <f t="shared" si="23"/>
        <v xml:space="preserve"> </v>
      </c>
      <c r="R89" s="289"/>
      <c r="S89" s="195"/>
      <c r="T89" s="71"/>
      <c r="U89" s="149" t="e">
        <f t="shared" si="11"/>
        <v>#VALUE!</v>
      </c>
      <c r="V89" s="149">
        <f t="shared" si="12"/>
        <v>0</v>
      </c>
      <c r="W89" s="149" t="str">
        <f>IF($O$18=3,1,"")</f>
        <v/>
      </c>
      <c r="X89" s="149">
        <v>1</v>
      </c>
      <c r="Y89" t="s">
        <v>1463</v>
      </c>
      <c r="Z89" t="s">
        <v>1464</v>
      </c>
      <c r="AA89" t="s">
        <v>1465</v>
      </c>
      <c r="AB89" t="s">
        <v>1466</v>
      </c>
      <c r="AC89" t="s">
        <v>1467</v>
      </c>
      <c r="AD89" t="s">
        <v>1468</v>
      </c>
      <c r="AE89" t="s">
        <v>1469</v>
      </c>
      <c r="AF89"/>
      <c r="AG89" s="61">
        <f t="shared" si="18"/>
        <v>0</v>
      </c>
      <c r="AH89" s="61"/>
      <c r="AI89"/>
      <c r="AJ89"/>
      <c r="AK89"/>
      <c r="AL89"/>
      <c r="AM89"/>
      <c r="AN89"/>
      <c r="AO89"/>
      <c r="AP89"/>
      <c r="AQ89" s="61">
        <f t="shared" si="22"/>
        <v>0</v>
      </c>
      <c r="AR89" s="132"/>
      <c r="AS89"/>
      <c r="AT89"/>
      <c r="AU89"/>
      <c r="AV89"/>
      <c r="AW89"/>
      <c r="AX89"/>
      <c r="AY89"/>
      <c r="AZ89"/>
      <c r="BA89" s="61">
        <f t="shared" si="21"/>
        <v>0</v>
      </c>
      <c r="BB89" s="132"/>
      <c r="BC89"/>
      <c r="BD89"/>
      <c r="BE89"/>
      <c r="BF89"/>
      <c r="BG89"/>
      <c r="BH89"/>
      <c r="BI89"/>
      <c r="BJ89"/>
      <c r="BK89" s="61">
        <f>IF($O$16=1,BC89,IF($O$16=2,BD89,IF($O$16=3,BE89,IF($O$16=4,BF89,IF($O$16=5,BG89,IF($O$16=6,BH89,IF($O$16=8,BI89,IF($O$16=10,BJ89,0))))))))</f>
        <v>0</v>
      </c>
      <c r="BL89" s="132"/>
      <c r="FE89" s="561" t="str">
        <f>VLOOKUP(1010,Sprachindex!$A:$Z,Info!$O$7,FALSE)</f>
        <v>Wasserfangkasten rund</v>
      </c>
      <c r="FF89" s="562"/>
      <c r="FG89" s="562"/>
      <c r="FH89" s="562"/>
      <c r="FI89" s="562"/>
      <c r="FJ89" s="242"/>
      <c r="FK89" s="237"/>
      <c r="FL89" s="243"/>
      <c r="FM89" s="242"/>
      <c r="FN89" s="237"/>
      <c r="FO89" s="246"/>
      <c r="FP89" s="247"/>
      <c r="FQ89" s="111"/>
      <c r="FR89" s="243"/>
      <c r="FS89" s="256"/>
      <c r="FT89" s="271">
        <f>GA89</f>
        <v>228.9</v>
      </c>
      <c r="GA89" s="1">
        <v>228.9</v>
      </c>
    </row>
    <row r="90" spans="1:204" ht="32.1" customHeight="1">
      <c r="A90" s="109"/>
      <c r="B90" s="79" t="str">
        <f>VLOOKUP(878,Sprachindex!$A:$Z,Info!$O$7,FALSE)</f>
        <v>Stk.</v>
      </c>
      <c r="C90" s="78"/>
      <c r="D90" s="78">
        <f>IF($O$18=2,AG90,IF($O$18=3,AQ90,IF($O$18=4,BA90,0)))</f>
        <v>0</v>
      </c>
      <c r="E90" s="561" t="str">
        <f>VLOOKUP(850,Sprachindex!$A:$Z,Info!$O$7,FALSE)</f>
        <v>Speiereinmündung</v>
      </c>
      <c r="F90" s="562"/>
      <c r="G90" s="562"/>
      <c r="H90" s="562"/>
      <c r="I90" s="562"/>
      <c r="J90" s="627" t="str">
        <f>IF(O18=0,"",IF(O18=3,Formeln_RI_P.10!F186,IF(O18=4,Formeln_RI_P.10!F187,IF(O18=2,Formeln_RI_P.10!F185,Formeln_RI_P.10!A169))))</f>
        <v/>
      </c>
      <c r="K90" s="628"/>
      <c r="L90" s="79" t="str">
        <f>IF(OR(A90="",W90="",X90="")," ",IF($O$11=1,U90,IF($O$11=2,V90,0)))</f>
        <v xml:space="preserve"> </v>
      </c>
      <c r="M90" s="440" t="str">
        <f t="shared" si="2"/>
        <v>Stk.</v>
      </c>
      <c r="N90" s="80"/>
      <c r="O90" s="202" t="str">
        <f t="shared" si="23"/>
        <v xml:space="preserve"> </v>
      </c>
      <c r="R90" s="289"/>
      <c r="S90" s="195"/>
      <c r="T90" s="71"/>
      <c r="U90" s="149" t="e">
        <f t="shared" si="11"/>
        <v>#VALUE!</v>
      </c>
      <c r="V90" s="149">
        <f t="shared" si="12"/>
        <v>0</v>
      </c>
      <c r="W90" s="149" t="str">
        <f>IF($O$18=2,1,IF($O$18=3,1,IF($O$18=4,1,"")))</f>
        <v/>
      </c>
      <c r="X90" s="149">
        <v>1</v>
      </c>
      <c r="Y90"/>
      <c r="Z90">
        <v>201220</v>
      </c>
      <c r="AA90"/>
      <c r="AB90"/>
      <c r="AC90"/>
      <c r="AD90"/>
      <c r="AE90"/>
      <c r="AF90"/>
      <c r="AG90" s="61">
        <f t="shared" si="18"/>
        <v>0</v>
      </c>
      <c r="AH90" s="61">
        <v>80</v>
      </c>
      <c r="AI90" t="s">
        <v>1470</v>
      </c>
      <c r="AJ90" t="s">
        <v>1471</v>
      </c>
      <c r="AK90" t="s">
        <v>1472</v>
      </c>
      <c r="AL90" t="s">
        <v>1473</v>
      </c>
      <c r="AM90" t="s">
        <v>1474</v>
      </c>
      <c r="AN90">
        <v>201246</v>
      </c>
      <c r="AO90" t="s">
        <v>1475</v>
      </c>
      <c r="AP90"/>
      <c r="AQ90" s="61">
        <f t="shared" si="22"/>
        <v>0</v>
      </c>
      <c r="AR90" s="61">
        <v>100</v>
      </c>
      <c r="AS90" t="s">
        <v>1476</v>
      </c>
      <c r="AT90" t="s">
        <v>1477</v>
      </c>
      <c r="AU90" t="s">
        <v>1478</v>
      </c>
      <c r="AV90" t="s">
        <v>1479</v>
      </c>
      <c r="AW90" t="s">
        <v>1480</v>
      </c>
      <c r="AX90" t="s">
        <v>1481</v>
      </c>
      <c r="AY90" t="s">
        <v>1482</v>
      </c>
      <c r="AZ90"/>
      <c r="BA90" s="61">
        <f t="shared" si="21"/>
        <v>0</v>
      </c>
      <c r="BB90" s="61">
        <v>120</v>
      </c>
      <c r="DO90" s="47" t="s">
        <v>95</v>
      </c>
      <c r="DP90" s="47" t="s">
        <v>113</v>
      </c>
      <c r="DQ90" s="47" t="s">
        <v>108</v>
      </c>
      <c r="DR90" s="47" t="s">
        <v>111</v>
      </c>
      <c r="DS90" s="47" t="s">
        <v>109</v>
      </c>
      <c r="DT90" s="47" t="s">
        <v>118</v>
      </c>
      <c r="DU90" s="47" t="s">
        <v>112</v>
      </c>
      <c r="DX90" s="47" t="s">
        <v>116</v>
      </c>
      <c r="DY90" s="47" t="s">
        <v>117</v>
      </c>
      <c r="DZ90" s="47" t="s">
        <v>1483</v>
      </c>
      <c r="EA90" s="47" t="s">
        <v>115</v>
      </c>
      <c r="EB90" s="47" t="s">
        <v>110</v>
      </c>
      <c r="EC90" s="47" t="s">
        <v>1484</v>
      </c>
      <c r="ED90" s="47"/>
      <c r="EE90" s="61"/>
      <c r="EF90" s="61" t="s">
        <v>31</v>
      </c>
      <c r="EG90" s="47" t="s">
        <v>95</v>
      </c>
      <c r="EH90" s="47" t="s">
        <v>113</v>
      </c>
      <c r="EI90" s="47" t="s">
        <v>108</v>
      </c>
      <c r="EJ90" s="47" t="s">
        <v>111</v>
      </c>
      <c r="EK90" s="47" t="s">
        <v>109</v>
      </c>
      <c r="EL90" s="47" t="s">
        <v>118</v>
      </c>
      <c r="EM90" s="47" t="s">
        <v>112</v>
      </c>
      <c r="EN90" s="47" t="s">
        <v>116</v>
      </c>
      <c r="EO90" s="47" t="s">
        <v>117</v>
      </c>
      <c r="EP90" s="47" t="s">
        <v>1483</v>
      </c>
      <c r="EQ90" s="47" t="s">
        <v>115</v>
      </c>
      <c r="ER90" s="47" t="s">
        <v>110</v>
      </c>
      <c r="ES90" s="47" t="s">
        <v>1484</v>
      </c>
      <c r="ET90" s="47"/>
      <c r="EU90" s="61"/>
      <c r="EV90" s="61"/>
      <c r="FE90" s="561" t="str">
        <f>VLOOKUP(850,Sprachindex!$A:$Z,Info!$O$7,FALSE)</f>
        <v>Speiereinmündung</v>
      </c>
      <c r="FF90" s="562"/>
      <c r="FG90" s="562"/>
      <c r="FH90" s="562"/>
      <c r="FI90" s="562"/>
      <c r="FJ90" s="242"/>
      <c r="FK90" s="237"/>
      <c r="FL90" s="243"/>
      <c r="FM90" s="242"/>
      <c r="FN90" s="237"/>
      <c r="FO90" s="246"/>
      <c r="FP90" s="247"/>
      <c r="FQ90" s="111"/>
      <c r="FR90" s="243"/>
      <c r="FS90" s="256"/>
      <c r="FT90" s="271" t="str">
        <f>IF(O18=2,FZ90,IF(O18=3,GA90,IF(O18=4,GB90," ")))</f>
        <v xml:space="preserve"> </v>
      </c>
      <c r="FZ90" s="1">
        <v>234.3</v>
      </c>
      <c r="GA90" s="1">
        <v>239.5</v>
      </c>
      <c r="GB90" s="1">
        <v>295.89999999999998</v>
      </c>
    </row>
    <row r="91" spans="1:204" ht="32.1" customHeight="1">
      <c r="A91" s="109"/>
      <c r="B91" s="79" t="str">
        <f>VLOOKUP(878,Sprachindex!$A:$Z,Info!$O$7,FALSE)</f>
        <v>Stk.</v>
      </c>
      <c r="C91" s="78"/>
      <c r="D91" s="78">
        <f>AG91</f>
        <v>0</v>
      </c>
      <c r="E91" s="561" t="str">
        <f>VLOOKUP(654,Sprachindex!$A:$Z,Info!$O$7,FALSE)</f>
        <v>Patentniete</v>
      </c>
      <c r="F91" s="562"/>
      <c r="G91" s="562"/>
      <c r="H91" s="562"/>
      <c r="I91" s="562"/>
      <c r="J91" s="614" t="s">
        <v>1485</v>
      </c>
      <c r="K91" s="615"/>
      <c r="L91" s="79" t="str">
        <f>IF(OR(A91="",W91="",X91="")," ",IF($O$11=1,U91,IF($O$11=2,V91,0)))</f>
        <v xml:space="preserve"> </v>
      </c>
      <c r="M91" s="440" t="str">
        <f t="shared" si="2"/>
        <v>Stk.</v>
      </c>
      <c r="N91" s="80"/>
      <c r="O91" s="202" t="str">
        <f t="shared" si="23"/>
        <v xml:space="preserve"> </v>
      </c>
      <c r="R91" s="289"/>
      <c r="S91" s="195"/>
      <c r="T91" s="71"/>
      <c r="U91" s="149">
        <f t="shared" si="11"/>
        <v>0</v>
      </c>
      <c r="V91" s="149">
        <f t="shared" si="12"/>
        <v>0</v>
      </c>
      <c r="W91" s="149">
        <v>1000</v>
      </c>
      <c r="X91" s="149">
        <v>1</v>
      </c>
      <c r="Y91" t="s">
        <v>1486</v>
      </c>
      <c r="Z91" t="s">
        <v>1487</v>
      </c>
      <c r="AA91" t="s">
        <v>1488</v>
      </c>
      <c r="AB91" t="s">
        <v>1489</v>
      </c>
      <c r="AC91" t="s">
        <v>1490</v>
      </c>
      <c r="AD91" t="s">
        <v>1491</v>
      </c>
      <c r="AE91" t="s">
        <v>1492</v>
      </c>
      <c r="AF91"/>
      <c r="AG91" s="61">
        <f t="shared" si="18"/>
        <v>0</v>
      </c>
      <c r="DO91" t="s">
        <v>1493</v>
      </c>
      <c r="DP91" t="s">
        <v>1494</v>
      </c>
      <c r="DQ91" t="s">
        <v>1495</v>
      </c>
      <c r="DR91" t="s">
        <v>1496</v>
      </c>
      <c r="DS91" t="s">
        <v>1497</v>
      </c>
      <c r="DT91" t="s">
        <v>1498</v>
      </c>
      <c r="DU91" t="s">
        <v>1499</v>
      </c>
      <c r="DX91" t="s">
        <v>1500</v>
      </c>
      <c r="DY91" t="s">
        <v>1501</v>
      </c>
      <c r="DZ91" t="s">
        <v>1502</v>
      </c>
      <c r="EA91" t="s">
        <v>1503</v>
      </c>
      <c r="EB91">
        <v>533011</v>
      </c>
      <c r="EC91" t="s">
        <v>1504</v>
      </c>
      <c r="ED91" s="61" t="str">
        <f>IF($H91=Formeln_RI_P.10!$A$280,$DQ91,IF($H91=Formeln_RI_P.10!$A$281,$DS91,IF($H91=Formeln_RI_P.10!$A$282,$DP91,IF($H91=Formeln_RI_P.10!$A$283,$EB91,IF($H91=Formeln_RI_P.10!$A$284,$DR91,IF($H91=Formeln_RI_P.10!$A$285,$DU91,IF($H91=Formeln_RI_P.10!$A$286,$DX91,IF($H91=Formeln_RI_P.10!$A$287,$DY91,IF($H91=Formeln_RI_P.10!$A$288,$DT$91,IF($H91=Formeln_RI_P.10!$A$289,$EA91,IF($H91=Formeln_RI_P.10!$A$290,$DZ91,IF($H91=Formeln_RI_P.10!$A$291,$DO91,IF($H91=Formeln_RI_P.10!$A$292,$EC91,"")))))))))))))</f>
        <v xml:space="preserve">533014  </v>
      </c>
      <c r="EE91" s="61" t="s">
        <v>1505</v>
      </c>
      <c r="EF91" s="61">
        <v>1000</v>
      </c>
      <c r="EG91" t="s">
        <v>1506</v>
      </c>
      <c r="EH91" s="59"/>
      <c r="EI91" s="59"/>
      <c r="EJ91" s="59"/>
      <c r="EK91" s="59"/>
      <c r="EL91" s="59"/>
      <c r="EM91" s="59"/>
      <c r="EN91" s="59"/>
      <c r="EO91" s="59"/>
      <c r="EP91" s="59"/>
      <c r="EQ91" s="59"/>
      <c r="ER91" s="59"/>
      <c r="ES91" s="59"/>
      <c r="ET91" s="61" t="str">
        <f>EG91</f>
        <v xml:space="preserve">533002  </v>
      </c>
      <c r="EU91" s="61" t="s">
        <v>1507</v>
      </c>
      <c r="EV91" s="61">
        <v>500</v>
      </c>
      <c r="FE91" s="561" t="str">
        <f>VLOOKUP(654,Sprachindex!$A:$Z,Info!$O$7,FALSE)</f>
        <v>Patentniete</v>
      </c>
      <c r="FF91" s="562"/>
      <c r="FG91" s="562"/>
      <c r="FH91" s="562"/>
      <c r="FI91" s="562"/>
      <c r="FJ91" s="242"/>
      <c r="FK91" s="237"/>
      <c r="FL91" s="243"/>
      <c r="FM91" s="242"/>
      <c r="FN91" s="237"/>
      <c r="FO91" s="246"/>
      <c r="FP91" s="247"/>
      <c r="FQ91" s="111"/>
      <c r="FR91" s="243"/>
      <c r="FS91" s="256"/>
      <c r="FT91" s="271">
        <f>FY91</f>
        <v>0.18</v>
      </c>
      <c r="FY91" s="1">
        <v>0.18</v>
      </c>
    </row>
    <row r="92" spans="1:204" ht="32.1" customHeight="1">
      <c r="A92" s="109"/>
      <c r="B92" s="79" t="str">
        <f>VLOOKUP(1512,Sprachindex!$A:$Z,Info!$O$7,FALSE)</f>
        <v>lfm</v>
      </c>
      <c r="C92" s="78"/>
      <c r="D92" s="78">
        <f>AG92</f>
        <v>0</v>
      </c>
      <c r="E92" s="561" t="str">
        <f>VLOOKUP(147,Sprachindex!$A:$Z,Info!$O$7,FALSE)</f>
        <v>Ablaufkette (5 mm)</v>
      </c>
      <c r="F92" s="562"/>
      <c r="G92" s="562"/>
      <c r="H92" s="562"/>
      <c r="I92" s="562"/>
      <c r="J92" s="627"/>
      <c r="K92" s="628"/>
      <c r="L92" s="79" t="str">
        <f>IF($O$11=1,U92,IF($O$11=2,V92,""))</f>
        <v/>
      </c>
      <c r="M92" s="440" t="str">
        <f t="shared" si="2"/>
        <v>lfm</v>
      </c>
      <c r="N92" s="80"/>
      <c r="O92" s="202" t="str">
        <f t="shared" si="23"/>
        <v xml:space="preserve"> </v>
      </c>
      <c r="R92" s="289"/>
      <c r="S92" s="195"/>
      <c r="T92" s="71"/>
      <c r="U92" s="149">
        <f t="shared" si="11"/>
        <v>0</v>
      </c>
      <c r="V92" s="149">
        <f t="shared" si="12"/>
        <v>0</v>
      </c>
      <c r="W92" s="149">
        <v>1</v>
      </c>
      <c r="X92" s="149">
        <v>1</v>
      </c>
      <c r="Y92" t="s">
        <v>1508</v>
      </c>
      <c r="Z92" t="s">
        <v>1509</v>
      </c>
      <c r="AA92" t="s">
        <v>1510</v>
      </c>
      <c r="AB92" t="s">
        <v>1511</v>
      </c>
      <c r="AC92" t="s">
        <v>1512</v>
      </c>
      <c r="AD92" t="s">
        <v>1513</v>
      </c>
      <c r="AE92" t="s">
        <v>1514</v>
      </c>
      <c r="AF92"/>
      <c r="AG92" s="61">
        <f t="shared" si="18"/>
        <v>0</v>
      </c>
      <c r="DO92" t="s">
        <v>1515</v>
      </c>
      <c r="DP92" t="s">
        <v>1516</v>
      </c>
      <c r="DQ92" t="s">
        <v>1517</v>
      </c>
      <c r="DR92" t="s">
        <v>1518</v>
      </c>
      <c r="DS92" t="s">
        <v>1519</v>
      </c>
      <c r="DT92" t="s">
        <v>1520</v>
      </c>
      <c r="DU92" t="s">
        <v>1521</v>
      </c>
      <c r="DX92" t="s">
        <v>1522</v>
      </c>
      <c r="DY92" t="s">
        <v>1523</v>
      </c>
      <c r="DZ92" t="s">
        <v>1524</v>
      </c>
      <c r="EA92" t="s">
        <v>1525</v>
      </c>
      <c r="EB92" t="s">
        <v>1526</v>
      </c>
      <c r="EC92" t="s">
        <v>1514</v>
      </c>
      <c r="ED92" s="61" t="str">
        <f>IF($H92=Formeln_RI_P.10!$A$280,$DQ92,IF($H92=Formeln_RI_P.10!$A$281,$DS92,IF($H92=Formeln_RI_P.10!$A$282,$DP92,IF($H92=Formeln_RI_P.10!$A$283,$EB92,IF($H92=Formeln_RI_P.10!$A$284,$DR92,IF($H92=Formeln_RI_P.10!$A$285,$DU92,IF($H92=Formeln_RI_P.10!$A$286,$DX92,IF($H92=Formeln_RI_P.10!$A$287,$DY92,IF($H92=Formeln_RI_P.10!$A$288,$DT$92,IF($H92=Formeln_RI_P.10!$A$289,$EA92,IF($H92=Formeln_RI_P.10!$A$290,$DZ92,IF($H92=Formeln_RI_P.10!$A$291,$DO92,IF($H92=Formeln_RI_P.10!$A$292,$EC92,"")))))))))))))</f>
        <v>667009</v>
      </c>
      <c r="EE92" s="61"/>
      <c r="EF92" s="61"/>
      <c r="FE92" s="561" t="str">
        <f>VLOOKUP(147,Sprachindex!$A:$Z,Info!$O$7,FALSE)</f>
        <v>Ablaufkette (5 mm)</v>
      </c>
      <c r="FF92" s="562"/>
      <c r="FG92" s="562"/>
      <c r="FH92" s="562"/>
      <c r="FI92" s="562"/>
      <c r="FJ92" s="242"/>
      <c r="FK92" s="237"/>
      <c r="FL92" s="243"/>
      <c r="FM92" s="242"/>
      <c r="FN92" s="237"/>
      <c r="FO92" s="246"/>
      <c r="FP92" s="247"/>
      <c r="FQ92" s="111"/>
      <c r="FR92" s="243"/>
      <c r="FS92" s="256"/>
      <c r="FT92" s="271">
        <f t="shared" ref="FT92:FT93" si="26">FY92</f>
        <v>21.12</v>
      </c>
      <c r="FY92" s="1">
        <v>21.12</v>
      </c>
    </row>
    <row r="93" spans="1:204" ht="32.1" customHeight="1">
      <c r="A93" s="109"/>
      <c r="B93" s="79" t="str">
        <f>VLOOKUP(1512,Sprachindex!$A:$Z,Info!$O$7,FALSE)</f>
        <v>lfm</v>
      </c>
      <c r="C93" s="78"/>
      <c r="D93" s="78">
        <v>580001</v>
      </c>
      <c r="E93" s="561" t="str">
        <f>VLOOKUP(304,Sprachindex!$A:$Z,Info!$O$7,FALSE)</f>
        <v>Dila</v>
      </c>
      <c r="F93" s="562"/>
      <c r="G93" s="562"/>
      <c r="H93" s="562"/>
      <c r="I93" s="562"/>
      <c r="J93" s="627" t="str">
        <f>VLOOKUP(122,Sprachindex!$A:$Z,Info!$O$7,FALSE)</f>
        <v>6.000 × 375 mm</v>
      </c>
      <c r="K93" s="628"/>
      <c r="L93" s="79" t="str">
        <f>IF(A93=""," ",IF($O$11=1,U93,IF($O$11=2,V93,0)))</f>
        <v xml:space="preserve"> </v>
      </c>
      <c r="M93" s="440" t="str">
        <f t="shared" si="2"/>
        <v>lfm</v>
      </c>
      <c r="N93" s="80"/>
      <c r="O93" s="202" t="str">
        <f t="shared" si="17"/>
        <v xml:space="preserve"> </v>
      </c>
      <c r="R93" s="289"/>
      <c r="S93" s="195"/>
      <c r="T93" s="71"/>
      <c r="U93" s="149">
        <f>ROUNDUP($A93/6,0)*6</f>
        <v>0</v>
      </c>
      <c r="V93" s="149">
        <f>ROUNDUP($A93,0)</f>
        <v>0</v>
      </c>
      <c r="W93" s="149"/>
      <c r="X93" s="149"/>
      <c r="Y93" s="47" t="s">
        <v>108</v>
      </c>
      <c r="Z93" s="47" t="s">
        <v>422</v>
      </c>
      <c r="AA93" s="47" t="s">
        <v>110</v>
      </c>
      <c r="AB93" s="47" t="s">
        <v>113</v>
      </c>
      <c r="AC93" s="47" t="s">
        <v>118</v>
      </c>
      <c r="AD93" s="47" t="s">
        <v>115</v>
      </c>
      <c r="AE93" s="47" t="s">
        <v>423</v>
      </c>
      <c r="AF93" s="47" t="s">
        <v>424</v>
      </c>
      <c r="AG93" s="47"/>
      <c r="AH93" s="61"/>
      <c r="AI93" s="47" t="s">
        <v>108</v>
      </c>
      <c r="AJ93" s="47" t="s">
        <v>422</v>
      </c>
      <c r="AK93" s="47" t="s">
        <v>110</v>
      </c>
      <c r="AL93" s="47" t="s">
        <v>113</v>
      </c>
      <c r="AM93" s="47" t="s">
        <v>118</v>
      </c>
      <c r="AN93" s="47" t="s">
        <v>115</v>
      </c>
      <c r="AO93" s="47" t="s">
        <v>423</v>
      </c>
      <c r="AP93" s="47" t="s">
        <v>424</v>
      </c>
      <c r="AQ93" s="47"/>
      <c r="AR93" s="61"/>
      <c r="AS93" s="47" t="s">
        <v>108</v>
      </c>
      <c r="AT93" s="47" t="s">
        <v>422</v>
      </c>
      <c r="AU93" s="47" t="s">
        <v>110</v>
      </c>
      <c r="AV93" s="47" t="s">
        <v>113</v>
      </c>
      <c r="AW93" s="47" t="s">
        <v>118</v>
      </c>
      <c r="AX93" s="47" t="s">
        <v>115</v>
      </c>
      <c r="AY93" s="47" t="s">
        <v>423</v>
      </c>
      <c r="AZ93" s="47" t="s">
        <v>424</v>
      </c>
      <c r="BA93" s="47"/>
      <c r="BB93" s="61"/>
      <c r="BC93" s="47" t="s">
        <v>108</v>
      </c>
      <c r="BD93" s="47" t="s">
        <v>422</v>
      </c>
      <c r="BE93" s="47" t="s">
        <v>110</v>
      </c>
      <c r="BF93" s="47" t="s">
        <v>113</v>
      </c>
      <c r="BG93" s="47" t="s">
        <v>118</v>
      </c>
      <c r="BH93" s="47" t="s">
        <v>115</v>
      </c>
      <c r="BI93" s="47" t="s">
        <v>423</v>
      </c>
      <c r="BJ93" s="47" t="s">
        <v>424</v>
      </c>
      <c r="BK93" s="47"/>
      <c r="BL93" s="61"/>
      <c r="BM93" s="47" t="s">
        <v>108</v>
      </c>
      <c r="BN93" s="47" t="s">
        <v>422</v>
      </c>
      <c r="BO93" s="47" t="s">
        <v>110</v>
      </c>
      <c r="BP93" s="47" t="s">
        <v>113</v>
      </c>
      <c r="BQ93" s="47" t="s">
        <v>118</v>
      </c>
      <c r="BR93" s="47" t="s">
        <v>115</v>
      </c>
      <c r="BS93" s="47" t="s">
        <v>423</v>
      </c>
      <c r="BT93" s="47" t="s">
        <v>424</v>
      </c>
      <c r="BU93" s="47"/>
      <c r="BV93" s="61"/>
      <c r="BW93" s="47" t="s">
        <v>108</v>
      </c>
      <c r="BX93" s="47" t="s">
        <v>422</v>
      </c>
      <c r="BY93" s="47" t="s">
        <v>110</v>
      </c>
      <c r="BZ93" s="47" t="s">
        <v>113</v>
      </c>
      <c r="CA93" s="47" t="s">
        <v>118</v>
      </c>
      <c r="CB93" s="47" t="s">
        <v>115</v>
      </c>
      <c r="CC93" s="47" t="s">
        <v>423</v>
      </c>
      <c r="CD93" s="47" t="s">
        <v>424</v>
      </c>
      <c r="CE93" s="47"/>
      <c r="CF93" s="61"/>
      <c r="CG93" s="47" t="s">
        <v>108</v>
      </c>
      <c r="CH93" s="47" t="s">
        <v>422</v>
      </c>
      <c r="CI93" s="47" t="s">
        <v>110</v>
      </c>
      <c r="CJ93" s="47" t="s">
        <v>113</v>
      </c>
      <c r="CK93" s="47" t="s">
        <v>118</v>
      </c>
      <c r="CL93" s="47" t="s">
        <v>115</v>
      </c>
      <c r="CM93" s="47" t="s">
        <v>423</v>
      </c>
      <c r="CN93" s="47" t="s">
        <v>424</v>
      </c>
      <c r="CO93" s="47"/>
      <c r="CP93" s="61"/>
      <c r="CQ93" s="47" t="s">
        <v>108</v>
      </c>
      <c r="CR93" s="47" t="s">
        <v>422</v>
      </c>
      <c r="CS93" s="47" t="s">
        <v>110</v>
      </c>
      <c r="CT93" s="47" t="s">
        <v>113</v>
      </c>
      <c r="CU93" s="47" t="s">
        <v>118</v>
      </c>
      <c r="CV93" s="47" t="s">
        <v>115</v>
      </c>
      <c r="CW93" s="47" t="s">
        <v>423</v>
      </c>
      <c r="CX93" s="47" t="s">
        <v>424</v>
      </c>
      <c r="CY93" s="47"/>
      <c r="CZ93" s="61"/>
      <c r="DA93" s="47" t="s">
        <v>108</v>
      </c>
      <c r="DB93" s="47" t="s">
        <v>422</v>
      </c>
      <c r="DC93" s="47" t="s">
        <v>110</v>
      </c>
      <c r="DD93" s="47" t="s">
        <v>113</v>
      </c>
      <c r="DE93" s="47" t="s">
        <v>118</v>
      </c>
      <c r="DF93" s="47" t="s">
        <v>115</v>
      </c>
      <c r="DG93" s="47" t="s">
        <v>423</v>
      </c>
      <c r="DH93" s="47" t="s">
        <v>424</v>
      </c>
      <c r="DI93" s="47"/>
      <c r="DJ93" s="61"/>
      <c r="FE93" s="561" t="str">
        <f>VLOOKUP(304,Sprachindex!$A:$Z,Info!$O$7,FALSE)</f>
        <v>Dila</v>
      </c>
      <c r="FF93" s="562"/>
      <c r="FG93" s="562"/>
      <c r="FH93" s="562"/>
      <c r="FI93" s="562"/>
      <c r="FJ93" s="242"/>
      <c r="FK93" s="237"/>
      <c r="FL93" s="243"/>
      <c r="FM93" s="242"/>
      <c r="FN93" s="237"/>
      <c r="FO93" s="246"/>
      <c r="FP93" s="247"/>
      <c r="FQ93" s="111"/>
      <c r="FR93" s="243"/>
      <c r="FS93" s="256"/>
      <c r="FT93" s="271">
        <f t="shared" si="26"/>
        <v>101.3</v>
      </c>
      <c r="FY93" s="1">
        <v>101.3</v>
      </c>
    </row>
    <row r="94" spans="1:204" ht="32.1" customHeight="1">
      <c r="A94" s="109"/>
      <c r="B94" s="79" t="str">
        <f>VLOOKUP(878,Sprachindex!$A:$Z,Info!$O$7,FALSE)</f>
        <v>Stk.</v>
      </c>
      <c r="C94" s="78"/>
      <c r="D94" s="79">
        <f>IF($O$17=1,AG94,IF($O$17=2,AQ94,IF($O$17=3,BA94,IF($O$17=4,BK94,0))))</f>
        <v>0</v>
      </c>
      <c r="E94" s="561" t="str">
        <f>VLOOKUP(457,Sprachindex!$A:$Z,Info!$O$7,FALSE)</f>
        <v>Hängerinnen-Dila mit Wulst und Blende</v>
      </c>
      <c r="F94" s="562"/>
      <c r="G94" s="562"/>
      <c r="H94" s="562"/>
      <c r="I94" s="562"/>
      <c r="J94" s="627" t="str">
        <f>Formeln_RI_P.10!A175</f>
        <v/>
      </c>
      <c r="K94" s="628"/>
      <c r="L94" s="79" t="str">
        <f>IF(OR(A94="",W94="",X94="")," ",IF($O$11=1,U94,IF($O$11=2,V94,0)))</f>
        <v xml:space="preserve"> </v>
      </c>
      <c r="M94" s="440" t="str">
        <f t="shared" si="2"/>
        <v>Stk.</v>
      </c>
      <c r="N94" s="80"/>
      <c r="O94" s="202" t="str">
        <f t="shared" ref="O94:O106" si="27">IF(ISNUMBER(A94),FT94*L94," ")</f>
        <v xml:space="preserve"> </v>
      </c>
      <c r="R94" s="289"/>
      <c r="S94" s="195"/>
      <c r="T94" s="71"/>
      <c r="U94" s="149">
        <f>ROUNDUP($A94/$W94,0)*$W94</f>
        <v>0</v>
      </c>
      <c r="V94" s="149">
        <f>ROUNDUP($A94/X94,0)*X94</f>
        <v>0</v>
      </c>
      <c r="W94" s="149">
        <f>IF($O$17="","",6)</f>
        <v>6</v>
      </c>
      <c r="X94" s="149">
        <v>1</v>
      </c>
      <c r="Y94" s="64">
        <v>203401</v>
      </c>
      <c r="Z94" s="64">
        <v>203400</v>
      </c>
      <c r="AA94" s="64">
        <v>203404</v>
      </c>
      <c r="AB94" s="64">
        <v>203402</v>
      </c>
      <c r="AC94" s="64">
        <v>203405</v>
      </c>
      <c r="AD94" s="64">
        <v>203406</v>
      </c>
      <c r="AE94" s="64">
        <v>203403</v>
      </c>
      <c r="AF94" s="64"/>
      <c r="AG94" s="61">
        <f>IF($O$16=1,Y94,IF($O$16=2,Z94,IF($O$16=3,AA94,IF($O$16=4,AB94,IF($O$16=5,AC94,IF($O$16=6,AD94,IF($O$16=8,AE94,IF($O$16=10,AF94,0))))))))</f>
        <v>0</v>
      </c>
      <c r="AH94" s="63" t="s">
        <v>1527</v>
      </c>
      <c r="AI94" s="64">
        <v>203421</v>
      </c>
      <c r="AJ94" s="64">
        <v>203420</v>
      </c>
      <c r="AK94" s="64">
        <v>203424</v>
      </c>
      <c r="AL94" s="64">
        <v>203422</v>
      </c>
      <c r="AM94" s="64">
        <v>203425</v>
      </c>
      <c r="AN94" s="64">
        <v>203426</v>
      </c>
      <c r="AO94" s="64">
        <v>203423</v>
      </c>
      <c r="AP94" s="64"/>
      <c r="AQ94" s="61">
        <f>IF($O$16=1,AI94,IF($O$16=2,AJ94,IF($O$16=3,AK94,IF($O$16=4,AL94,IF($O$16=5,AM94,IF($O$16=6,AN94,IF($O$16=8,AO94,IF($O$16=10,AP94,0))))))))</f>
        <v>0</v>
      </c>
      <c r="AR94" s="63" t="s">
        <v>1528</v>
      </c>
      <c r="AS94" s="64">
        <v>203441</v>
      </c>
      <c r="AT94" s="64">
        <v>203440</v>
      </c>
      <c r="AU94" s="64">
        <v>203444</v>
      </c>
      <c r="AV94" s="64">
        <v>203442</v>
      </c>
      <c r="AW94" s="64">
        <v>203445</v>
      </c>
      <c r="AX94" s="64">
        <v>203446</v>
      </c>
      <c r="AY94" s="64">
        <v>203443</v>
      </c>
      <c r="AZ94" s="64">
        <v>547034</v>
      </c>
      <c r="BA94" s="61">
        <f>IF($O$16=1,AS94,IF($O$16=2,AT94,IF($O$16=3,AU94,IF($O$16=4,AV94,IF($O$16=5,AW94,IF($O$16=6,AX94,IF($O$16=8,AY94,IF($O$16=10,AZ94,0))))))))</f>
        <v>0</v>
      </c>
      <c r="BB94" s="63" t="s">
        <v>1529</v>
      </c>
      <c r="BC94" s="64">
        <v>203461</v>
      </c>
      <c r="BD94" s="64">
        <v>203460</v>
      </c>
      <c r="BE94" s="64">
        <v>203464</v>
      </c>
      <c r="BF94" s="64">
        <v>203462</v>
      </c>
      <c r="BG94" s="64">
        <v>203465</v>
      </c>
      <c r="BH94" s="64">
        <v>203466</v>
      </c>
      <c r="BI94" s="64">
        <v>203463</v>
      </c>
      <c r="BJ94" s="64"/>
      <c r="BK94" s="61">
        <f>IF($O$16=1,BC94,IF($O$16=2,BD94,IF($O$16=3,BE94,IF($O$16=4,BF94,IF($O$16=5,BG94,IF($O$16=6,BH94,IF($O$16=8,BI94,IF($O$16=10,BJ94,0))))))))</f>
        <v>0</v>
      </c>
      <c r="BL94" s="63" t="s">
        <v>1530</v>
      </c>
      <c r="FE94" s="561" t="str">
        <f>VLOOKUP(457,Sprachindex!$A:$Z,Info!$O$7,FALSE)</f>
        <v>Hängerinnen-Dila mit Wulst und Blende</v>
      </c>
      <c r="FF94" s="562"/>
      <c r="FG94" s="562"/>
      <c r="FH94" s="562"/>
      <c r="FI94" s="562"/>
      <c r="FJ94" s="242"/>
      <c r="FK94" s="237"/>
      <c r="FL94" s="243"/>
      <c r="FM94" s="242"/>
      <c r="FN94" s="237"/>
      <c r="FO94" s="246"/>
      <c r="FP94" s="247"/>
      <c r="FQ94" s="111"/>
      <c r="FR94" s="243"/>
      <c r="FS94" s="256"/>
      <c r="FT94" s="271" t="str">
        <f>IF($O$17=1,GB94,IF($O$17=2,GG94,IF($O$17=3,GL94,IF($O$17=4,GQ94," "))))</f>
        <v xml:space="preserve"> </v>
      </c>
      <c r="FY94" s="276"/>
      <c r="FZ94" s="322">
        <v>27.27</v>
      </c>
      <c r="GA94" s="323">
        <v>8.4700000000000006</v>
      </c>
      <c r="GB94" s="324">
        <f>FZ94+GA94</f>
        <v>35.74</v>
      </c>
      <c r="GC94" s="278"/>
      <c r="GD94" s="276"/>
      <c r="GE94" s="322">
        <v>31.26</v>
      </c>
      <c r="GF94" s="323">
        <v>8.51</v>
      </c>
      <c r="GG94" s="325">
        <f>GE94+GF94</f>
        <v>39.770000000000003</v>
      </c>
      <c r="GH94" s="278"/>
      <c r="GI94" s="276"/>
      <c r="GJ94" s="322">
        <v>34.32</v>
      </c>
      <c r="GK94" s="323">
        <v>8.94</v>
      </c>
      <c r="GL94" s="325">
        <f>GJ94+GK94</f>
        <v>43.26</v>
      </c>
      <c r="GM94" s="278"/>
      <c r="GN94" s="276"/>
      <c r="GO94" s="322">
        <v>41.24</v>
      </c>
      <c r="GP94" s="323">
        <v>9.66</v>
      </c>
      <c r="GQ94" s="325">
        <f>GO94+GP94</f>
        <v>50.900000000000006</v>
      </c>
      <c r="GR94" s="278"/>
      <c r="GS94" s="321"/>
      <c r="GT94" s="139"/>
      <c r="GU94" s="139"/>
      <c r="GV94" s="139"/>
    </row>
    <row r="95" spans="1:204" ht="32.1" customHeight="1">
      <c r="A95" s="443"/>
      <c r="B95" s="79" t="str">
        <f>VLOOKUP(878,Sprachindex!$A:$Z,Info!$O$7,FALSE)</f>
        <v>Stk.</v>
      </c>
      <c r="C95" s="78"/>
      <c r="D95" s="79">
        <f>IF($O$17=1,AG95,IF($O$17=3,AQ95,IF($O$17=4,BA95,0)))</f>
        <v>0</v>
      </c>
      <c r="E95" s="561" t="str">
        <f>VLOOKUP(517,Sprachindex!$A:$Z,Info!$O$7,FALSE)</f>
        <v>Kastenrinnen-Dila mit Wulst und Blende</v>
      </c>
      <c r="F95" s="562"/>
      <c r="G95" s="562"/>
      <c r="H95" s="562"/>
      <c r="I95" s="562"/>
      <c r="J95" s="627" t="str">
        <f>Formeln_RI_P.10!A181</f>
        <v/>
      </c>
      <c r="K95" s="628"/>
      <c r="L95" s="79" t="str">
        <f>IF(OR(A95="",W95="",X95="")," ",IF($O$11=1,U95,IF($O$11=2,V95,0)))</f>
        <v xml:space="preserve"> </v>
      </c>
      <c r="M95" s="440" t="str">
        <f t="shared" si="2"/>
        <v>Stk.</v>
      </c>
      <c r="N95" s="80"/>
      <c r="O95" s="202" t="str">
        <f>IF(ISNUMBER(L95),FT95*L95," ")</f>
        <v xml:space="preserve"> </v>
      </c>
      <c r="R95" s="289"/>
      <c r="S95" s="195"/>
      <c r="T95" s="71"/>
      <c r="U95" s="149" t="e">
        <f>ROUNDUP($A95/W95,0)*W95</f>
        <v>#VALUE!</v>
      </c>
      <c r="V95" s="149">
        <f>ROUNDUP($A95/X95,0)*X95</f>
        <v>0</v>
      </c>
      <c r="W95" s="149" t="str">
        <f>IF($O$17=1,6,IF($O$17=3,6,IF($O$17=4,6,"")))</f>
        <v/>
      </c>
      <c r="X95" s="149">
        <v>1</v>
      </c>
      <c r="Y95" s="64">
        <v>203501</v>
      </c>
      <c r="Z95" s="64">
        <v>203500</v>
      </c>
      <c r="AA95" s="64">
        <v>203504</v>
      </c>
      <c r="AB95" s="64">
        <v>203502</v>
      </c>
      <c r="AC95" s="64">
        <v>203505</v>
      </c>
      <c r="AD95" s="64">
        <v>203506</v>
      </c>
      <c r="AE95" s="64">
        <v>203503</v>
      </c>
      <c r="AF95" s="64"/>
      <c r="AG95" s="61">
        <f>IF($O$16=1,Y95,IF($O$16=2,Z95,IF($O$16=3,AA95,IF($O$16=4,AB95,IF($O$16=5,AC95,IF($O$16=6,AD95,IF($O$16=8,AE95,IF($O$16=10,AF95,0))))))))</f>
        <v>0</v>
      </c>
      <c r="AH95" s="63" t="s">
        <v>1527</v>
      </c>
      <c r="AI95" s="64">
        <v>203541</v>
      </c>
      <c r="AJ95" s="64">
        <v>203540</v>
      </c>
      <c r="AK95" s="64">
        <v>203544</v>
      </c>
      <c r="AL95" s="64">
        <v>203542</v>
      </c>
      <c r="AM95" s="64">
        <v>203545</v>
      </c>
      <c r="AN95" s="64">
        <v>203546</v>
      </c>
      <c r="AO95" s="64">
        <v>203543</v>
      </c>
      <c r="AP95" s="64">
        <v>547074</v>
      </c>
      <c r="AQ95" s="61">
        <f>IF($O$16=1,AI95,IF($O$16=2,AJ95,IF($O$16=3,AK95,IF($O$16=4,AL95,IF($O$16=5,AM95,IF($O$16=6,AN95,IF($O$16=8,AO95,IF($O$16=10,AP95,0))))))))</f>
        <v>0</v>
      </c>
      <c r="AR95" s="63" t="s">
        <v>1529</v>
      </c>
      <c r="AS95" s="64">
        <v>203561</v>
      </c>
      <c r="AT95" s="64">
        <v>203560</v>
      </c>
      <c r="AU95" s="64">
        <v>203564</v>
      </c>
      <c r="AV95" s="64">
        <v>203562</v>
      </c>
      <c r="AW95" s="64">
        <v>203565</v>
      </c>
      <c r="AX95" s="64">
        <v>203566</v>
      </c>
      <c r="AY95" s="64">
        <v>203563</v>
      </c>
      <c r="AZ95" s="64"/>
      <c r="BA95" s="61">
        <f>IF($O$16=1,AS95,IF($O$16=2,AT95,IF($O$16=3,AU95,IF($O$16=4,AV95,IF($O$16=5,AW95,IF($O$16=6,AX95,IF($O$16=8,AY95,IF($O$16=10,AZ95,0))))))))</f>
        <v>0</v>
      </c>
      <c r="BB95" s="63" t="s">
        <v>1530</v>
      </c>
      <c r="FE95" s="561" t="str">
        <f>VLOOKUP(517,Sprachindex!$A:$Z,Info!$O$7,FALSE)</f>
        <v>Kastenrinnen-Dila mit Wulst und Blende</v>
      </c>
      <c r="FF95" s="562"/>
      <c r="FG95" s="562"/>
      <c r="FH95" s="562"/>
      <c r="FI95" s="562"/>
      <c r="FJ95" s="242"/>
      <c r="FK95" s="237"/>
      <c r="FL95" s="243"/>
      <c r="FM95" s="242"/>
      <c r="FN95" s="237"/>
      <c r="FO95" s="246"/>
      <c r="FP95" s="247"/>
      <c r="FQ95" s="111"/>
      <c r="FR95" s="243"/>
      <c r="FS95" s="256"/>
      <c r="FT95" s="271" t="str">
        <f>IF($O$17=1,GB95,IF($O$17=3,GL95,IF($O$17=4,GQ95," ")))</f>
        <v xml:space="preserve"> </v>
      </c>
      <c r="FY95" s="276"/>
      <c r="FZ95" s="322">
        <v>27.27</v>
      </c>
      <c r="GA95" s="323">
        <v>8.4700000000000006</v>
      </c>
      <c r="GB95" s="324">
        <f>FZ95+GA95</f>
        <v>35.74</v>
      </c>
      <c r="GC95" s="278"/>
      <c r="GD95" s="276"/>
      <c r="GE95" s="277"/>
      <c r="GF95" s="277"/>
      <c r="GG95" s="326"/>
      <c r="GH95" s="278"/>
      <c r="GI95" s="276"/>
      <c r="GJ95" s="322">
        <v>34.32</v>
      </c>
      <c r="GK95" s="323">
        <v>8.94</v>
      </c>
      <c r="GL95" s="325">
        <f>GJ95+GK95</f>
        <v>43.26</v>
      </c>
      <c r="GM95" s="278"/>
      <c r="GN95" s="276"/>
      <c r="GO95" s="322">
        <v>41.24</v>
      </c>
      <c r="GP95" s="323">
        <v>9.66</v>
      </c>
      <c r="GQ95" s="325">
        <f>GO95+GP95</f>
        <v>50.900000000000006</v>
      </c>
      <c r="GR95" s="278"/>
      <c r="GS95" s="321"/>
      <c r="GT95" s="139"/>
      <c r="GU95" s="139"/>
      <c r="GV95" s="139"/>
    </row>
    <row r="96" spans="1:204" ht="32.1" customHeight="1">
      <c r="A96" s="109"/>
      <c r="B96" s="79" t="str">
        <f>VLOOKUP(878,Sprachindex!$A:$Z,Info!$O$7,FALSE)</f>
        <v>Stk.</v>
      </c>
      <c r="C96" s="78"/>
      <c r="D96" s="79">
        <f>IF($O$17=1,AG96,IF($O$17=2,AQ96,IF($O$17=3,BA96,IF($O$17=4,BK96,0))))</f>
        <v>0</v>
      </c>
      <c r="E96" s="561" t="str">
        <f>VLOOKUP(458,Sprachindex!$A:$Z,Info!$O$7,FALSE)</f>
        <v>Hängerinnen-Dila ohne Wulst und Blende</v>
      </c>
      <c r="F96" s="562"/>
      <c r="G96" s="562"/>
      <c r="H96" s="562"/>
      <c r="I96" s="562"/>
      <c r="J96" s="627" t="str">
        <f>Formeln_RI_P.10!A175</f>
        <v/>
      </c>
      <c r="K96" s="628"/>
      <c r="L96" s="79" t="str">
        <f>IF(OR(A96="",W96="",X96="")," ",IF($O$11=1,U96,IF($O$11=2,V96,0)))</f>
        <v xml:space="preserve"> </v>
      </c>
      <c r="M96" s="440" t="str">
        <f t="shared" ref="M96:M106" si="28">B96</f>
        <v>Stk.</v>
      </c>
      <c r="N96" s="80"/>
      <c r="O96" s="202" t="str">
        <f t="shared" si="27"/>
        <v xml:space="preserve"> </v>
      </c>
      <c r="R96" s="289"/>
      <c r="S96" s="195"/>
      <c r="T96" s="71"/>
      <c r="U96" s="149">
        <f>ROUNDUP($A96/W96,0)*W96</f>
        <v>0</v>
      </c>
      <c r="V96" s="149">
        <f>ROUNDUP($A96/X96,0)*X96</f>
        <v>0</v>
      </c>
      <c r="W96" s="149">
        <f>IF($O$17="","",6)</f>
        <v>6</v>
      </c>
      <c r="X96" s="149">
        <v>1</v>
      </c>
      <c r="Y96"/>
      <c r="AG96" s="63">
        <v>547102</v>
      </c>
      <c r="AH96" s="63" t="s">
        <v>1531</v>
      </c>
      <c r="AI96"/>
      <c r="AQ96" s="63">
        <v>547101</v>
      </c>
      <c r="AR96" s="63" t="s">
        <v>1532</v>
      </c>
      <c r="AS96"/>
      <c r="BA96" s="63">
        <v>547100</v>
      </c>
      <c r="BB96" s="63" t="s">
        <v>1533</v>
      </c>
      <c r="BC96"/>
      <c r="BK96" s="63">
        <v>547103</v>
      </c>
      <c r="BL96" s="63" t="s">
        <v>1534</v>
      </c>
      <c r="FE96" s="561" t="str">
        <f>VLOOKUP(458,Sprachindex!$A:$Z,Info!$O$7,FALSE)</f>
        <v>Hängerinnen-Dila ohne Wulst und Blende</v>
      </c>
      <c r="FF96" s="562"/>
      <c r="FG96" s="562"/>
      <c r="FH96" s="562"/>
      <c r="FI96" s="562"/>
      <c r="FJ96" s="242"/>
      <c r="FK96" s="233">
        <v>21.59</v>
      </c>
      <c r="FL96" s="243"/>
      <c r="FM96" s="242"/>
      <c r="FN96" s="240">
        <v>24.56</v>
      </c>
      <c r="FO96" s="246"/>
      <c r="FP96" s="247"/>
      <c r="FQ96" s="238">
        <v>29.99</v>
      </c>
      <c r="FR96" s="243"/>
      <c r="FS96" s="257">
        <v>36.72</v>
      </c>
      <c r="FT96" s="271" t="str">
        <f>IF($O$17=1,FK96,IF($O$17=2,FN96,IF($O$17=3,FQ96,IF($O$17=4,FS96," "))))</f>
        <v xml:space="preserve"> </v>
      </c>
      <c r="FY96" s="276"/>
      <c r="FZ96" s="277"/>
      <c r="GA96" s="277"/>
      <c r="GB96" s="277"/>
      <c r="GC96" s="278"/>
      <c r="GD96" s="276"/>
      <c r="GE96" s="277"/>
      <c r="GF96" s="277"/>
      <c r="GG96" s="277"/>
      <c r="GH96" s="278"/>
      <c r="GI96" s="276"/>
      <c r="GJ96" s="277"/>
      <c r="GK96" s="277"/>
      <c r="GL96" s="277"/>
      <c r="GM96" s="278"/>
      <c r="GN96" s="276"/>
      <c r="GO96" s="277"/>
      <c r="GP96" s="277"/>
      <c r="GQ96" s="277"/>
      <c r="GR96" s="278"/>
      <c r="GS96" s="321"/>
      <c r="GT96" s="139"/>
      <c r="GU96" s="139"/>
      <c r="GV96" s="139"/>
    </row>
    <row r="97" spans="1:195" ht="32.1" customHeight="1">
      <c r="A97" s="109"/>
      <c r="B97" s="79" t="str">
        <f>VLOOKUP(878,Sprachindex!$A:$Z,Info!$O$7,FALSE)</f>
        <v>Stk.</v>
      </c>
      <c r="C97" s="78"/>
      <c r="D97" s="79">
        <f>IF($O$17=1,AG97,IF($O$17=3,AQ97,IF($O$17=4,BA97,0)))</f>
        <v>0</v>
      </c>
      <c r="E97" s="561" t="str">
        <f>VLOOKUP(518,Sprachindex!$A:$Z,Info!$O$7,FALSE)</f>
        <v>Kastenrinnen-Dila ohne Wulst und Blende</v>
      </c>
      <c r="F97" s="562"/>
      <c r="G97" s="562"/>
      <c r="H97" s="562"/>
      <c r="I97" s="562"/>
      <c r="J97" s="627" t="str">
        <f>Formeln_RI_P.10!A181</f>
        <v/>
      </c>
      <c r="K97" s="628"/>
      <c r="L97" s="79" t="str">
        <f>IF(OR(A97="",W97="",X97="")," ",IF($O$11=1,U97,IF($O$11=2,V97,0)))</f>
        <v xml:space="preserve"> </v>
      </c>
      <c r="M97" s="440" t="str">
        <f t="shared" si="28"/>
        <v>Stk.</v>
      </c>
      <c r="N97" s="80"/>
      <c r="O97" s="202" t="str">
        <f>IF(ISNUMBER(L97),FT97*L97," ")</f>
        <v xml:space="preserve"> </v>
      </c>
      <c r="R97" s="289"/>
      <c r="S97" s="195"/>
      <c r="T97" s="71"/>
      <c r="U97" s="149" t="e">
        <f>ROUNDUP($A97/W97,0)*W97</f>
        <v>#VALUE!</v>
      </c>
      <c r="V97" s="149">
        <f>ROUNDUP($A97/X97,0)*X97</f>
        <v>0</v>
      </c>
      <c r="W97" s="149" t="str">
        <f>IF($O$17=1,6,IF($O$17=3,6,IF($O$17=4,6,"")))</f>
        <v/>
      </c>
      <c r="X97" s="149">
        <v>1</v>
      </c>
      <c r="Y97"/>
      <c r="AG97" s="63">
        <v>547106</v>
      </c>
      <c r="AH97" s="63" t="s">
        <v>1531</v>
      </c>
      <c r="AI97"/>
      <c r="AQ97" s="63">
        <v>547105</v>
      </c>
      <c r="AR97" s="63" t="s">
        <v>1533</v>
      </c>
      <c r="AS97"/>
      <c r="BA97" s="63">
        <v>547104</v>
      </c>
      <c r="BB97" s="63" t="s">
        <v>1534</v>
      </c>
      <c r="FE97" s="561" t="str">
        <f>VLOOKUP(518,Sprachindex!$A:$Z,Info!$O$7,FALSE)</f>
        <v>Kastenrinnen-Dila ohne Wulst und Blende</v>
      </c>
      <c r="FF97" s="562"/>
      <c r="FG97" s="562"/>
      <c r="FH97" s="562"/>
      <c r="FI97" s="562"/>
      <c r="FJ97" s="242"/>
      <c r="FK97" s="233">
        <v>21.59</v>
      </c>
      <c r="FL97" s="246"/>
      <c r="FM97" s="247"/>
      <c r="FN97" s="237"/>
      <c r="FO97" s="246"/>
      <c r="FP97" s="247"/>
      <c r="FQ97" s="238">
        <v>29.99</v>
      </c>
      <c r="FR97" s="253"/>
      <c r="FS97" s="257">
        <v>36.72</v>
      </c>
      <c r="FT97" s="271" t="str">
        <f>IF($O$17=1,FK97,IF($O$17=3,FQ97,IF($O$17=4,FS97," ")))</f>
        <v xml:space="preserve"> </v>
      </c>
    </row>
    <row r="98" spans="1:195" ht="32.1" customHeight="1">
      <c r="A98" s="98"/>
      <c r="B98" s="79" t="str">
        <f>VLOOKUP(1512,Sprachindex!$A:$Z,Info!$O$7,FALSE)</f>
        <v>lfm</v>
      </c>
      <c r="C98" s="78"/>
      <c r="D98" s="78">
        <f>AG98</f>
        <v>0</v>
      </c>
      <c r="E98" s="561" t="str">
        <f>VLOOKUP(334,Sprachindex!$A:$Z,Info!$O$7,FALSE)</f>
        <v>Einlaufblech (230 × 2.000 × 0,7 mm)</v>
      </c>
      <c r="F98" s="562"/>
      <c r="G98" s="562"/>
      <c r="H98" s="562"/>
      <c r="I98" s="562"/>
      <c r="J98" s="627"/>
      <c r="K98" s="628"/>
      <c r="L98" s="79" t="str">
        <f>IF(A98=0,"",IF($O$11=1,U98,V98))</f>
        <v/>
      </c>
      <c r="M98" s="440" t="str">
        <f t="shared" si="28"/>
        <v>lfm</v>
      </c>
      <c r="N98" s="80"/>
      <c r="O98" s="202" t="str">
        <f t="shared" si="27"/>
        <v xml:space="preserve"> </v>
      </c>
      <c r="R98" s="289"/>
      <c r="S98" s="195"/>
      <c r="U98" s="149">
        <f>ROUNDUP($A98/2,0)*2</f>
        <v>0</v>
      </c>
      <c r="V98" s="149">
        <f>ROUNDUP($A98/2,0)*2</f>
        <v>0</v>
      </c>
      <c r="W98" s="145"/>
      <c r="Y98" s="527">
        <v>212101</v>
      </c>
      <c r="Z98" s="527">
        <v>212100</v>
      </c>
      <c r="AA98" s="527">
        <v>212104</v>
      </c>
      <c r="AB98" s="527">
        <v>212102</v>
      </c>
      <c r="AC98" s="527">
        <v>212105</v>
      </c>
      <c r="AD98" s="527">
        <v>212106</v>
      </c>
      <c r="AE98" s="527">
        <v>212103</v>
      </c>
      <c r="AF98" s="527">
        <v>563018</v>
      </c>
      <c r="AG98" s="61">
        <f>IF($O$16=1,Y98,IF($O$16=2,Z98,IF($O$16=3,AA98,IF($O$16=4,AB98,IF($O$16=5,AC98,IF($O$16=6,AD98,IF($O$16=8,AE98,IF($O$16=10,AF98,0))))))))</f>
        <v>0</v>
      </c>
      <c r="AH98"/>
      <c r="AI98"/>
      <c r="FE98" s="561" t="str">
        <f>VLOOKUP(334,Sprachindex!$A:$Z,Info!$O$7,FALSE)</f>
        <v>Einlaufblech (230 × 2.000 × 0,7 mm)</v>
      </c>
      <c r="FF98" s="562"/>
      <c r="FG98" s="562"/>
      <c r="FH98" s="562"/>
      <c r="FI98" s="562"/>
      <c r="FJ98" s="260">
        <v>8.65</v>
      </c>
      <c r="FK98" s="298"/>
      <c r="FL98" s="265"/>
      <c r="FM98" s="263"/>
      <c r="FN98" s="298"/>
      <c r="FO98" s="310"/>
      <c r="FP98" s="311"/>
      <c r="FQ98" s="112"/>
      <c r="FR98" s="265"/>
      <c r="FS98" s="312"/>
      <c r="FT98" s="271">
        <f>FJ98</f>
        <v>8.65</v>
      </c>
    </row>
    <row r="99" spans="1:195" ht="32.1" customHeight="1">
      <c r="A99" s="109"/>
      <c r="B99" s="79" t="str">
        <f>VLOOKUP(878,Sprachindex!$A:$Z,Info!$O$7,FALSE)</f>
        <v>Stk.</v>
      </c>
      <c r="C99" s="78"/>
      <c r="D99" s="78">
        <f>AG99</f>
        <v>0</v>
      </c>
      <c r="E99" s="561" t="str">
        <f>VLOOKUP(1877,Sprachindex!$A:$Z,Info!$O$7,FALSE)</f>
        <v>Ausbesserungslack</v>
      </c>
      <c r="F99" s="562"/>
      <c r="G99" s="562"/>
      <c r="H99" s="562"/>
      <c r="I99" s="562"/>
      <c r="J99" s="627" t="str">
        <f>VLOOKUP(1878,Sprachindex!$A:$Z,Info!$O$7,FALSE)</f>
        <v>12 ml</v>
      </c>
      <c r="K99" s="628"/>
      <c r="L99" s="79" t="str">
        <f>IF(OR(A99="",W99="",X99="")," ",IF($O$11=1,$U99,IF($O$11=2,V99,0)))</f>
        <v xml:space="preserve"> </v>
      </c>
      <c r="M99" s="440" t="str">
        <f t="shared" si="28"/>
        <v>Stk.</v>
      </c>
      <c r="N99" s="80"/>
      <c r="O99" s="202" t="str">
        <f t="shared" si="27"/>
        <v xml:space="preserve"> </v>
      </c>
      <c r="R99" s="289"/>
      <c r="S99" s="195"/>
      <c r="T99" s="71"/>
      <c r="U99" s="149">
        <f t="shared" ref="U99:V102" si="29">ROUNDUP($A99/W99,0)*W99</f>
        <v>0</v>
      </c>
      <c r="V99" s="149">
        <f t="shared" si="29"/>
        <v>0</v>
      </c>
      <c r="W99" s="149">
        <v>1</v>
      </c>
      <c r="X99" s="149">
        <v>1</v>
      </c>
      <c r="Y99" t="s">
        <v>1535</v>
      </c>
      <c r="Z99" t="s">
        <v>1536</v>
      </c>
      <c r="AA99" t="s">
        <v>1537</v>
      </c>
      <c r="AB99" t="s">
        <v>1538</v>
      </c>
      <c r="AC99"/>
      <c r="AD99" t="s">
        <v>1539</v>
      </c>
      <c r="AE99" t="s">
        <v>1540</v>
      </c>
      <c r="AF99"/>
      <c r="AG99" s="61">
        <f>IF($O$16=1,Y99,IF($O$16=2,Z99,IF($O$16=3,AA99,IF($O$16=4,AB99,IF($O$16=5,AC99,IF($O$16=6,AD99,IF($O$16=8,AE99,IF($O$16=10,AF99,0))))))))</f>
        <v>0</v>
      </c>
      <c r="AH99"/>
      <c r="AI99"/>
      <c r="AJ99"/>
      <c r="AL99" s="139"/>
      <c r="AM99" s="529"/>
      <c r="AN99"/>
      <c r="BA99" s="65"/>
      <c r="BB99" s="61"/>
      <c r="BC99" s="63"/>
      <c r="BD99"/>
      <c r="BP99" s="65"/>
      <c r="BQ99" s="61"/>
      <c r="BR99" s="63"/>
      <c r="FE99" s="561" t="str">
        <f>VLOOKUP(1877,Sprachindex!$A:$Z,Info!$O$7,FALSE)</f>
        <v>Ausbesserungslack</v>
      </c>
      <c r="FF99" s="562"/>
      <c r="FG99" s="562"/>
      <c r="FH99" s="562"/>
      <c r="FI99" s="562"/>
      <c r="FJ99" s="260">
        <v>6.01</v>
      </c>
      <c r="FK99" s="237"/>
      <c r="FL99" s="243"/>
      <c r="FM99" s="242"/>
      <c r="FN99" s="237"/>
      <c r="FO99" s="246"/>
      <c r="FP99" s="247"/>
      <c r="FQ99" s="111"/>
      <c r="FR99" s="243"/>
      <c r="FS99" s="256"/>
      <c r="FT99" s="271">
        <f t="shared" ref="FT99:FT106" si="30">FJ99</f>
        <v>6.01</v>
      </c>
    </row>
    <row r="100" spans="1:195" ht="32.1" customHeight="1">
      <c r="A100" s="109"/>
      <c r="B100" s="79" t="str">
        <f>VLOOKUP(878,Sprachindex!$A:$Z,Info!$O$7,FALSE)</f>
        <v>Stk.</v>
      </c>
      <c r="C100" s="78"/>
      <c r="D100" s="78">
        <f>AG100</f>
        <v>0</v>
      </c>
      <c r="E100" s="561" t="str">
        <f>VLOOKUP(1879,Sprachindex!$A:$Z,Info!$O$7,FALSE)</f>
        <v>Ausbesserungsstift</v>
      </c>
      <c r="F100" s="562"/>
      <c r="G100" s="562"/>
      <c r="H100" s="562"/>
      <c r="I100" s="562"/>
      <c r="J100" s="627" t="str">
        <f>VLOOKUP(1880,Sprachindex!$A:$Z,Info!$O$7,FALSE)</f>
        <v>11 ml</v>
      </c>
      <c r="K100" s="628"/>
      <c r="L100" s="79" t="str">
        <f>IF(OR(A100="",W100="",X100="")," ",IF($O$11=1,$U100,IF($O$11=2,V100,0)))</f>
        <v xml:space="preserve"> </v>
      </c>
      <c r="M100" s="440" t="str">
        <f t="shared" si="28"/>
        <v>Stk.</v>
      </c>
      <c r="N100" s="80"/>
      <c r="O100" s="202" t="str">
        <f t="shared" si="27"/>
        <v xml:space="preserve"> </v>
      </c>
      <c r="R100" s="289"/>
      <c r="S100" s="195"/>
      <c r="T100" s="71"/>
      <c r="U100" s="149">
        <f t="shared" si="29"/>
        <v>0</v>
      </c>
      <c r="V100" s="149">
        <f t="shared" si="29"/>
        <v>0</v>
      </c>
      <c r="W100" s="149">
        <v>1</v>
      </c>
      <c r="X100" s="149">
        <v>1</v>
      </c>
      <c r="Y100" t="s">
        <v>1541</v>
      </c>
      <c r="Z100" t="s">
        <v>1542</v>
      </c>
      <c r="AA100" t="s">
        <v>1543</v>
      </c>
      <c r="AB100" t="s">
        <v>1544</v>
      </c>
      <c r="AC100">
        <v>430206</v>
      </c>
      <c r="AD100" t="s">
        <v>1545</v>
      </c>
      <c r="AE100" t="s">
        <v>1546</v>
      </c>
      <c r="AF100"/>
      <c r="AG100" s="61">
        <f>IF($O$16=1,Y100,IF($O$16=2,Z100,IF($O$16=3,AA100,IF($O$16=4,AB100,IF($O$16=5,AC100,IF($O$16=6,AD100,IF($O$16=8,AE100,IF($O$16=10,AF100,0))))))))</f>
        <v>0</v>
      </c>
      <c r="AH100"/>
      <c r="AI100"/>
      <c r="AJ100"/>
      <c r="AL100" s="139"/>
      <c r="AM100" s="529"/>
      <c r="AN100"/>
      <c r="BA100" s="65"/>
      <c r="BB100" s="61"/>
      <c r="BC100" s="63"/>
      <c r="BD100"/>
      <c r="BP100" s="65"/>
      <c r="BQ100" s="61"/>
      <c r="BR100" s="63"/>
      <c r="FE100" s="561" t="str">
        <f>VLOOKUP(1879,Sprachindex!$A:$Z,Info!$O$7,FALSE)</f>
        <v>Ausbesserungsstift</v>
      </c>
      <c r="FF100" s="562"/>
      <c r="FG100" s="562"/>
      <c r="FH100" s="562"/>
      <c r="FI100" s="562"/>
      <c r="FJ100" s="260">
        <v>14.32</v>
      </c>
      <c r="FK100" s="237"/>
      <c r="FL100" s="243"/>
      <c r="FM100" s="242"/>
      <c r="FN100" s="237"/>
      <c r="FO100" s="246"/>
      <c r="FP100" s="247"/>
      <c r="FQ100" s="111"/>
      <c r="FR100" s="243"/>
      <c r="FS100" s="256"/>
      <c r="FT100" s="271">
        <f t="shared" si="30"/>
        <v>14.32</v>
      </c>
    </row>
    <row r="101" spans="1:195" ht="32.1" customHeight="1">
      <c r="A101" s="109"/>
      <c r="B101" s="79" t="str">
        <f>VLOOKUP(878,Sprachindex!$A:$Z,Info!$O$7,FALSE)</f>
        <v>Stk.</v>
      </c>
      <c r="C101" s="78"/>
      <c r="D101" s="78">
        <v>425002</v>
      </c>
      <c r="E101" s="561" t="str">
        <f>VLOOKUP(167,Sprachindex!$A:$Z,Info!$O$7,FALSE)</f>
        <v>Aluminiumlötstäbe</v>
      </c>
      <c r="F101" s="562"/>
      <c r="G101" s="562"/>
      <c r="H101" s="562"/>
      <c r="I101" s="562"/>
      <c r="J101" s="627" t="str">
        <f>VLOOKUP(75,Sprachindex!$A:$Z,Info!$O$7,FALSE)</f>
        <v>250 g</v>
      </c>
      <c r="K101" s="628"/>
      <c r="L101" s="79" t="str">
        <f>IF(OR(A101="",W101="",X101="")," ",IF($O$11=1,U101,IF($O$11=2,V101,0)))</f>
        <v xml:space="preserve"> </v>
      </c>
      <c r="M101" s="440" t="str">
        <f t="shared" si="28"/>
        <v>Stk.</v>
      </c>
      <c r="N101" s="80"/>
      <c r="O101" s="202" t="str">
        <f t="shared" si="27"/>
        <v xml:space="preserve"> </v>
      </c>
      <c r="R101" s="289"/>
      <c r="S101" s="195"/>
      <c r="T101" s="71"/>
      <c r="U101" s="149">
        <f t="shared" si="29"/>
        <v>0</v>
      </c>
      <c r="V101" s="149">
        <f t="shared" si="29"/>
        <v>0</v>
      </c>
      <c r="W101" s="149">
        <v>1</v>
      </c>
      <c r="X101" s="149">
        <v>1</v>
      </c>
      <c r="FE101" s="561" t="str">
        <f>VLOOKUP(167,Sprachindex!$A:$Z,Info!$O$7,FALSE)</f>
        <v>Aluminiumlötstäbe</v>
      </c>
      <c r="FF101" s="562"/>
      <c r="FG101" s="562"/>
      <c r="FH101" s="562"/>
      <c r="FI101" s="562"/>
      <c r="FJ101" s="260">
        <v>145.6</v>
      </c>
      <c r="FK101" s="237"/>
      <c r="FL101" s="243"/>
      <c r="FM101" s="242"/>
      <c r="FN101" s="237"/>
      <c r="FO101" s="246"/>
      <c r="FP101" s="247"/>
      <c r="FQ101" s="111"/>
      <c r="FR101" s="243"/>
      <c r="FS101" s="256"/>
      <c r="FT101" s="271">
        <f t="shared" si="30"/>
        <v>145.6</v>
      </c>
    </row>
    <row r="102" spans="1:195" ht="32.1" customHeight="1">
      <c r="A102" s="98"/>
      <c r="B102" s="79" t="str">
        <f>VLOOKUP(878,Sprachindex!$A:$Z,Info!$O$7,FALSE)</f>
        <v>Stk.</v>
      </c>
      <c r="C102" s="78"/>
      <c r="D102" s="78">
        <v>420006</v>
      </c>
      <c r="E102" s="561" t="str">
        <f>VLOOKUP(838,Sprachindex!$A:$Z,Info!$O$7,FALSE)</f>
        <v>Spezialsilikon</v>
      </c>
      <c r="F102" s="562"/>
      <c r="G102" s="562"/>
      <c r="H102" s="562"/>
      <c r="I102" s="562"/>
      <c r="J102" s="627" t="str">
        <f>VLOOKUP(86,Sprachindex!$A:$Z,Info!$O$7,FALSE)</f>
        <v>300 ml</v>
      </c>
      <c r="K102" s="628"/>
      <c r="L102" s="79" t="str">
        <f>IF(OR(A102="",W102="",X102="")," ",IF($O$11=1,$U102,IF($O$11=2,V102,0)))</f>
        <v xml:space="preserve"> </v>
      </c>
      <c r="M102" s="440" t="str">
        <f t="shared" si="28"/>
        <v>Stk.</v>
      </c>
      <c r="N102" s="80"/>
      <c r="O102" s="202" t="str">
        <f t="shared" si="27"/>
        <v xml:space="preserve"> </v>
      </c>
      <c r="R102" s="289"/>
      <c r="S102" s="195"/>
      <c r="T102" s="71"/>
      <c r="U102" s="149">
        <f t="shared" si="29"/>
        <v>0</v>
      </c>
      <c r="V102" s="149">
        <f t="shared" si="29"/>
        <v>0</v>
      </c>
      <c r="W102" s="149">
        <v>1</v>
      </c>
      <c r="X102" s="149">
        <v>1</v>
      </c>
      <c r="FE102" s="561" t="str">
        <f>VLOOKUP(838,Sprachindex!$A:$Z,Info!$O$7,FALSE)</f>
        <v>Spezialsilikon</v>
      </c>
      <c r="FF102" s="562"/>
      <c r="FG102" s="562"/>
      <c r="FH102" s="562"/>
      <c r="FI102" s="562"/>
      <c r="FJ102" s="260">
        <v>10.11</v>
      </c>
      <c r="FK102" s="237"/>
      <c r="FL102" s="243"/>
      <c r="FM102" s="242"/>
      <c r="FN102" s="237"/>
      <c r="FO102" s="246"/>
      <c r="FP102" s="247"/>
      <c r="FQ102" s="111"/>
      <c r="FR102" s="243"/>
      <c r="FS102" s="256"/>
      <c r="FT102" s="271">
        <f t="shared" si="30"/>
        <v>10.11</v>
      </c>
    </row>
    <row r="103" spans="1:195" ht="32.1" customHeight="1">
      <c r="A103" s="98"/>
      <c r="B103" s="79" t="str">
        <f>VLOOKUP(878,Sprachindex!$A:$Z,Info!$O$7,FALSE)</f>
        <v>Stk.</v>
      </c>
      <c r="C103" s="78"/>
      <c r="D103" s="78">
        <v>420501</v>
      </c>
      <c r="E103" s="561" t="str">
        <f>VLOOKUP(851,Sprachindex!$A:$Z,Info!$O$7,FALSE)</f>
        <v>Spezialkleber</v>
      </c>
      <c r="F103" s="562"/>
      <c r="G103" s="562"/>
      <c r="H103" s="562"/>
      <c r="I103" s="562"/>
      <c r="J103" s="627"/>
      <c r="K103" s="628"/>
      <c r="L103" s="79" t="str">
        <f>IF(A103=0,"",IF($O$11=1,U103,V103))</f>
        <v/>
      </c>
      <c r="M103" s="440" t="str">
        <f t="shared" si="28"/>
        <v>Stk.</v>
      </c>
      <c r="N103" s="80"/>
      <c r="O103" s="202" t="str">
        <f t="shared" si="27"/>
        <v xml:space="preserve"> </v>
      </c>
      <c r="R103" s="289"/>
      <c r="S103" s="195"/>
      <c r="U103" s="149">
        <f>ROUNDUP($A103/24,0)*24</f>
        <v>0</v>
      </c>
      <c r="V103" s="149">
        <f>ROUNDUP($A103,0)</f>
        <v>0</v>
      </c>
      <c r="W103" s="150"/>
      <c r="FE103" s="561" t="str">
        <f>VLOOKUP(851,Sprachindex!$A:$Z,Info!$O$7,FALSE)</f>
        <v>Spezialkleber</v>
      </c>
      <c r="FF103" s="562"/>
      <c r="FG103" s="562"/>
      <c r="FH103" s="562"/>
      <c r="FI103" s="562"/>
      <c r="FJ103" s="260">
        <v>39.130000000000003</v>
      </c>
      <c r="FK103" s="237"/>
      <c r="FL103" s="243"/>
      <c r="FM103" s="242"/>
      <c r="FN103" s="237"/>
      <c r="FO103" s="246"/>
      <c r="FP103" s="247"/>
      <c r="FQ103" s="111"/>
      <c r="FR103" s="243"/>
      <c r="FS103" s="256"/>
      <c r="FT103" s="271">
        <f t="shared" si="30"/>
        <v>39.130000000000003</v>
      </c>
    </row>
    <row r="104" spans="1:195" ht="32.1" customHeight="1">
      <c r="A104" s="98"/>
      <c r="B104" s="79" t="str">
        <f>VLOOKUP(821,Sprachindex!$A:$Z,Info!$O$7,FALSE)</f>
        <v>Set</v>
      </c>
      <c r="C104" s="81"/>
      <c r="D104" s="78">
        <v>420500</v>
      </c>
      <c r="E104" s="561" t="str">
        <f>VLOOKUP(852,Sprachindex!$A:$Z,Info!$O$7,FALSE)</f>
        <v>Spezialkleberset</v>
      </c>
      <c r="F104" s="562"/>
      <c r="G104" s="562"/>
      <c r="H104" s="562"/>
      <c r="I104" s="562"/>
      <c r="J104" s="627"/>
      <c r="K104" s="628"/>
      <c r="L104" s="79" t="str">
        <f>IF(A104=0,"",IF($O$11=1,U104,V104))</f>
        <v/>
      </c>
      <c r="M104" s="440" t="str">
        <f t="shared" si="28"/>
        <v>Set</v>
      </c>
      <c r="N104" s="80"/>
      <c r="O104" s="202" t="str">
        <f t="shared" si="27"/>
        <v xml:space="preserve"> </v>
      </c>
      <c r="R104" s="232"/>
      <c r="S104" s="195"/>
      <c r="U104" s="149">
        <f>ROUNDUP($A104,0)</f>
        <v>0</v>
      </c>
      <c r="V104" s="149">
        <f>ROUNDUP($A104,0)</f>
        <v>0</v>
      </c>
      <c r="W104" s="145"/>
      <c r="Y104" s="47" t="s">
        <v>33</v>
      </c>
      <c r="Z104" s="47" t="s">
        <v>34</v>
      </c>
      <c r="AA104" s="47" t="s">
        <v>35</v>
      </c>
      <c r="AB104" s="47" t="s">
        <v>36</v>
      </c>
      <c r="AC104" s="47" t="s">
        <v>37</v>
      </c>
      <c r="AD104" s="47" t="s">
        <v>38</v>
      </c>
      <c r="AE104" s="47" t="s">
        <v>39</v>
      </c>
      <c r="AF104" s="47"/>
      <c r="AG104" s="47" t="s">
        <v>40</v>
      </c>
      <c r="AH104" s="47" t="s">
        <v>41</v>
      </c>
      <c r="AI104" s="47" t="s">
        <v>42</v>
      </c>
      <c r="AJ104" s="47" t="s">
        <v>33</v>
      </c>
      <c r="AK104" s="47" t="s">
        <v>34</v>
      </c>
      <c r="AL104" s="47" t="s">
        <v>35</v>
      </c>
      <c r="AM104" s="47" t="s">
        <v>36</v>
      </c>
      <c r="AN104" s="47" t="s">
        <v>37</v>
      </c>
      <c r="AO104" s="47" t="s">
        <v>38</v>
      </c>
      <c r="AP104" s="47"/>
      <c r="AQ104" s="47" t="s">
        <v>39</v>
      </c>
      <c r="AR104" s="47" t="s">
        <v>40</v>
      </c>
      <c r="AS104" s="47" t="s">
        <v>41</v>
      </c>
      <c r="AT104" s="47" t="s">
        <v>42</v>
      </c>
      <c r="FE104" s="561" t="str">
        <f>VLOOKUP(852,Sprachindex!$A:$Z,Info!$O$7,FALSE)</f>
        <v>Spezialkleberset</v>
      </c>
      <c r="FF104" s="562"/>
      <c r="FG104" s="562"/>
      <c r="FH104" s="562"/>
      <c r="FI104" s="562"/>
      <c r="FJ104" s="260">
        <v>53.57</v>
      </c>
      <c r="FK104" s="237"/>
      <c r="FL104" s="243"/>
      <c r="FM104" s="242"/>
      <c r="FN104" s="237"/>
      <c r="FO104" s="246"/>
      <c r="FP104" s="247"/>
      <c r="FQ104" s="111"/>
      <c r="FR104" s="243"/>
      <c r="FS104" s="256"/>
      <c r="FT104" s="271">
        <f t="shared" si="30"/>
        <v>53.57</v>
      </c>
    </row>
    <row r="105" spans="1:195" ht="32.1" customHeight="1">
      <c r="A105" s="98"/>
      <c r="B105" s="79" t="str">
        <f>VLOOKUP(878,Sprachindex!$A:$Z,Info!$O$7,FALSE)</f>
        <v>Stk.</v>
      </c>
      <c r="C105" s="78"/>
      <c r="D105" s="78">
        <v>420028</v>
      </c>
      <c r="E105" s="561" t="str">
        <f>VLOOKUP(723,Sprachindex!$A:$Z,Info!$O$7,FALSE)</f>
        <v>Rinnenwulstöffner</v>
      </c>
      <c r="F105" s="562"/>
      <c r="G105" s="562"/>
      <c r="H105" s="562"/>
      <c r="I105" s="562"/>
      <c r="J105" s="627"/>
      <c r="K105" s="628"/>
      <c r="L105" s="79" t="str">
        <f>IF(OR(A105="",W105="",X105="")," ",IF($O$11=1,U105,IF($O$11=2,V105,0)))</f>
        <v xml:space="preserve"> </v>
      </c>
      <c r="M105" s="440" t="str">
        <f t="shared" si="28"/>
        <v>Stk.</v>
      </c>
      <c r="N105" s="80"/>
      <c r="O105" s="202" t="str">
        <f t="shared" si="27"/>
        <v xml:space="preserve"> </v>
      </c>
      <c r="R105" s="232"/>
      <c r="S105" s="195"/>
      <c r="T105" s="71"/>
      <c r="U105" s="149">
        <f>ROUNDUP($A105/W105,0)*W105</f>
        <v>0</v>
      </c>
      <c r="V105" s="149">
        <f>ROUNDUP($A105/X105,0)*X105</f>
        <v>0</v>
      </c>
      <c r="W105" s="149">
        <v>1</v>
      </c>
      <c r="X105" s="149">
        <v>1</v>
      </c>
      <c r="Y105" s="123"/>
      <c r="Z105" s="123"/>
      <c r="AA105" s="123"/>
      <c r="AB105" s="123"/>
      <c r="AC105" s="123"/>
      <c r="AD105" s="123"/>
      <c r="AE105" s="123"/>
      <c r="AF105" s="123"/>
      <c r="AG105" s="123"/>
      <c r="AH105" s="123"/>
      <c r="AI105" s="123"/>
      <c r="AJ105" s="123"/>
      <c r="AK105" s="123"/>
      <c r="AL105" s="123"/>
      <c r="AM105" s="123"/>
      <c r="AN105" s="123"/>
      <c r="AO105" s="123"/>
      <c r="AP105" s="123"/>
      <c r="FE105" s="561" t="str">
        <f>VLOOKUP(723,Sprachindex!$A:$Z,Info!$O$7,FALSE)</f>
        <v>Rinnenwulstöffner</v>
      </c>
      <c r="FF105" s="562"/>
      <c r="FG105" s="562"/>
      <c r="FH105" s="562"/>
      <c r="FI105" s="562"/>
      <c r="FJ105" s="260">
        <v>72.28</v>
      </c>
      <c r="FK105" s="237"/>
      <c r="FL105" s="243"/>
      <c r="FM105" s="242"/>
      <c r="FN105" s="237"/>
      <c r="FO105" s="246"/>
      <c r="FP105" s="247"/>
      <c r="FQ105" s="111"/>
      <c r="FR105" s="243"/>
      <c r="FS105" s="256"/>
      <c r="FT105" s="271">
        <f t="shared" si="30"/>
        <v>72.28</v>
      </c>
    </row>
    <row r="106" spans="1:195" ht="32.1" customHeight="1">
      <c r="A106" s="98"/>
      <c r="B106" s="79" t="str">
        <f>VLOOKUP(878,Sprachindex!$A:$Z,Info!$O$7,FALSE)</f>
        <v>Stk.</v>
      </c>
      <c r="C106" s="78"/>
      <c r="D106" s="78">
        <v>420546</v>
      </c>
      <c r="E106" s="561" t="str">
        <f>VLOOKUP(575,Sprachindex!$A:$Z,Info!$O$7,FALSE)</f>
        <v>Leitersicherung</v>
      </c>
      <c r="F106" s="562"/>
      <c r="G106" s="562"/>
      <c r="H106" s="562"/>
      <c r="I106" s="562"/>
      <c r="J106" s="627"/>
      <c r="K106" s="628"/>
      <c r="L106" s="79" t="str">
        <f>IF(OR(A106="",W106="",X106="")," ",IF($O$11=1,U106,IF($O$11=2,V106,0)))</f>
        <v xml:space="preserve"> </v>
      </c>
      <c r="M106" s="440" t="str">
        <f t="shared" si="28"/>
        <v>Stk.</v>
      </c>
      <c r="N106" s="80"/>
      <c r="O106" s="202" t="str">
        <f t="shared" si="27"/>
        <v xml:space="preserve"> </v>
      </c>
      <c r="R106" s="232"/>
      <c r="S106" s="195"/>
      <c r="T106" s="71"/>
      <c r="U106" s="149">
        <f>ROUNDUP($A106/W106,0)*W106</f>
        <v>0</v>
      </c>
      <c r="V106" s="149">
        <f>ROUNDUP($A106/X106,0)*X106</f>
        <v>0</v>
      </c>
      <c r="W106" s="149">
        <v>1</v>
      </c>
      <c r="X106" s="149">
        <v>1</v>
      </c>
      <c r="Y106" s="123"/>
      <c r="Z106" s="123"/>
      <c r="AA106" s="123"/>
      <c r="AB106" s="123"/>
      <c r="AC106" s="123"/>
      <c r="AD106" s="123"/>
      <c r="AE106" s="123"/>
      <c r="AF106" s="123"/>
      <c r="AG106" s="123"/>
      <c r="AH106" s="123"/>
      <c r="AI106" s="123"/>
      <c r="AJ106" s="123"/>
      <c r="AK106" s="123"/>
      <c r="AL106" s="123"/>
      <c r="AM106" s="123"/>
      <c r="AN106" s="123"/>
      <c r="AO106" s="123"/>
      <c r="AP106" s="123"/>
      <c r="FE106" s="561" t="str">
        <f>VLOOKUP(575,Sprachindex!$A:$Z,Info!$O$7,FALSE)</f>
        <v>Leitersicherung</v>
      </c>
      <c r="FF106" s="562"/>
      <c r="FG106" s="562"/>
      <c r="FH106" s="562"/>
      <c r="FI106" s="562"/>
      <c r="FJ106" s="260">
        <v>110.9</v>
      </c>
      <c r="FK106" s="308"/>
      <c r="FT106" s="271">
        <f t="shared" si="30"/>
        <v>110.9</v>
      </c>
    </row>
    <row r="107" spans="1:195" ht="32.1" customHeight="1">
      <c r="A107" s="156"/>
      <c r="B107" s="104"/>
      <c r="C107" s="104"/>
      <c r="D107" s="104"/>
      <c r="E107" s="575"/>
      <c r="F107" s="576"/>
      <c r="G107" s="576"/>
      <c r="H107" s="576"/>
      <c r="I107" s="576"/>
      <c r="J107" s="576"/>
      <c r="K107" s="577"/>
      <c r="L107" s="104"/>
      <c r="M107" s="433"/>
      <c r="N107" s="80"/>
      <c r="O107" s="70"/>
      <c r="R107" s="232"/>
      <c r="S107" s="195"/>
      <c r="T107" s="71"/>
      <c r="U107" s="8"/>
      <c r="V107" s="8"/>
    </row>
    <row r="108" spans="1:195" ht="32.1" customHeight="1">
      <c r="A108" s="109"/>
      <c r="B108" s="104"/>
      <c r="C108" s="104"/>
      <c r="D108" s="104"/>
      <c r="E108" s="575"/>
      <c r="F108" s="576"/>
      <c r="G108" s="576"/>
      <c r="H108" s="576"/>
      <c r="I108" s="576"/>
      <c r="J108" s="576"/>
      <c r="K108" s="577"/>
      <c r="L108" s="104"/>
      <c r="M108" s="433"/>
      <c r="N108" s="80"/>
      <c r="R108" s="232"/>
      <c r="S108" s="195"/>
      <c r="T108" s="71"/>
      <c r="U108" s="8"/>
      <c r="V108" s="8"/>
    </row>
    <row r="109" spans="1:195" ht="32.1" customHeight="1" thickBot="1">
      <c r="A109" s="153"/>
      <c r="B109" s="154"/>
      <c r="C109" s="154"/>
      <c r="D109" s="154"/>
      <c r="E109" s="578"/>
      <c r="F109" s="579"/>
      <c r="G109" s="579"/>
      <c r="H109" s="579"/>
      <c r="I109" s="579"/>
      <c r="J109" s="579"/>
      <c r="K109" s="580"/>
      <c r="L109" s="154"/>
      <c r="M109" s="434"/>
      <c r="N109" s="155"/>
      <c r="R109" s="232"/>
      <c r="S109" s="195"/>
      <c r="T109" s="71"/>
      <c r="U109" s="8"/>
      <c r="V109" s="8"/>
    </row>
    <row r="110" spans="1:195" ht="15" customHeight="1">
      <c r="A110" s="70"/>
      <c r="B110" s="70"/>
      <c r="C110" s="70"/>
      <c r="D110" s="564"/>
      <c r="E110" s="564"/>
      <c r="F110" s="564"/>
      <c r="G110" s="564"/>
      <c r="H110" s="564"/>
      <c r="I110" s="564"/>
      <c r="J110" s="564"/>
      <c r="K110" s="564"/>
      <c r="L110" s="564"/>
      <c r="M110" s="564"/>
      <c r="N110" s="564"/>
      <c r="O110" s="71"/>
      <c r="P110" s="71"/>
      <c r="Q110" s="93"/>
      <c r="R110" s="93"/>
      <c r="S110" s="71"/>
      <c r="T110" s="71"/>
    </row>
    <row r="111" spans="1:195" ht="17.399999999999999">
      <c r="A111" s="70"/>
      <c r="B111" s="70"/>
      <c r="C111" s="89" t="str">
        <f>VLOOKUP(1035,Sprachindex!$A:$Z,Info!$O$7,FALSE)</f>
        <v>Zusatzvermerk:</v>
      </c>
      <c r="D111" s="565"/>
      <c r="E111" s="565"/>
      <c r="F111" s="565"/>
      <c r="G111" s="565"/>
      <c r="H111" s="565"/>
      <c r="I111" s="565"/>
      <c r="J111" s="565"/>
      <c r="K111" s="565"/>
      <c r="L111" s="565"/>
      <c r="M111" s="565"/>
      <c r="N111" s="565"/>
      <c r="O111" s="213">
        <f>SUM(O31:O109)</f>
        <v>0</v>
      </c>
      <c r="P111" s="71"/>
      <c r="Q111" s="93"/>
      <c r="R111" s="93"/>
      <c r="S111" s="71"/>
      <c r="T111" s="71"/>
    </row>
    <row r="112" spans="1:195" s="9" customFormat="1" ht="17.399999999999999">
      <c r="A112" s="70"/>
      <c r="B112" s="70"/>
      <c r="C112" s="70"/>
      <c r="D112" s="566"/>
      <c r="E112" s="566"/>
      <c r="F112" s="566"/>
      <c r="G112" s="566"/>
      <c r="H112" s="566"/>
      <c r="I112" s="566"/>
      <c r="J112" s="566"/>
      <c r="K112" s="566"/>
      <c r="L112" s="566"/>
      <c r="M112" s="566"/>
      <c r="N112" s="566"/>
      <c r="O112" s="71"/>
      <c r="P112" s="71"/>
      <c r="Q112" s="93"/>
      <c r="R112" s="93"/>
      <c r="S112" s="71"/>
      <c r="T112" s="7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6" s="9" customFormat="1" ht="17.399999999999999">
      <c r="A113" s="70"/>
      <c r="B113" s="70"/>
      <c r="C113" s="70"/>
      <c r="D113" s="565"/>
      <c r="E113" s="565"/>
      <c r="F113" s="565"/>
      <c r="G113" s="565"/>
      <c r="H113" s="565"/>
      <c r="I113" s="565"/>
      <c r="J113" s="565"/>
      <c r="K113" s="565"/>
      <c r="L113" s="565"/>
      <c r="M113" s="565"/>
      <c r="N113" s="565"/>
      <c r="O113" s="71"/>
      <c r="P113" s="71"/>
      <c r="Q113" s="93"/>
      <c r="R113" s="93"/>
      <c r="S113" s="71"/>
      <c r="T113" s="7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6" s="9" customFormat="1" ht="17.399999999999999">
      <c r="A114" s="70"/>
      <c r="B114" s="70"/>
      <c r="C114" s="70"/>
      <c r="D114" s="566"/>
      <c r="E114" s="566"/>
      <c r="F114" s="566"/>
      <c r="G114" s="566"/>
      <c r="H114" s="566"/>
      <c r="I114" s="566"/>
      <c r="J114" s="566"/>
      <c r="K114" s="566"/>
      <c r="L114" s="566"/>
      <c r="M114" s="566"/>
      <c r="N114" s="566"/>
      <c r="O114" s="71"/>
      <c r="P114" s="71"/>
      <c r="Q114" s="93"/>
      <c r="R114" s="93"/>
      <c r="S114" s="71"/>
      <c r="T114" s="7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6" s="9" customFormat="1" ht="17.399999999999999">
      <c r="A115" s="70"/>
      <c r="B115" s="70"/>
      <c r="C115" s="70"/>
      <c r="D115" s="565"/>
      <c r="E115" s="565"/>
      <c r="F115" s="565"/>
      <c r="G115" s="565"/>
      <c r="H115" s="565"/>
      <c r="I115" s="565"/>
      <c r="J115" s="565"/>
      <c r="K115" s="565"/>
      <c r="L115" s="565"/>
      <c r="M115" s="565"/>
      <c r="N115" s="565"/>
      <c r="O115" s="71"/>
      <c r="P115" s="71"/>
      <c r="Q115" s="93"/>
      <c r="R115" s="93"/>
      <c r="S115" s="71"/>
      <c r="T115" s="7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6" s="9" customFormat="1" ht="17.399999999999999">
      <c r="A116" s="70"/>
      <c r="B116" s="70"/>
      <c r="C116" s="70"/>
      <c r="D116" s="70"/>
      <c r="E116" s="70"/>
      <c r="F116" s="70"/>
      <c r="G116" s="70"/>
      <c r="H116" s="70"/>
      <c r="I116" s="70"/>
      <c r="J116" s="70"/>
      <c r="K116" s="70"/>
      <c r="L116" s="70"/>
      <c r="M116" s="70"/>
      <c r="N116" s="70"/>
      <c r="O116" s="71"/>
      <c r="P116" s="71"/>
      <c r="Q116" s="93"/>
      <c r="R116" s="93"/>
      <c r="S116" s="71"/>
      <c r="T116" s="7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row>
    <row r="117" spans="1:196" s="9" customFormat="1" ht="17.399999999999999">
      <c r="A117" s="70"/>
      <c r="B117" s="70"/>
      <c r="C117" s="70"/>
      <c r="D117" s="70"/>
      <c r="E117" s="70"/>
      <c r="F117" s="70"/>
      <c r="G117" s="70"/>
      <c r="H117" s="70"/>
      <c r="I117" s="70"/>
      <c r="J117" s="70"/>
      <c r="K117" s="70"/>
      <c r="L117" s="70"/>
      <c r="M117" s="70"/>
      <c r="N117" s="70"/>
      <c r="O117" s="71"/>
      <c r="P117" s="71"/>
      <c r="Q117" s="93"/>
      <c r="R117" s="93"/>
      <c r="S117" s="71"/>
      <c r="T117" s="7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row>
    <row r="118" spans="1:196" s="9" customFormat="1" ht="17.399999999999999">
      <c r="A118" s="90" t="str">
        <f>VLOOKUP(2097,Sprachindex!$A:$Z,Info!$O$7,FALSE)</f>
        <v>Produkttechnik</v>
      </c>
      <c r="B118" s="91"/>
      <c r="C118" s="91"/>
      <c r="D118" s="569"/>
      <c r="E118" s="569"/>
      <c r="F118" s="569"/>
      <c r="G118" s="569"/>
      <c r="H118" s="569"/>
      <c r="I118" s="569"/>
      <c r="J118" s="569"/>
      <c r="K118" s="92" t="str">
        <f>VLOOKUP(856,Sprachindex!$A:$Z,Info!$O$7,FALSE)</f>
        <v>Stand:</v>
      </c>
      <c r="L118" s="567">
        <f>Info!M59</f>
        <v>45511</v>
      </c>
      <c r="M118" s="567"/>
      <c r="N118" s="568"/>
      <c r="O118" s="71"/>
      <c r="P118" s="71"/>
      <c r="Q118" s="93"/>
      <c r="R118" s="93"/>
      <c r="S118" s="71"/>
      <c r="T118" s="7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row>
    <row r="119" spans="1:196" s="9" customFormat="1" ht="14.25" customHeight="1">
      <c r="A119" s="70"/>
      <c r="B119" s="70"/>
      <c r="C119" s="70"/>
      <c r="D119" s="70"/>
      <c r="E119" s="70"/>
      <c r="F119" s="70"/>
      <c r="G119" s="70"/>
      <c r="H119" s="70"/>
      <c r="I119" s="70"/>
      <c r="J119" s="70"/>
      <c r="K119" s="70"/>
      <c r="L119" s="70"/>
      <c r="M119" s="70"/>
      <c r="N119" s="70"/>
      <c r="O119" s="71"/>
      <c r="P119" s="71"/>
      <c r="Q119" s="93"/>
      <c r="R119" s="93"/>
      <c r="S119" s="71"/>
      <c r="T119" s="7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row>
    <row r="120" spans="1:196" s="9" customFormat="1" ht="13.8" hidden="1">
      <c r="A120" s="1"/>
      <c r="B120" s="1"/>
      <c r="C120" s="1"/>
      <c r="D120" s="1"/>
      <c r="E120" s="1"/>
      <c r="F120" s="1"/>
      <c r="G120" s="1"/>
      <c r="H120" s="1"/>
      <c r="I120" s="1"/>
      <c r="J120" s="1"/>
      <c r="K120" s="1"/>
      <c r="L120" s="1"/>
      <c r="M120" s="1"/>
      <c r="N120" s="1"/>
      <c r="O120" s="5"/>
      <c r="P120" s="5"/>
      <c r="Q120" s="135"/>
      <c r="R120" s="135"/>
      <c r="S120" s="5"/>
      <c r="T120" s="5"/>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row>
    <row r="121" spans="1:196" s="9" customFormat="1" ht="13.8" hidden="1">
      <c r="A121" s="1"/>
      <c r="B121" s="1"/>
      <c r="C121" s="1"/>
      <c r="D121" s="1"/>
      <c r="E121" s="1"/>
      <c r="F121" s="1"/>
      <c r="G121" s="1"/>
      <c r="H121" s="1"/>
      <c r="I121" s="1"/>
      <c r="J121" s="1"/>
      <c r="K121" s="1"/>
      <c r="L121" s="1"/>
      <c r="M121" s="1"/>
      <c r="N121" s="1"/>
      <c r="O121" s="5"/>
      <c r="P121" s="5"/>
      <c r="Q121" s="135"/>
      <c r="R121" s="135"/>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row>
    <row r="122" spans="1:196" s="9" customFormat="1" ht="13.8" hidden="1">
      <c r="A122" s="1"/>
      <c r="B122" s="1"/>
      <c r="C122" s="1"/>
      <c r="D122" s="1"/>
      <c r="E122" s="1"/>
      <c r="F122" s="1"/>
      <c r="G122" s="1"/>
      <c r="H122" s="1"/>
      <c r="I122" s="1"/>
      <c r="J122" s="1"/>
      <c r="K122" s="1"/>
      <c r="L122" s="1"/>
      <c r="M122" s="1"/>
      <c r="N122" s="1"/>
      <c r="O122" s="5"/>
      <c r="P122" s="5"/>
      <c r="Q122" s="135"/>
      <c r="R122" s="135"/>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row>
    <row r="123" spans="1:196" s="9" customFormat="1" ht="13.8" hidden="1">
      <c r="A123" s="1"/>
      <c r="B123" s="1"/>
      <c r="C123" s="1"/>
      <c r="D123" s="1"/>
      <c r="E123" s="1"/>
      <c r="F123" s="1"/>
      <c r="G123" s="1"/>
      <c r="H123" s="1"/>
      <c r="I123" s="1"/>
      <c r="J123" s="1"/>
      <c r="K123" s="1"/>
      <c r="L123" s="1"/>
      <c r="M123" s="1"/>
      <c r="N123" s="1"/>
      <c r="O123" s="5"/>
      <c r="P123" s="5"/>
      <c r="Q123" s="135"/>
      <c r="R123" s="135"/>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row>
    <row r="124" spans="1:196" s="9" customFormat="1" ht="13.8" hidden="1">
      <c r="A124" s="1"/>
      <c r="B124" s="1"/>
      <c r="C124" s="1"/>
      <c r="D124" s="1"/>
      <c r="E124" s="1"/>
      <c r="F124" s="1"/>
      <c r="G124" s="1"/>
      <c r="H124" s="1"/>
      <c r="I124" s="1"/>
      <c r="J124" s="1"/>
      <c r="K124" s="1"/>
      <c r="L124" s="1"/>
      <c r="M124" s="1"/>
      <c r="N124" s="1"/>
      <c r="O124" s="5"/>
      <c r="P124" s="5"/>
      <c r="Q124" s="135"/>
      <c r="R124" s="135"/>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row>
    <row r="125" spans="1:196" s="9" customFormat="1" ht="13.8" hidden="1">
      <c r="A125" s="1"/>
      <c r="B125" s="1"/>
      <c r="C125" s="1"/>
      <c r="D125" s="1"/>
      <c r="E125" s="1"/>
      <c r="F125" s="1"/>
      <c r="G125" s="1"/>
      <c r="H125" s="1"/>
      <c r="I125" s="1"/>
      <c r="J125" s="1"/>
      <c r="K125" s="1"/>
      <c r="L125" s="1"/>
      <c r="M125" s="1"/>
      <c r="N125" s="1"/>
      <c r="O125" s="5"/>
      <c r="P125" s="5"/>
      <c r="Q125" s="135"/>
      <c r="R125" s="135"/>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row>
    <row r="126" spans="1:196" s="9" customFormat="1" ht="13.8" hidden="1">
      <c r="A126" s="1"/>
      <c r="B126" s="1"/>
      <c r="C126" s="1"/>
      <c r="D126" s="1"/>
      <c r="E126" s="1"/>
      <c r="F126" s="1"/>
      <c r="G126" s="1"/>
      <c r="H126" s="1"/>
      <c r="I126" s="1"/>
      <c r="J126" s="1"/>
      <c r="K126" s="1"/>
      <c r="L126" s="1"/>
      <c r="M126" s="1"/>
      <c r="N126" s="1"/>
      <c r="O126" s="5"/>
      <c r="P126" s="5"/>
      <c r="Q126" s="135"/>
      <c r="R126" s="135"/>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row>
    <row r="127" spans="1:196" s="9" customFormat="1" ht="13.8" hidden="1">
      <c r="A127" s="1"/>
      <c r="B127" s="1"/>
      <c r="C127" s="1"/>
      <c r="D127" s="1"/>
      <c r="E127" s="1"/>
      <c r="F127" s="1"/>
      <c r="G127" s="1"/>
      <c r="H127" s="1"/>
      <c r="I127" s="1"/>
      <c r="J127" s="1"/>
      <c r="K127" s="1"/>
      <c r="L127" s="1"/>
      <c r="M127" s="1"/>
      <c r="N127" s="1"/>
      <c r="O127" s="5"/>
      <c r="P127" s="5"/>
      <c r="Q127" s="135"/>
      <c r="R127" s="135"/>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row>
    <row r="128" spans="1:196"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4.25" hidden="1" customHeight="1"/>
  </sheetData>
  <sheetProtection algorithmName="SHA-512" hashValue="BoE7e8Drs1QoRoVBJbr8lR3wkH/PN6lCGvKHaC9Q01rSaRmnEBPTVvr//C1batni9IGDK+TDPtq6xp/aRS5kyQ==" saltValue="XPxLazE59n0BRKXLSCfAig==" spinCount="100000" sheet="1" objects="1" selectLockedCells="1" autoFilter="0"/>
  <protectedRanges>
    <protectedRange password="DEBF" sqref="U107:V109"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56:V62 U93:V93" name="darf vom Benutzer nicht verändert werden_1_2_3"/>
    <protectedRange password="DEBF" sqref="V33" name="darf vom Benutzer nicht verändert werden_1_2_4"/>
    <protectedRange password="DEBF" sqref="U45:V45" name="darf vom Benutzer nicht verändert werden_1_5_3"/>
    <protectedRange password="DEBF" sqref="U63:V68 U94:V97 U105:V106 U70:V83 U101:V101 U85:V92"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2:V102" name="darf vom Benutzer nicht verändert werden_1_2_1_1"/>
    <protectedRange password="DEBF" sqref="U103:V104" name="darf vom Benutzer nicht verändert werden_1_5_4"/>
    <protectedRange password="DEBF" sqref="U99:V100" name="darf vom Benutzer nicht verändert werden_1_2_1_1_1"/>
    <protectedRange password="DEBF" sqref="U98:V98" name="darf vom Benutzer nicht verändert werden_1_5_1"/>
  </protectedRanges>
  <autoFilter ref="A29:A109" xr:uid="{00000000-0009-0000-0000-000009000000}"/>
  <mergeCells count="279">
    <mergeCell ref="FE101:FI101"/>
    <mergeCell ref="FE102:FI102"/>
    <mergeCell ref="FY63:FZ63"/>
    <mergeCell ref="E88:I88"/>
    <mergeCell ref="E89:I89"/>
    <mergeCell ref="E90:I90"/>
    <mergeCell ref="E96:I96"/>
    <mergeCell ref="E97:I97"/>
    <mergeCell ref="E63:H63"/>
    <mergeCell ref="E64:H64"/>
    <mergeCell ref="E70:I70"/>
    <mergeCell ref="E79:I79"/>
    <mergeCell ref="E80:I80"/>
    <mergeCell ref="E71:I71"/>
    <mergeCell ref="J71:K71"/>
    <mergeCell ref="E72:I72"/>
    <mergeCell ref="J72:K72"/>
    <mergeCell ref="E73:I73"/>
    <mergeCell ref="GA63:GB63"/>
    <mergeCell ref="GC63:GD63"/>
    <mergeCell ref="FY64:FZ64"/>
    <mergeCell ref="GA64:GB64"/>
    <mergeCell ref="GC64:GD64"/>
    <mergeCell ref="FJ66:FK66"/>
    <mergeCell ref="FP66:FQ66"/>
    <mergeCell ref="FE89:FI89"/>
    <mergeCell ref="FE87:FI87"/>
    <mergeCell ref="FE88:FI88"/>
    <mergeCell ref="FE82:FI82"/>
    <mergeCell ref="FE83:FI83"/>
    <mergeCell ref="FE84:FI84"/>
    <mergeCell ref="FE85:FI85"/>
    <mergeCell ref="FE72:FI72"/>
    <mergeCell ref="FE73:FI73"/>
    <mergeCell ref="FE74:FI74"/>
    <mergeCell ref="FE76:FI76"/>
    <mergeCell ref="FE70:FI70"/>
    <mergeCell ref="FE71:FI71"/>
    <mergeCell ref="FE77:FI77"/>
    <mergeCell ref="FE78:FI78"/>
    <mergeCell ref="FE79:FI79"/>
    <mergeCell ref="FE80:FI80"/>
    <mergeCell ref="FE47:FI47"/>
    <mergeCell ref="FE48:FI48"/>
    <mergeCell ref="FE49:FI49"/>
    <mergeCell ref="FE50:FI50"/>
    <mergeCell ref="FE51:FI51"/>
    <mergeCell ref="FE94:FI94"/>
    <mergeCell ref="FE95:FI95"/>
    <mergeCell ref="FE96:FI96"/>
    <mergeCell ref="FE97:FI97"/>
    <mergeCell ref="FE90:FI90"/>
    <mergeCell ref="FE91:FI91"/>
    <mergeCell ref="FE92:FI92"/>
    <mergeCell ref="FE93:FI93"/>
    <mergeCell ref="FE57:FI57"/>
    <mergeCell ref="FE58:FI58"/>
    <mergeCell ref="FE59:FI59"/>
    <mergeCell ref="FE60:FI60"/>
    <mergeCell ref="FE61:FI61"/>
    <mergeCell ref="FE52:FI52"/>
    <mergeCell ref="FE53:FI53"/>
    <mergeCell ref="FE54:FH54"/>
    <mergeCell ref="FE55:FI55"/>
    <mergeCell ref="FE56:FI56"/>
    <mergeCell ref="FE75:FI75"/>
    <mergeCell ref="FJ62:FL62"/>
    <mergeCell ref="FM62:FO62"/>
    <mergeCell ref="FP62:FR62"/>
    <mergeCell ref="FJ63:FL63"/>
    <mergeCell ref="FM63:FO63"/>
    <mergeCell ref="FP63:FR63"/>
    <mergeCell ref="FE67:FI67"/>
    <mergeCell ref="FE68:FI68"/>
    <mergeCell ref="FE69:FI69"/>
    <mergeCell ref="FE62:FI62"/>
    <mergeCell ref="FE63:FH63"/>
    <mergeCell ref="FE64:FH64"/>
    <mergeCell ref="FE65:FI65"/>
    <mergeCell ref="FE66:FH66"/>
    <mergeCell ref="GN41:GR41"/>
    <mergeCell ref="FY41:GC41"/>
    <mergeCell ref="GD41:GH41"/>
    <mergeCell ref="GI41:GM41"/>
    <mergeCell ref="FE31:FH31"/>
    <mergeCell ref="FE32:FH32"/>
    <mergeCell ref="FE33:FH33"/>
    <mergeCell ref="FE34:FI34"/>
    <mergeCell ref="FE35:FH35"/>
    <mergeCell ref="FE36:FH36"/>
    <mergeCell ref="FE37:FI37"/>
    <mergeCell ref="FE38:FI38"/>
    <mergeCell ref="FE39:FI39"/>
    <mergeCell ref="FE40:FI40"/>
    <mergeCell ref="FE41:FI41"/>
    <mergeCell ref="FE42:FI42"/>
    <mergeCell ref="FE43:FI43"/>
    <mergeCell ref="FE44:FI44"/>
    <mergeCell ref="FE45:FI45"/>
    <mergeCell ref="FE46:FI46"/>
    <mergeCell ref="FJ29:FL29"/>
    <mergeCell ref="FM29:FO29"/>
    <mergeCell ref="FP29:FR29"/>
    <mergeCell ref="J105:K105"/>
    <mergeCell ref="J44:K44"/>
    <mergeCell ref="J95:K95"/>
    <mergeCell ref="J88:K88"/>
    <mergeCell ref="J89:K89"/>
    <mergeCell ref="J90:K90"/>
    <mergeCell ref="J91:K91"/>
    <mergeCell ref="J92:K92"/>
    <mergeCell ref="J96:K96"/>
    <mergeCell ref="U29:V29"/>
    <mergeCell ref="W29:X29"/>
    <mergeCell ref="J63:K63"/>
    <mergeCell ref="J64:K64"/>
    <mergeCell ref="J70:K70"/>
    <mergeCell ref="J79:K79"/>
    <mergeCell ref="J80:K80"/>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5:I45"/>
    <mergeCell ref="J45:K45"/>
    <mergeCell ref="E41:I41"/>
    <mergeCell ref="J41:K41"/>
    <mergeCell ref="E42:I42"/>
    <mergeCell ref="J42:K42"/>
    <mergeCell ref="E43:I43"/>
    <mergeCell ref="J43:K43"/>
    <mergeCell ref="E50:I50"/>
    <mergeCell ref="J50:K50"/>
    <mergeCell ref="E44:I44"/>
    <mergeCell ref="E52:I52"/>
    <mergeCell ref="J52:K52"/>
    <mergeCell ref="E53:I53"/>
    <mergeCell ref="J53:K53"/>
    <mergeCell ref="E51:I51"/>
    <mergeCell ref="J51:K51"/>
    <mergeCell ref="E46:I46"/>
    <mergeCell ref="J46:K46"/>
    <mergeCell ref="J47:K47"/>
    <mergeCell ref="E49:I49"/>
    <mergeCell ref="J49:K49"/>
    <mergeCell ref="E47:I47"/>
    <mergeCell ref="E48:I48"/>
    <mergeCell ref="J48:K48"/>
    <mergeCell ref="E57:I57"/>
    <mergeCell ref="J57:K57"/>
    <mergeCell ref="E58:I58"/>
    <mergeCell ref="J58:K58"/>
    <mergeCell ref="E59:I59"/>
    <mergeCell ref="J59:K59"/>
    <mergeCell ref="E54:H54"/>
    <mergeCell ref="J54:K54"/>
    <mergeCell ref="E55:I55"/>
    <mergeCell ref="J55:K55"/>
    <mergeCell ref="E56:I56"/>
    <mergeCell ref="J56:K56"/>
    <mergeCell ref="E60:I60"/>
    <mergeCell ref="J60:K60"/>
    <mergeCell ref="E61:I61"/>
    <mergeCell ref="J61:K61"/>
    <mergeCell ref="E62:I62"/>
    <mergeCell ref="J62:K62"/>
    <mergeCell ref="E68:I68"/>
    <mergeCell ref="J68:K68"/>
    <mergeCell ref="J69:K69"/>
    <mergeCell ref="E65:I65"/>
    <mergeCell ref="J65:K65"/>
    <mergeCell ref="E66:H66"/>
    <mergeCell ref="J66:K66"/>
    <mergeCell ref="E67:I67"/>
    <mergeCell ref="J67:K67"/>
    <mergeCell ref="E69:H69"/>
    <mergeCell ref="J73:K73"/>
    <mergeCell ref="E74:I74"/>
    <mergeCell ref="J74:K74"/>
    <mergeCell ref="E76:I76"/>
    <mergeCell ref="J76:K76"/>
    <mergeCell ref="E77:I77"/>
    <mergeCell ref="J77:K77"/>
    <mergeCell ref="E75:I75"/>
    <mergeCell ref="J75:K75"/>
    <mergeCell ref="E78:I78"/>
    <mergeCell ref="J78:K78"/>
    <mergeCell ref="E102:I102"/>
    <mergeCell ref="J102:K102"/>
    <mergeCell ref="E105:I105"/>
    <mergeCell ref="E106:I106"/>
    <mergeCell ref="E104:I104"/>
    <mergeCell ref="J104:K104"/>
    <mergeCell ref="E103:I103"/>
    <mergeCell ref="J103:K103"/>
    <mergeCell ref="J106:K106"/>
    <mergeCell ref="E98:I98"/>
    <mergeCell ref="J98:K98"/>
    <mergeCell ref="J85:K85"/>
    <mergeCell ref="FE103:FI103"/>
    <mergeCell ref="L118:N118"/>
    <mergeCell ref="D110:N111"/>
    <mergeCell ref="D112:N113"/>
    <mergeCell ref="D114:N115"/>
    <mergeCell ref="E101:I101"/>
    <mergeCell ref="J101:K101"/>
    <mergeCell ref="E93:I93"/>
    <mergeCell ref="J93:K93"/>
    <mergeCell ref="E94:I94"/>
    <mergeCell ref="J94:K94"/>
    <mergeCell ref="E95:I95"/>
    <mergeCell ref="J97:K97"/>
    <mergeCell ref="D118:J118"/>
    <mergeCell ref="E107:K107"/>
    <mergeCell ref="E108:K108"/>
    <mergeCell ref="E109:K109"/>
    <mergeCell ref="FE104:FI104"/>
    <mergeCell ref="FE105:FI105"/>
    <mergeCell ref="FE106:FI106"/>
    <mergeCell ref="FE98:FI98"/>
    <mergeCell ref="FE99:FI99"/>
    <mergeCell ref="FE100:FI100"/>
    <mergeCell ref="GJ77:GL77"/>
    <mergeCell ref="GG77:GI77"/>
    <mergeCell ref="E87:I87"/>
    <mergeCell ref="J87:K87"/>
    <mergeCell ref="E81:I81"/>
    <mergeCell ref="E100:I100"/>
    <mergeCell ref="J100:K100"/>
    <mergeCell ref="E92:I92"/>
    <mergeCell ref="E91:I91"/>
    <mergeCell ref="E99:I99"/>
    <mergeCell ref="J99:K99"/>
    <mergeCell ref="J81:K81"/>
    <mergeCell ref="E82:I82"/>
    <mergeCell ref="J82:K82"/>
    <mergeCell ref="E83:I83"/>
    <mergeCell ref="J83:K83"/>
    <mergeCell ref="J86:K86"/>
    <mergeCell ref="E86:I86"/>
    <mergeCell ref="E84:I84"/>
    <mergeCell ref="J84:K84"/>
    <mergeCell ref="GE77:GF77"/>
    <mergeCell ref="FE86:FI86"/>
    <mergeCell ref="FE81:FI81"/>
    <mergeCell ref="E85:I85"/>
  </mergeCells>
  <conditionalFormatting sqref="A31:A97">
    <cfRule type="cellIs" dxfId="444" priority="77" operator="equal">
      <formula>0</formula>
    </cfRule>
  </conditionalFormatting>
  <conditionalFormatting sqref="A47:A48 E48 FE48">
    <cfRule type="expression" dxfId="443" priority="1925">
      <formula>$O$17=2</formula>
    </cfRule>
  </conditionalFormatting>
  <conditionalFormatting sqref="A79">
    <cfRule type="expression" dxfId="441" priority="93">
      <formula>$O$18=1</formula>
    </cfRule>
  </conditionalFormatting>
  <conditionalFormatting sqref="A98">
    <cfRule type="cellIs" dxfId="440" priority="62" operator="equal">
      <formula>""</formula>
    </cfRule>
  </conditionalFormatting>
  <conditionalFormatting sqref="A99:A102">
    <cfRule type="cellIs" dxfId="439" priority="64" operator="equal">
      <formula>0</formula>
    </cfRule>
  </conditionalFormatting>
  <conditionalFormatting sqref="A103:A104">
    <cfRule type="cellIs" dxfId="438" priority="69" operator="equal">
      <formula>""</formula>
    </cfRule>
  </conditionalFormatting>
  <conditionalFormatting sqref="A105:A109 B107:N109">
    <cfRule type="cellIs" dxfId="437" priority="79" operator="equal">
      <formula>0</formula>
    </cfRule>
  </conditionalFormatting>
  <conditionalFormatting sqref="A89:B89 D89:K89 M89:N89">
    <cfRule type="expression" dxfId="406" priority="145">
      <formula>OR($O$18=1,$O$18=2,$O$18=4,$O$18=5)</formula>
    </cfRule>
  </conditionalFormatting>
  <conditionalFormatting sqref="B35:N35 FE35:FI35">
    <cfRule type="expression" dxfId="396" priority="1928">
      <formula>OR($O$17=1,$O$17=5)</formula>
    </cfRule>
  </conditionalFormatting>
  <conditionalFormatting sqref="C9:E11">
    <cfRule type="cellIs" dxfId="395" priority="267" operator="equal">
      <formula>""</formula>
    </cfRule>
  </conditionalFormatting>
  <conditionalFormatting sqref="C13:E15">
    <cfRule type="cellIs" dxfId="394" priority="264" operator="equal">
      <formula>""</formula>
    </cfRule>
  </conditionalFormatting>
  <conditionalFormatting sqref="C18:E21">
    <cfRule type="cellIs" dxfId="393" priority="260" operator="equal">
      <formula>""</formula>
    </cfRule>
  </conditionalFormatting>
  <conditionalFormatting sqref="C24:E27">
    <cfRule type="cellIs" dxfId="392" priority="140" operator="equal">
      <formula>""</formula>
    </cfRule>
  </conditionalFormatting>
  <conditionalFormatting sqref="D79:K79 A79:B79 M79:N79">
    <cfRule type="expression" dxfId="375" priority="1702" stopIfTrue="1">
      <formula>$O$18=1</formula>
    </cfRule>
  </conditionalFormatting>
  <conditionalFormatting sqref="I13">
    <cfRule type="expression" dxfId="368" priority="161">
      <formula>$O$13=2</formula>
    </cfRule>
    <cfRule type="expression" dxfId="367" priority="164">
      <formula>$O$13=1</formula>
    </cfRule>
  </conditionalFormatting>
  <conditionalFormatting sqref="J86">
    <cfRule type="cellIs" dxfId="366" priority="146" operator="equal">
      <formula>""</formula>
    </cfRule>
  </conditionalFormatting>
  <conditionalFormatting sqref="J79:K79">
    <cfRule type="cellIs" dxfId="359" priority="209" operator="equal">
      <formula>""</formula>
    </cfRule>
  </conditionalFormatting>
  <conditionalFormatting sqref="J91:K91">
    <cfRule type="cellIs" dxfId="355" priority="118" operator="equal">
      <formula>""</formula>
    </cfRule>
  </conditionalFormatting>
  <conditionalFormatting sqref="K17">
    <cfRule type="expression" dxfId="351" priority="1686">
      <formula>$O$16=13</formula>
    </cfRule>
  </conditionalFormatting>
  <conditionalFormatting sqref="L13">
    <cfRule type="expression" dxfId="350" priority="162">
      <formula>$O$13=1</formula>
    </cfRule>
    <cfRule type="expression" dxfId="349" priority="163">
      <formula>$O$13=2</formula>
    </cfRule>
  </conditionalFormatting>
  <conditionalFormatting sqref="L25:L27">
    <cfRule type="cellIs" dxfId="348" priority="3" operator="equal">
      <formula>""</formula>
    </cfRule>
  </conditionalFormatting>
  <conditionalFormatting sqref="Y98:AF98">
    <cfRule type="duplicateValues" dxfId="342" priority="61"/>
  </conditionalFormatting>
  <conditionalFormatting sqref="AH67">
    <cfRule type="dataBar" priority="174">
      <dataBar>
        <cfvo type="min"/>
        <cfvo type="max"/>
        <color rgb="FF638EC6"/>
      </dataBar>
      <extLst>
        <ext xmlns:x14="http://schemas.microsoft.com/office/spreadsheetml/2009/9/main" uri="{B025F937-C7B1-47D3-B67F-A62EFF666E3E}">
          <x14:id>{2E26CFC5-73A6-4150-A877-F1CFCBD68F0E}</x14:id>
        </ext>
      </extLst>
    </cfRule>
  </conditionalFormatting>
  <conditionalFormatting sqref="FE79:FI79">
    <cfRule type="expression" dxfId="311" priority="48" stopIfTrue="1">
      <formula>$O$18=1</formula>
    </cfRule>
  </conditionalFormatting>
  <conditionalFormatting sqref="FE89:FI89">
    <cfRule type="expression" dxfId="303" priority="13">
      <formula>OR($O$18=1,$O$18=2,$O$18=4,$O$18=5)</formula>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93</xdr:row>
                <xdr:rowOff>68580</xdr:rowOff>
              </from>
              <to>
                <xdr:col>2</xdr:col>
                <xdr:colOff>601980</xdr:colOff>
                <xdr:row>93</xdr:row>
                <xdr:rowOff>350520</xdr:rowOff>
              </to>
            </anchor>
          </objectPr>
        </oleObject>
      </mc:Choice>
      <mc:Fallback>
        <oleObject shapeId="72722" r:id="rId7"/>
      </mc:Fallback>
    </mc:AlternateContent>
  </oleObjects>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ltText="">
                <anchor moveWithCells="1">
                  <from>
                    <xdr:col>5</xdr:col>
                    <xdr:colOff>563880</xdr:colOff>
                    <xdr:row>14</xdr:row>
                    <xdr:rowOff>0</xdr:rowOff>
                  </from>
                  <to>
                    <xdr:col>8</xdr:col>
                    <xdr:colOff>914400</xdr:colOff>
                    <xdr:row>22</xdr:row>
                    <xdr:rowOff>45720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2709" r:id="rId13" name="Option Button 5">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2711" r:id="rId15" name="Option Button 7">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ltText="">
                <anchor moveWithCells="1">
                  <from>
                    <xdr:col>11</xdr:col>
                    <xdr:colOff>0</xdr:colOff>
                    <xdr:row>19</xdr:row>
                    <xdr:rowOff>0</xdr:rowOff>
                  </from>
                  <to>
                    <xdr:col>12</xdr:col>
                    <xdr:colOff>662940</xdr:colOff>
                    <xdr:row>22</xdr:row>
                    <xdr:rowOff>0</xdr:rowOff>
                  </to>
                </anchor>
              </controlPr>
            </control>
          </mc:Choice>
        </mc:AlternateContent>
        <mc:AlternateContent xmlns:mc="http://schemas.openxmlformats.org/markup-compatibility/2006">
          <mc:Choice Requires="x14">
            <control shapeId="72724" r:id="rId17" name="Option Button 20">
              <controlPr defaultSize="0" autoFill="0" autoLine="0" autoPict="0" altText="">
                <anchor moveWithCells="1">
                  <from>
                    <xdr:col>11</xdr:col>
                    <xdr:colOff>30480</xdr:colOff>
                    <xdr:row>20</xdr:row>
                    <xdr:rowOff>7620</xdr:rowOff>
                  </from>
                  <to>
                    <xdr:col>11</xdr:col>
                    <xdr:colOff>502920</xdr:colOff>
                    <xdr:row>20</xdr:row>
                    <xdr:rowOff>182880</xdr:rowOff>
                  </to>
                </anchor>
              </controlPr>
            </control>
          </mc:Choice>
        </mc:AlternateContent>
        <mc:AlternateContent xmlns:mc="http://schemas.openxmlformats.org/markup-compatibility/2006">
          <mc:Choice Requires="x14">
            <control shapeId="72726" r:id="rId18" name="Option Button 22">
              <controlPr defaultSize="0" autoFill="0" autoLine="0" autoPict="0" altText="">
                <anchor moveWithCells="1">
                  <from>
                    <xdr:col>11</xdr:col>
                    <xdr:colOff>30480</xdr:colOff>
                    <xdr:row>15</xdr:row>
                    <xdr:rowOff>7620</xdr:rowOff>
                  </from>
                  <to>
                    <xdr:col>11</xdr:col>
                    <xdr:colOff>525780</xdr:colOff>
                    <xdr:row>15</xdr:row>
                    <xdr:rowOff>182880</xdr:rowOff>
                  </to>
                </anchor>
              </controlPr>
            </control>
          </mc:Choice>
        </mc:AlternateContent>
        <mc:AlternateContent xmlns:mc="http://schemas.openxmlformats.org/markup-compatibility/2006">
          <mc:Choice Requires="x14">
            <control shapeId="72727" r:id="rId19" name="Option Button 23">
              <controlPr locked="0" defaultSize="0" autoFill="0" autoLine="0" autoPict="0" altText="">
                <anchor moveWithCells="1">
                  <from>
                    <xdr:col>11</xdr:col>
                    <xdr:colOff>30480</xdr:colOff>
                    <xdr:row>21</xdr:row>
                    <xdr:rowOff>7620</xdr:rowOff>
                  </from>
                  <to>
                    <xdr:col>11</xdr:col>
                    <xdr:colOff>502920</xdr:colOff>
                    <xdr:row>21</xdr:row>
                    <xdr:rowOff>182880</xdr:rowOff>
                  </to>
                </anchor>
              </controlPr>
            </control>
          </mc:Choice>
        </mc:AlternateContent>
        <mc:AlternateContent xmlns:mc="http://schemas.openxmlformats.org/markup-compatibility/2006">
          <mc:Choice Requires="x14">
            <control shapeId="72728" r:id="rId20" name="Option Button 24">
              <controlPr defaultSize="0" autoFill="0" autoLine="0" autoPict="0" altText="">
                <anchor moveWithCells="1">
                  <from>
                    <xdr:col>11</xdr:col>
                    <xdr:colOff>30480</xdr:colOff>
                    <xdr:row>16</xdr:row>
                    <xdr:rowOff>7620</xdr:rowOff>
                  </from>
                  <to>
                    <xdr:col>11</xdr:col>
                    <xdr:colOff>525780</xdr:colOff>
                    <xdr:row>16</xdr:row>
                    <xdr:rowOff>182880</xdr:rowOff>
                  </to>
                </anchor>
              </controlPr>
            </control>
          </mc:Choice>
        </mc:AlternateContent>
        <mc:AlternateContent xmlns:mc="http://schemas.openxmlformats.org/markup-compatibility/2006">
          <mc:Choice Requires="x14">
            <control shapeId="72729" r:id="rId21" name="Option Button 25">
              <controlPr defaultSize="0" autoFill="0" autoLine="0" autoPict="0" altText="">
                <anchor moveWithCells="1">
                  <from>
                    <xdr:col>11</xdr:col>
                    <xdr:colOff>792480</xdr:colOff>
                    <xdr:row>20</xdr:row>
                    <xdr:rowOff>7620</xdr:rowOff>
                  </from>
                  <to>
                    <xdr:col>12</xdr:col>
                    <xdr:colOff>342900</xdr:colOff>
                    <xdr:row>20</xdr:row>
                    <xdr:rowOff>182880</xdr:rowOff>
                  </to>
                </anchor>
              </controlPr>
            </control>
          </mc:Choice>
        </mc:AlternateContent>
        <mc:AlternateContent xmlns:mc="http://schemas.openxmlformats.org/markup-compatibility/2006">
          <mc:Choice Requires="x14">
            <control shapeId="72730" r:id="rId22" name="Option Button 26">
              <controlPr defaultSize="0" autoFill="0" autoLine="0" autoPict="0" altText="">
                <anchor moveWithCells="1">
                  <from>
                    <xdr:col>11</xdr:col>
                    <xdr:colOff>30480</xdr:colOff>
                    <xdr:row>17</xdr:row>
                    <xdr:rowOff>7620</xdr:rowOff>
                  </from>
                  <to>
                    <xdr:col>11</xdr:col>
                    <xdr:colOff>502920</xdr:colOff>
                    <xdr:row>17</xdr:row>
                    <xdr:rowOff>182880</xdr:rowOff>
                  </to>
                </anchor>
              </controlPr>
            </control>
          </mc:Choice>
        </mc:AlternateContent>
        <mc:AlternateContent xmlns:mc="http://schemas.openxmlformats.org/markup-compatibility/2006">
          <mc:Choice Requires="x14">
            <control shapeId="72731" r:id="rId23" name="Option Button 27">
              <controlPr defaultSize="0" autoFill="0" autoLine="0" autoPict="0" altText="">
                <anchor moveWithCells="1">
                  <from>
                    <xdr:col>11</xdr:col>
                    <xdr:colOff>792480</xdr:colOff>
                    <xdr:row>21</xdr:row>
                    <xdr:rowOff>0</xdr:rowOff>
                  </from>
                  <to>
                    <xdr:col>12</xdr:col>
                    <xdr:colOff>342900</xdr:colOff>
                    <xdr:row>21</xdr:row>
                    <xdr:rowOff>182880</xdr:rowOff>
                  </to>
                </anchor>
              </controlPr>
            </control>
          </mc:Choice>
        </mc:AlternateContent>
        <mc:AlternateContent xmlns:mc="http://schemas.openxmlformats.org/markup-compatibility/2006">
          <mc:Choice Requires="x14">
            <control shapeId="72735" r:id="rId24"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2741" r:id="rId26" name="Group Box 37">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72742" r:id="rId27"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28" name="Option Button 39">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2725" r:id="rId29" name="Group Box 21">
              <controlPr defaultSize="0" print="0" autoFill="0" autoPict="0" altText="">
                <anchor moveWithCells="1">
                  <from>
                    <xdr:col>11</xdr:col>
                    <xdr:colOff>0</xdr:colOff>
                    <xdr:row>14</xdr:row>
                    <xdr:rowOff>0</xdr:rowOff>
                  </from>
                  <to>
                    <xdr:col>12</xdr:col>
                    <xdr:colOff>662940</xdr:colOff>
                    <xdr:row>18</xdr:row>
                    <xdr:rowOff>0</xdr:rowOff>
                  </to>
                </anchor>
              </controlPr>
            </control>
          </mc:Choice>
        </mc:AlternateContent>
        <mc:AlternateContent xmlns:mc="http://schemas.openxmlformats.org/markup-compatibility/2006">
          <mc:Choice Requires="x14">
            <control shapeId="72732" r:id="rId30" name="Option Button 28">
              <controlPr defaultSize="0" autoFill="0" autoLine="0" autoPict="0" altText="">
                <anchor moveWithCells="1">
                  <from>
                    <xdr:col>11</xdr:col>
                    <xdr:colOff>792480</xdr:colOff>
                    <xdr:row>15</xdr:row>
                    <xdr:rowOff>7620</xdr:rowOff>
                  </from>
                  <to>
                    <xdr:col>12</xdr:col>
                    <xdr:colOff>350520</xdr:colOff>
                    <xdr:row>16</xdr:row>
                    <xdr:rowOff>0</xdr:rowOff>
                  </to>
                </anchor>
              </controlPr>
            </control>
          </mc:Choice>
        </mc:AlternateContent>
        <mc:AlternateContent xmlns:mc="http://schemas.openxmlformats.org/markup-compatibility/2006">
          <mc:Choice Requires="x14">
            <control shapeId="72744" r:id="rId31" name="Option Button 40">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2745" r:id="rId32" name="Option Button 41">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72746" r:id="rId33" name="Option Button 42">
              <controlPr defaultSize="0" autoFill="0" autoLine="0" autoPict="0" altText="">
                <anchor moveWithCells="1">
                  <from>
                    <xdr:col>5</xdr:col>
                    <xdr:colOff>563880</xdr:colOff>
                    <xdr:row>20</xdr:row>
                    <xdr:rowOff>30480</xdr:rowOff>
                  </from>
                  <to>
                    <xdr:col>7</xdr:col>
                    <xdr:colOff>182880</xdr:colOff>
                    <xdr:row>21</xdr:row>
                    <xdr:rowOff>0</xdr:rowOff>
                  </to>
                </anchor>
              </controlPr>
            </control>
          </mc:Choice>
        </mc:AlternateContent>
        <mc:AlternateContent xmlns:mc="http://schemas.openxmlformats.org/markup-compatibility/2006">
          <mc:Choice Requires="x14">
            <control shapeId="72747" r:id="rId34" name="Option Button 43">
              <controlPr defaultSize="0" autoFill="0" autoLine="0" autoPict="0" altText="">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72749" r:id="rId35" name="Option Button 45">
              <controlPr defaultSize="0" autoFill="0" autoLine="0" autoPict="0" altText="">
                <anchor moveWithCells="1">
                  <from>
                    <xdr:col>11</xdr:col>
                    <xdr:colOff>792480</xdr:colOff>
                    <xdr:row>16</xdr:row>
                    <xdr:rowOff>7620</xdr:rowOff>
                  </from>
                  <to>
                    <xdr:col>12</xdr:col>
                    <xdr:colOff>350520</xdr:colOff>
                    <xdr:row>17</xdr:row>
                    <xdr:rowOff>0</xdr:rowOff>
                  </to>
                </anchor>
              </controlPr>
            </control>
          </mc:Choice>
        </mc:AlternateContent>
        <mc:AlternateContent xmlns:mc="http://schemas.openxmlformats.org/markup-compatibility/2006">
          <mc:Choice Requires="x14">
            <control shapeId="72751" r:id="rId36" name="Option Button 47">
              <controlPr defaultSize="0" autoFill="0" autoLine="0" autoPict="0" altText="">
                <anchor moveWithCells="1">
                  <from>
                    <xdr:col>5</xdr:col>
                    <xdr:colOff>563880</xdr:colOff>
                    <xdr:row>21</xdr:row>
                    <xdr:rowOff>30480</xdr:rowOff>
                  </from>
                  <to>
                    <xdr:col>7</xdr:col>
                    <xdr:colOff>182880</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4" id="{A09DD529-3A6A-46C9-8870-029FCB9D783D}">
            <xm:f>$J$54=Formeln!$A$177</xm:f>
            <x14:dxf>
              <font>
                <color theme="0" tint="-0.24994659260841701"/>
              </font>
            </x14:dxf>
          </x14:cfRule>
          <xm:sqref>A54</xm:sqref>
        </x14:conditionalFormatting>
        <x14:conditionalFormatting xmlns:xm="http://schemas.microsoft.com/office/excel/2006/main">
          <x14:cfRule type="expression" priority="89" id="{FE3FF057-C900-4248-9FA4-EE7F32D1CEB7}">
            <xm:f>$J$31=Formeln!$A$177</xm:f>
            <x14:dxf>
              <font>
                <color theme="0" tint="-0.34998626667073579"/>
              </font>
            </x14:dxf>
          </x14:cfRule>
          <xm:sqref>A31:B31 D31:K31 M31</xm:sqref>
        </x14:conditionalFormatting>
        <x14:conditionalFormatting xmlns:xm="http://schemas.microsoft.com/office/excel/2006/main">
          <x14:cfRule type="expression" priority="88" id="{DE33A216-E57C-45D5-842A-B6341BA3487A}">
            <xm:f>$J$32=Formeln!$A$177</xm:f>
            <x14:dxf>
              <font>
                <color theme="0" tint="-0.34998626667073579"/>
              </font>
            </x14:dxf>
          </x14:cfRule>
          <xm:sqref>A32:B32 D32:K32 M32</xm:sqref>
        </x14:conditionalFormatting>
        <x14:conditionalFormatting xmlns:xm="http://schemas.microsoft.com/office/excel/2006/main">
          <x14:cfRule type="expression" priority="1697" id="{A06D5D73-E221-4860-A8F1-EA894309A746}">
            <xm:f>$J$34=Formeln!$A$177</xm:f>
            <x14:dxf>
              <font>
                <color theme="0" tint="-0.34998626667073579"/>
              </font>
            </x14:dxf>
          </x14:cfRule>
          <xm:sqref>A34:B34 D34:K34 M34:N34</xm:sqref>
        </x14:conditionalFormatting>
        <x14:conditionalFormatting xmlns:xm="http://schemas.microsoft.com/office/excel/2006/main">
          <x14:cfRule type="expression" priority="1700" id="{D8DA0A97-7319-4B01-989B-2D6687347545}">
            <xm:f>$J$36=Formeln!$A$177</xm:f>
            <x14:dxf>
              <font>
                <color theme="0" tint="-0.34998626667073579"/>
              </font>
            </x14:dxf>
          </x14:cfRule>
          <xm:sqref>A36:B36 D36:K36 M36:N36</xm:sqref>
        </x14:conditionalFormatting>
        <x14:conditionalFormatting xmlns:xm="http://schemas.microsoft.com/office/excel/2006/main">
          <x14:cfRule type="expression" priority="1687" id="{31B7D49A-71C9-49B9-A5FD-B90DE1E829A8}">
            <xm:f>$J$38=Formeln!$A$177</xm:f>
            <x14:dxf>
              <font>
                <color theme="0" tint="-0.34998626667073579"/>
              </font>
            </x14:dxf>
          </x14:cfRule>
          <xm:sqref>A38:B38 D38:K38 M38:N38</xm:sqref>
        </x14:conditionalFormatting>
        <x14:conditionalFormatting xmlns:xm="http://schemas.microsoft.com/office/excel/2006/main">
          <x14:cfRule type="expression" priority="87" id="{4FCBAB69-EE9D-41C6-8C8D-400A1359692A}">
            <xm:f>$J$39=Formeln!$A$177</xm:f>
            <x14:dxf>
              <font>
                <color theme="0" tint="-0.34998626667073579"/>
              </font>
            </x14:dxf>
          </x14:cfRule>
          <xm:sqref>A39:B39 D39:K39 M39:N39</xm:sqref>
        </x14:conditionalFormatting>
        <x14:conditionalFormatting xmlns:xm="http://schemas.microsoft.com/office/excel/2006/main">
          <x14:cfRule type="expression" priority="86" id="{6B34CD5E-5AA4-497A-8CBF-B9BFF32670E6}">
            <xm:f>$J$40=Formeln!$A$177</xm:f>
            <x14:dxf>
              <font>
                <color theme="0" tint="-0.34998626667073579"/>
              </font>
            </x14:dxf>
          </x14:cfRule>
          <xm:sqref>A40:B40 E40:K40 M40:N40</xm:sqref>
        </x14:conditionalFormatting>
        <x14:conditionalFormatting xmlns:xm="http://schemas.microsoft.com/office/excel/2006/main">
          <x14:cfRule type="expression" priority="85" id="{392999CE-C5BC-4354-9300-1341BE05717B}">
            <xm:f>$J$41=Formeln!$A$177</xm:f>
            <x14:dxf>
              <font>
                <color theme="0" tint="-0.34998626667073579"/>
              </font>
            </x14:dxf>
          </x14:cfRule>
          <xm:sqref>A41:B41 D41:K41</xm:sqref>
        </x14:conditionalFormatting>
        <x14:conditionalFormatting xmlns:xm="http://schemas.microsoft.com/office/excel/2006/main">
          <x14:cfRule type="expression" priority="84" id="{77BFD5A5-051B-4351-B265-4BD1DFCF2A4B}">
            <xm:f>$J$42=Formeln!$A$177</xm:f>
            <x14:dxf>
              <font>
                <color theme="0" tint="-0.34998626667073579"/>
              </font>
            </x14:dxf>
          </x14:cfRule>
          <xm:sqref>A42:B42 D42:K42</xm:sqref>
        </x14:conditionalFormatting>
        <x14:conditionalFormatting xmlns:xm="http://schemas.microsoft.com/office/excel/2006/main">
          <x14:cfRule type="expression" priority="274" id="{6BBC25C7-AE24-4C58-9FA9-6172698C5457}">
            <xm:f>$J$43=Formeln!$A$177</xm:f>
            <x14:dxf>
              <font>
                <color theme="0" tint="-0.24994659260841701"/>
              </font>
            </x14:dxf>
          </x14:cfRule>
          <xm:sqref>A43:B43</xm:sqref>
        </x14:conditionalFormatting>
        <x14:conditionalFormatting xmlns:xm="http://schemas.microsoft.com/office/excel/2006/main">
          <x14:cfRule type="expression" priority="94" id="{E2F7BB90-A291-4BCB-871B-9581BB9CEFC8}">
            <xm:f>$J$47=Formeln!$A$177</xm:f>
            <x14:dxf>
              <font>
                <color theme="0" tint="-0.34998626667073579"/>
              </font>
            </x14:dxf>
          </x14:cfRule>
          <xm:sqref>A47:B47 D47:K47 M47:N47</xm:sqref>
        </x14:conditionalFormatting>
        <x14:conditionalFormatting xmlns:xm="http://schemas.microsoft.com/office/excel/2006/main">
          <x14:cfRule type="expression" priority="95" id="{015ADB5A-BB46-430A-9F39-4912A7C01546}">
            <xm:f>$J$48=Formeln!$A$177</xm:f>
            <x14:dxf>
              <font>
                <color theme="0" tint="-0.24994659260841701"/>
              </font>
            </x14:dxf>
          </x14:cfRule>
          <xm:sqref>A48:B48 D48:K48 M48:N48</xm:sqref>
        </x14:conditionalFormatting>
        <x14:conditionalFormatting xmlns:xm="http://schemas.microsoft.com/office/excel/2006/main">
          <x14:cfRule type="expression" priority="1701" id="{98F8FF7C-2169-4A03-9753-B2C011BADED1}">
            <xm:f>$J$49=Formeln!$A$177</xm:f>
            <x14:dxf>
              <font>
                <color theme="0" tint="-0.34998626667073579"/>
              </font>
            </x14:dxf>
          </x14:cfRule>
          <xm:sqref>A49:B49 D49:K49 M49:N49</xm:sqref>
        </x14:conditionalFormatting>
        <x14:conditionalFormatting xmlns:xm="http://schemas.microsoft.com/office/excel/2006/main">
          <x14:cfRule type="expression" priority="83" id="{399A6CAA-F753-424F-BE68-0B74AA89EE85}">
            <xm:f>$J$53=Formeln!$A$177</xm:f>
            <x14:dxf>
              <font>
                <color theme="0" tint="-0.34998626667073579"/>
              </font>
            </x14:dxf>
          </x14:cfRule>
          <xm:sqref>A53:B53 D53:K53 M53:N53</xm:sqref>
        </x14:conditionalFormatting>
        <x14:conditionalFormatting xmlns:xm="http://schemas.microsoft.com/office/excel/2006/main">
          <x14:cfRule type="expression" priority="106" id="{32D40194-9EB6-46CB-BCCE-DD86A4D29144}">
            <xm:f>$J$60=Formeln!$A$177</xm:f>
            <x14:dxf>
              <font>
                <color theme="0" tint="-0.24994659260841701"/>
              </font>
            </x14:dxf>
          </x14:cfRule>
          <xm:sqref>A60:B60</xm:sqref>
        </x14:conditionalFormatting>
        <x14:conditionalFormatting xmlns:xm="http://schemas.microsoft.com/office/excel/2006/main">
          <x14:cfRule type="expression" priority="102" id="{3A1E9F37-43C0-458A-AC12-9016DCD2A34B}">
            <xm:f>$J$61=Formeln!$A$177</xm:f>
            <x14:dxf>
              <font>
                <color theme="0" tint="-0.24994659260841701"/>
              </font>
            </x14:dxf>
          </x14:cfRule>
          <xm:sqref>A61:B61</xm:sqref>
        </x14:conditionalFormatting>
        <x14:conditionalFormatting xmlns:xm="http://schemas.microsoft.com/office/excel/2006/main">
          <x14:cfRule type="expression" priority="82" id="{48210B17-DD38-425B-89EB-3AF7B2D1D4F7}">
            <xm:f>$J$62=Formeln!$A$177</xm:f>
            <x14:dxf>
              <font>
                <color theme="0" tint="-0.34998626667073579"/>
              </font>
            </x14:dxf>
          </x14:cfRule>
          <xm:sqref>A62:B62 D62:K62</xm:sqref>
        </x14:conditionalFormatting>
        <x14:conditionalFormatting xmlns:xm="http://schemas.microsoft.com/office/excel/2006/main">
          <x14:cfRule type="expression" priority="81" id="{394D6E57-8004-482F-8051-81DA80375D3A}">
            <xm:f>$J$71=Formeln!$A$177</xm:f>
            <x14:dxf>
              <font>
                <color theme="0" tint="-0.34998626667073579"/>
              </font>
            </x14:dxf>
          </x14:cfRule>
          <xm:sqref>A71:B71 D71:K71</xm:sqref>
        </x14:conditionalFormatting>
        <x14:conditionalFormatting xmlns:xm="http://schemas.microsoft.com/office/excel/2006/main">
          <x14:cfRule type="expression" priority="282" id="{F279DC59-194E-43DF-8E24-16D8B89657D6}">
            <xm:f>$J$72=Formeln!$A$177</xm:f>
            <x14:dxf>
              <font>
                <color theme="0" tint="-0.24994659260841701"/>
              </font>
            </x14:dxf>
          </x14:cfRule>
          <xm:sqref>A72:B72 D72:K72 M72:N72</xm:sqref>
        </x14:conditionalFormatting>
        <x14:conditionalFormatting xmlns:xm="http://schemas.microsoft.com/office/excel/2006/main">
          <x14:cfRule type="expression" priority="283" id="{7CC8CC1D-4579-410D-839C-9BA0C1D33B64}">
            <xm:f>$J$73=Formeln!$A$177</xm:f>
            <x14:dxf>
              <font>
                <color theme="0" tint="-0.24994659260841701"/>
              </font>
            </x14:dxf>
          </x14:cfRule>
          <xm:sqref>A73:B73 D73:K73 M73:N73</xm:sqref>
        </x14:conditionalFormatting>
        <x14:conditionalFormatting xmlns:xm="http://schemas.microsoft.com/office/excel/2006/main">
          <x14:cfRule type="expression" priority="284" id="{A66F4046-8FCA-42C5-8499-F3B9725784BB}">
            <xm:f>$J$74=Formeln!$A$177</xm:f>
            <x14:dxf>
              <font>
                <color theme="0" tint="-0.24994659260841701"/>
              </font>
            </x14:dxf>
          </x14:cfRule>
          <xm:sqref>A74:B74 D74:K74 M74:N74 D78:K78 FE78:FI78</xm:sqref>
        </x14:conditionalFormatting>
        <x14:conditionalFormatting xmlns:xm="http://schemas.microsoft.com/office/excel/2006/main">
          <x14:cfRule type="expression" priority="80" id="{F2B9CABB-35BC-4789-9D87-5106DB90654D}">
            <xm:f>$J$75=Formeln!$A$177</xm:f>
            <x14:dxf>
              <font>
                <color theme="0" tint="-0.34998626667073579"/>
              </font>
            </x14:dxf>
          </x14:cfRule>
          <xm:sqref>A75:B75 D75:K75</xm:sqref>
        </x14:conditionalFormatting>
        <x14:conditionalFormatting xmlns:xm="http://schemas.microsoft.com/office/excel/2006/main">
          <x14:cfRule type="expression" priority="280" id="{7E96B946-5DEE-470C-9EF9-59CA78571EB8}">
            <xm:f>$J$76=Formeln!$A$177</xm:f>
            <x14:dxf>
              <font>
                <color theme="0" tint="-0.24994659260841701"/>
              </font>
            </x14:dxf>
          </x14:cfRule>
          <xm:sqref>A76:B76 D76:K76 M76:N76</xm:sqref>
        </x14:conditionalFormatting>
        <x14:conditionalFormatting xmlns:xm="http://schemas.microsoft.com/office/excel/2006/main">
          <x14:cfRule type="expression" priority="281" id="{D04D1DDB-9C6F-442E-B622-2B14A38103F8}">
            <xm:f>$J$77=Formeln!$A$177</xm:f>
            <x14:dxf>
              <font>
                <color theme="0" tint="-0.24994659260841701"/>
              </font>
            </x14:dxf>
          </x14:cfRule>
          <xm:sqref>A77:B77 D77:K77 M77:N77</xm:sqref>
        </x14:conditionalFormatting>
        <x14:conditionalFormatting xmlns:xm="http://schemas.microsoft.com/office/excel/2006/main">
          <x14:cfRule type="expression" priority="149" id="{C34B6D95-0295-43EB-9976-ABD065AC4B2A}">
            <xm:f>$J$74=Formeln!$A$177</xm:f>
            <x14:dxf>
              <font>
                <color theme="0" tint="-0.24994659260841701"/>
              </font>
            </x14:dxf>
          </x14:cfRule>
          <xm:sqref>A78:B78</xm:sqref>
        </x14:conditionalFormatting>
        <x14:conditionalFormatting xmlns:xm="http://schemas.microsoft.com/office/excel/2006/main">
          <x14:cfRule type="expression" priority="100" id="{BB6955DE-B56E-4F2D-A77D-38E44131BBF4}">
            <xm:f>$J$80=Formeln!$A$177</xm:f>
            <x14:dxf>
              <font>
                <color theme="0" tint="-0.24994659260841701"/>
              </font>
            </x14:dxf>
          </x14:cfRule>
          <xm:sqref>A80:B80</xm:sqref>
        </x14:conditionalFormatting>
        <x14:conditionalFormatting xmlns:xm="http://schemas.microsoft.com/office/excel/2006/main">
          <x14:cfRule type="expression" priority="287" id="{6DECCA6C-5C3E-4F23-8F83-78D57F8BB7ED}">
            <xm:f>$J$82=Formeln!$A$177</xm:f>
            <x14:dxf>
              <font>
                <color theme="0" tint="-0.24994659260841701"/>
              </font>
            </x14:dxf>
          </x14:cfRule>
          <xm:sqref>A82:B82 D82:K82 M82:N82</xm:sqref>
        </x14:conditionalFormatting>
        <x14:conditionalFormatting xmlns:xm="http://schemas.microsoft.com/office/excel/2006/main">
          <x14:cfRule type="expression" priority="288" stopIfTrue="1" id="{E63441D7-74E8-4C25-96BB-CD42C303A0D3}">
            <xm:f>$J$83=Formeln!$A$177</xm:f>
            <x14:dxf>
              <font>
                <color theme="0" tint="-0.24994659260841701"/>
              </font>
            </x14:dxf>
          </x14:cfRule>
          <xm:sqref>A83:B83 D83:K83 M83:N83</xm:sqref>
        </x14:conditionalFormatting>
        <x14:conditionalFormatting xmlns:xm="http://schemas.microsoft.com/office/excel/2006/main">
          <x14:cfRule type="expression" priority="76" id="{8D4953C9-82EA-405D-964E-0B816AE78B19}">
            <xm:f>$J$68=Formeln!$A$177</xm:f>
            <x14:dxf>
              <font>
                <color theme="0" tint="-0.34998626667073579"/>
              </font>
            </x14:dxf>
          </x14:cfRule>
          <xm:sqref>A84:B84</xm:sqref>
        </x14:conditionalFormatting>
        <x14:conditionalFormatting xmlns:xm="http://schemas.microsoft.com/office/excel/2006/main">
          <x14:cfRule type="expression" priority="289" id="{146EFE11-5EAE-4B28-A343-975A02CEA052}">
            <xm:f>$J$87=Formeln!$A$177</xm:f>
            <x14:dxf>
              <font>
                <color theme="0" tint="-0.24994659260841701"/>
              </font>
            </x14:dxf>
          </x14:cfRule>
          <xm:sqref>A87:B87 D87:K87 M87:N87</xm:sqref>
        </x14:conditionalFormatting>
        <x14:conditionalFormatting xmlns:xm="http://schemas.microsoft.com/office/excel/2006/main">
          <x14:cfRule type="expression" priority="292" id="{DC23C48A-D1FA-4B5A-8A1B-8094E5C52AFA}">
            <xm:f>$J$90=Formeln!$A$177</xm:f>
            <x14:dxf>
              <font>
                <color theme="0" tint="-0.24994659260841701"/>
              </font>
            </x14:dxf>
          </x14:cfRule>
          <xm:sqref>A90:B90 D90:K90 M90:N90</xm:sqref>
        </x14:conditionalFormatting>
        <x14:conditionalFormatting xmlns:xm="http://schemas.microsoft.com/office/excel/2006/main">
          <x14:cfRule type="expression" priority="293" id="{C8D4C6E0-16F3-4B23-B695-86600EB32E01}">
            <xm:f>$J$94=Formeln!$A$177</xm:f>
            <x14:dxf>
              <font>
                <color theme="0" tint="-0.24994659260841701"/>
              </font>
            </x14:dxf>
          </x14:cfRule>
          <xm:sqref>A94:B94 D94:K94 M94:N94</xm:sqref>
        </x14:conditionalFormatting>
        <x14:conditionalFormatting xmlns:xm="http://schemas.microsoft.com/office/excel/2006/main">
          <x14:cfRule type="expression" priority="101" id="{777C366D-3F20-4349-96C3-C4D6F2727F5B}">
            <xm:f>$J$95=Formeln!$A$177</xm:f>
            <x14:dxf>
              <font>
                <color theme="0" tint="-0.24994659260841701"/>
              </font>
            </x14:dxf>
          </x14:cfRule>
          <xm:sqref>A95:B95 M95:N95</xm:sqref>
        </x14:conditionalFormatting>
        <x14:conditionalFormatting xmlns:xm="http://schemas.microsoft.com/office/excel/2006/main">
          <x14:cfRule type="expression" priority="295" id="{770D7506-7B4E-42AB-8E9F-B0F3EA2AAA65}">
            <xm:f>$J$96=Formeln!$A$177</xm:f>
            <x14:dxf>
              <font>
                <color theme="0" tint="-0.24994659260841701"/>
              </font>
            </x14:dxf>
          </x14:cfRule>
          <xm:sqref>A96:B96 D96:K96 M96:N96</xm:sqref>
        </x14:conditionalFormatting>
        <x14:conditionalFormatting xmlns:xm="http://schemas.microsoft.com/office/excel/2006/main">
          <x14:cfRule type="expression" priority="296" id="{F00D2CFB-E84F-4144-B3CC-4418257D5FBD}">
            <xm:f>$J$97=Formeln!$A$177</xm:f>
            <x14:dxf>
              <font>
                <color theme="0" tint="-0.24994659260841701"/>
              </font>
            </x14:dxf>
          </x14:cfRule>
          <xm:sqref>A97:B97 D97:K97 M97:N97</xm:sqref>
        </x14:conditionalFormatting>
        <x14:conditionalFormatting xmlns:xm="http://schemas.microsoft.com/office/excel/2006/main">
          <x14:cfRule type="expression" priority="63" id="{F60EF13A-6950-46BB-BD02-CE3C81C2B3F3}">
            <xm:f>$J$107=Formeln!$A$177</xm:f>
            <x14:dxf>
              <font>
                <color theme="0" tint="-0.34998626667073579"/>
              </font>
            </x14:dxf>
          </x14:cfRule>
          <xm:sqref>A99:B100</xm:sqref>
        </x14:conditionalFormatting>
        <x14:conditionalFormatting xmlns:xm="http://schemas.microsoft.com/office/excel/2006/main">
          <x14:cfRule type="expression" priority="275" id="{C35BF913-712F-417C-B0A2-EA7BC189727D}">
            <xm:f>$J$44=Formeln!$A$177</xm:f>
            <x14:dxf>
              <font>
                <color theme="0" tint="-0.34998626667073579"/>
              </font>
            </x14:dxf>
          </x14:cfRule>
          <xm:sqref>A44:C44 E44:K44 M44:N44</xm:sqref>
        </x14:conditionalFormatting>
        <x14:conditionalFormatting xmlns:xm="http://schemas.microsoft.com/office/excel/2006/main">
          <x14:cfRule type="expression" priority="290" id="{601EF4DF-8BA4-47D7-8590-8F7753F111C5}">
            <xm:f>$J$88=Formeln!$A$177</xm:f>
            <x14:dxf>
              <font>
                <color theme="0" tint="-0.24994659260841701"/>
              </font>
            </x14:dxf>
          </x14:cfRule>
          <xm:sqref>A88:K88 M88:N88</xm:sqref>
        </x14:conditionalFormatting>
        <x14:conditionalFormatting xmlns:xm="http://schemas.microsoft.com/office/excel/2006/main">
          <x14:cfRule type="expression" priority="148" id="{ABC7DAD1-35DD-4C27-9850-CC53A2B92D37}">
            <xm:f>$J$83=Formeln!$A$177</xm:f>
            <x14:dxf>
              <font>
                <color theme="0" tint="-0.24994659260841701"/>
              </font>
            </x14:dxf>
          </x14:cfRule>
          <xm:sqref>B85:B86</xm:sqref>
        </x14:conditionalFormatting>
        <x14:conditionalFormatting xmlns:xm="http://schemas.microsoft.com/office/excel/2006/main">
          <x14:cfRule type="expression" priority="78" id="{90BF8945-FED8-401F-B3BA-FACCD7DDD719}">
            <xm:f>$J$39=Formeln!$A$177</xm:f>
            <x14:dxf>
              <font>
                <color theme="0" tint="-0.34998626667073579"/>
              </font>
            </x14:dxf>
          </x14:cfRule>
          <xm:sqref>D40</xm:sqref>
        </x14:conditionalFormatting>
        <x14:conditionalFormatting xmlns:xm="http://schemas.microsoft.com/office/excel/2006/main">
          <x14:cfRule type="expression" priority="187" id="{CE4235F8-524C-4919-9D3B-970D4931E4F6}">
            <xm:f>$J$44=Formeln!$A$177</xm:f>
            <x14:dxf>
              <font>
                <color theme="0" tint="-0.24994659260841701"/>
              </font>
            </x14:dxf>
          </x14:cfRule>
          <xm:sqref>D44</xm:sqref>
        </x14:conditionalFormatting>
        <x14:conditionalFormatting xmlns:xm="http://schemas.microsoft.com/office/excel/2006/main">
          <x14:cfRule type="expression" priority="188" id="{3A369BDB-F0A0-4AD0-8F59-1EDFA826F50B}">
            <xm:f>$J$50=Formeln!$A$177</xm:f>
            <x14:dxf>
              <font>
                <color theme="0" tint="-0.24994659260841701"/>
              </font>
            </x14:dxf>
          </x14:cfRule>
          <xm:sqref>D50</xm:sqref>
        </x14:conditionalFormatting>
        <x14:conditionalFormatting xmlns:xm="http://schemas.microsoft.com/office/excel/2006/main">
          <x14:cfRule type="expression" priority="189" id="{F3650292-5A73-454F-AD11-D6E470481612}">
            <xm:f>$J$51=Formeln!$A$177</xm:f>
            <x14:dxf>
              <font>
                <color theme="0" tint="-0.24994659260841701"/>
              </font>
            </x14:dxf>
          </x14:cfRule>
          <xm:sqref>D51</xm:sqref>
        </x14:conditionalFormatting>
        <x14:conditionalFormatting xmlns:xm="http://schemas.microsoft.com/office/excel/2006/main">
          <x14:cfRule type="expression" priority="190" id="{B87FE91F-E04F-4272-A07E-9F0EBCEBBC5F}">
            <xm:f>$J$52=Formeln!$A$177</xm:f>
            <x14:dxf>
              <font>
                <color theme="0" tint="-0.24994659260841701"/>
              </font>
            </x14:dxf>
          </x14:cfRule>
          <xm:sqref>D52:D53</xm:sqref>
        </x14:conditionalFormatting>
        <x14:conditionalFormatting xmlns:xm="http://schemas.microsoft.com/office/excel/2006/main">
          <x14:cfRule type="expression" priority="184" id="{B3B38BB3-5DE2-4BD6-81FA-6CE45945C86A}">
            <xm:f>$J$54=Formeln!$A$177</xm:f>
            <x14:dxf>
              <font>
                <color theme="0" tint="-0.24994659260841701"/>
              </font>
            </x14:dxf>
          </x14:cfRule>
          <xm:sqref>D54</xm:sqref>
        </x14:conditionalFormatting>
        <x14:conditionalFormatting xmlns:xm="http://schemas.microsoft.com/office/excel/2006/main">
          <x14:cfRule type="expression" priority="191" id="{8BC88737-74EA-432E-8904-A6764CA89EF1}">
            <xm:f>$J$59=Formeln!$A$177</xm:f>
            <x14:dxf>
              <font>
                <color theme="0" tint="-0.24994659260841701"/>
              </font>
            </x14:dxf>
          </x14:cfRule>
          <xm:sqref>D59</xm:sqref>
        </x14:conditionalFormatting>
        <x14:conditionalFormatting xmlns:xm="http://schemas.microsoft.com/office/excel/2006/main">
          <x14:cfRule type="expression" priority="171" id="{8AFA0AAE-C6AC-49C3-A159-0ADCF01D6219}">
            <xm:f>$J$59=Formeln!$A$177</xm:f>
            <x14:dxf>
              <font>
                <color theme="0" tint="-0.24994659260841701"/>
              </font>
            </x14:dxf>
          </x14:cfRule>
          <xm:sqref>D87:D88</xm:sqref>
        </x14:conditionalFormatting>
        <x14:conditionalFormatting xmlns:xm="http://schemas.microsoft.com/office/excel/2006/main">
          <x14:cfRule type="expression" priority="168" id="{71F4F160-9ABE-4AD9-90BE-0BBB67C73314}">
            <xm:f>$J$94=Formeln!$A$177</xm:f>
            <x14:dxf>
              <font>
                <color theme="0" tint="-0.24994659260841701"/>
              </font>
            </x14:dxf>
          </x14:cfRule>
          <xm:sqref>D94:D97</xm:sqref>
        </x14:conditionalFormatting>
        <x14:conditionalFormatting xmlns:xm="http://schemas.microsoft.com/office/excel/2006/main">
          <x14:cfRule type="expression" priority="74" id="{B24D8B2D-1484-4F4D-964D-3951EFAF2E39}">
            <xm:f>$J$83=Formeln!$A$177</xm:f>
            <x14:dxf>
              <font>
                <color theme="0" tint="-0.34998626667073579"/>
              </font>
            </x14:dxf>
          </x14:cfRule>
          <xm:sqref>D84:I84</xm:sqref>
        </x14:conditionalFormatting>
        <x14:conditionalFormatting xmlns:xm="http://schemas.microsoft.com/office/excel/2006/main">
          <x14:cfRule type="expression" priority="186" id="{BDD58534-7F3E-4D85-A584-B2FE3FB495C2}">
            <xm:f>$J$43=Formeln!$A$177</xm:f>
            <x14:dxf>
              <font>
                <color theme="0" tint="-0.24994659260841701"/>
              </font>
            </x14:dxf>
          </x14:cfRule>
          <xm:sqref>D43:K43</xm:sqref>
        </x14:conditionalFormatting>
        <x14:conditionalFormatting xmlns:xm="http://schemas.microsoft.com/office/excel/2006/main">
          <x14:cfRule type="expression" priority="276" id="{CF63EF5A-7828-4F2C-B04D-B2B5641B9342}">
            <xm:f>$J$50=Formeln!$A$177</xm:f>
            <x14:dxf>
              <font>
                <color theme="0" tint="-0.34998626667073579"/>
              </font>
            </x14:dxf>
          </x14:cfRule>
          <xm:sqref>D50:K50 A50:B50 M50:N50</xm:sqref>
        </x14:conditionalFormatting>
        <x14:conditionalFormatting xmlns:xm="http://schemas.microsoft.com/office/excel/2006/main">
          <x14:cfRule type="expression" priority="277" id="{477E9AEC-1614-4430-A133-B1A67DD97F17}">
            <xm:f>$J$51=Formeln!$A$177</xm:f>
            <x14:dxf>
              <font>
                <color theme="0" tint="-0.34998626667073579"/>
              </font>
            </x14:dxf>
          </x14:cfRule>
          <xm:sqref>D51:K51 A51:B51 M51:N51</xm:sqref>
        </x14:conditionalFormatting>
        <x14:conditionalFormatting xmlns:xm="http://schemas.microsoft.com/office/excel/2006/main">
          <x14:cfRule type="expression" priority="278" id="{2DF16B30-D490-4204-B8B3-DF31977E2178}">
            <xm:f>$J$52=Formeln!$A$177</xm:f>
            <x14:dxf>
              <font>
                <color theme="0" tint="-0.34998626667073579"/>
              </font>
            </x14:dxf>
          </x14:cfRule>
          <xm:sqref>D52:K52 A52:B52 M52:N52</xm:sqref>
        </x14:conditionalFormatting>
        <x14:conditionalFormatting xmlns:xm="http://schemas.microsoft.com/office/excel/2006/main">
          <x14:cfRule type="expression" priority="272" id="{AAC574F2-7D81-4D8B-9E9E-FB5D56EE720F}">
            <xm:f>$J$54=Formeln!$A$177</xm:f>
            <x14:dxf>
              <font>
                <color theme="0" tint="-0.34998626667073579"/>
              </font>
            </x14:dxf>
          </x14:cfRule>
          <xm:sqref>D54:K54 A54:B54 M54:N54</xm:sqref>
        </x14:conditionalFormatting>
        <x14:conditionalFormatting xmlns:xm="http://schemas.microsoft.com/office/excel/2006/main">
          <x14:cfRule type="expression" priority="279" id="{4CF16E65-D4B2-4C56-B3B2-FF395EAC64DF}">
            <xm:f>$J$59=Formeln!$A$177</xm:f>
            <x14:dxf>
              <font>
                <color theme="0" tint="-0.34998626667073579"/>
              </font>
            </x14:dxf>
          </x14:cfRule>
          <xm:sqref>D59:K59 A59:B59 M59:N59</xm:sqref>
        </x14:conditionalFormatting>
        <x14:conditionalFormatting xmlns:xm="http://schemas.microsoft.com/office/excel/2006/main">
          <x14:cfRule type="expression" priority="185" id="{DCEA48A0-9D67-4E6F-ACB3-60066DE9BC21}">
            <xm:f>$J$80=Formeln!$A$177</xm:f>
            <x14:dxf>
              <font>
                <color theme="0" tint="-0.24994659260841701"/>
              </font>
            </x14:dxf>
          </x14:cfRule>
          <xm:sqref>D80:K80</xm:sqref>
        </x14:conditionalFormatting>
        <x14:conditionalFormatting xmlns:xm="http://schemas.microsoft.com/office/excel/2006/main">
          <x14:cfRule type="expression" priority="294" id="{D030417B-17DB-43D3-A2DF-5DB4257A0F46}">
            <xm:f>$J$95=Formeln!$A$177</xm:f>
            <x14:dxf>
              <font>
                <color theme="0" tint="-0.24994659260841701"/>
              </font>
            </x14:dxf>
          </x14:cfRule>
          <xm:sqref>D95:K95</xm:sqref>
        </x14:conditionalFormatting>
        <x14:conditionalFormatting xmlns:xm="http://schemas.microsoft.com/office/excel/2006/main">
          <x14:cfRule type="expression" priority="105" id="{1A2D90BF-099C-47A4-908A-FAA496A10796}">
            <xm:f>$J$60=Formeln!$A$177</xm:f>
            <x14:dxf>
              <font>
                <color theme="0" tint="-0.24994659260841701"/>
              </font>
            </x14:dxf>
          </x14:cfRule>
          <xm:sqref>D60:N60</xm:sqref>
        </x14:conditionalFormatting>
        <x14:conditionalFormatting xmlns:xm="http://schemas.microsoft.com/office/excel/2006/main">
          <x14:cfRule type="expression" priority="193" id="{A22A3004-C748-426A-8618-C3E0C139878D}">
            <xm:f>$J$61=Formeln!$A$177</xm:f>
            <x14:dxf>
              <font>
                <color theme="0" tint="-0.24994659260841701"/>
              </font>
            </x14:dxf>
          </x14:cfRule>
          <xm:sqref>D61:N61</xm:sqref>
        </x14:conditionalFormatting>
        <x14:conditionalFormatting xmlns:xm="http://schemas.microsoft.com/office/excel/2006/main">
          <x14:cfRule type="expression" priority="91" id="{67339983-31F8-4406-A15E-B4B14501CED9}">
            <xm:f>$J$81=Formeln!$A$177</xm:f>
            <x14:dxf>
              <font>
                <color theme="0" tint="-0.24994659260841701"/>
              </font>
            </x14:dxf>
          </x14:cfRule>
          <xm:sqref>E81:I81</xm:sqref>
        </x14:conditionalFormatting>
        <x14:conditionalFormatting xmlns:xm="http://schemas.microsoft.com/office/excel/2006/main">
          <x14:cfRule type="expression" priority="66" id="{A396E524-1A20-4C00-92A9-7A76835DFCAA}">
            <xm:f>$J$107=Formeln!$A$177</xm:f>
            <x14:dxf>
              <font>
                <color theme="0" tint="-0.34998626667073579"/>
              </font>
            </x14:dxf>
          </x14:cfRule>
          <xm:sqref>E99:I100</xm:sqref>
        </x14:conditionalFormatting>
        <x14:conditionalFormatting xmlns:xm="http://schemas.microsoft.com/office/excel/2006/main">
          <x14:cfRule type="expression" priority="207"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6"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4" id="{CED06D55-0062-4A09-86B2-080D20E17405}">
            <xm:f>$J$63=Formeln!$A$1</xm:f>
            <x14:dxf>
              <fill>
                <patternFill>
                  <bgColor theme="0" tint="-0.14996795556505021"/>
                </patternFill>
              </fill>
            </x14:dxf>
          </x14:cfRule>
          <xm:sqref>J63:K63</xm:sqref>
        </x14:conditionalFormatting>
        <x14:conditionalFormatting xmlns:xm="http://schemas.microsoft.com/office/excel/2006/main">
          <x14:cfRule type="expression" priority="153"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3"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2" id="{66DAFF3B-3237-4761-8D7B-7C8ADE82BA5B}">
            <xm:f>$J$69=Formeln_RI_P.10!$I$186</xm:f>
            <x14:dxf>
              <fill>
                <patternFill>
                  <bgColor theme="0" tint="-0.14996795556505021"/>
                </patternFill>
              </fill>
            </x14:dxf>
          </x14:cfRule>
          <xm:sqref>J69:K69</xm:sqref>
        </x14:conditionalFormatting>
        <x14:conditionalFormatting xmlns:xm="http://schemas.microsoft.com/office/excel/2006/main">
          <x14:cfRule type="expression" priority="90"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3" id="{D7657FE6-453A-4F0D-B93B-18B75F71849A}">
            <xm:f>$J$61=Formeln!$A$177</xm:f>
            <x14:dxf>
              <font>
                <color theme="0" tint="-0.24994659260841701"/>
              </font>
            </x14:dxf>
          </x14:cfRule>
          <xm:sqref>J84:K84</xm:sqref>
        </x14:conditionalFormatting>
        <x14:conditionalFormatting xmlns:xm="http://schemas.microsoft.com/office/excel/2006/main">
          <x14:cfRule type="expression" priority="6" stopIfTrue="1" id="{3A2C5CC1-D33B-4CCA-9704-A2770F59E4DB}">
            <xm:f>$J$83=Formeln!$A$177</xm:f>
            <x14:dxf>
              <font>
                <color theme="0" tint="-0.24994659260841701"/>
              </font>
            </x14:dxf>
          </x14:cfRule>
          <xm:sqref>J85:K85</xm:sqref>
        </x14:conditionalFormatting>
        <x14:conditionalFormatting xmlns:xm="http://schemas.microsoft.com/office/excel/2006/main">
          <x14:cfRule type="expression" priority="119" id="{427E75FA-614E-4AC0-BC68-8BA8CAEEE2BA}">
            <xm:f>$J$83=Formeln!$A$177</xm:f>
            <x14:dxf>
              <font>
                <color theme="0" tint="-0.24994659260841701"/>
              </font>
            </x14:dxf>
          </x14:cfRule>
          <xm:sqref>J91:K91</xm:sqref>
        </x14:conditionalFormatting>
        <x14:conditionalFormatting xmlns:xm="http://schemas.microsoft.com/office/excel/2006/main">
          <x14:cfRule type="expression" priority="117" id="{CCB5D509-E9B4-41B0-84AC-CAAAA1E29FFD}">
            <xm:f>$J$94=Formeln!$A$177</xm:f>
            <x14:dxf>
              <font>
                <color theme="0" tint="-0.24994659260841701"/>
              </font>
            </x14:dxf>
          </x14:cfRule>
          <xm:sqref>J92:K92</xm:sqref>
        </x14:conditionalFormatting>
        <x14:conditionalFormatting xmlns:xm="http://schemas.microsoft.com/office/excel/2006/main">
          <x14:cfRule type="expression" priority="1" id="{141AE40F-1E1F-44B2-9414-E09955972636}">
            <xm:f>$J$97=Formeln!$A$177</xm:f>
            <x14:dxf>
              <font>
                <color theme="0" tint="-0.24994659260841701"/>
              </font>
            </x14:dxf>
          </x14:cfRule>
          <xm:sqref>J98:K98</xm:sqref>
        </x14:conditionalFormatting>
        <x14:conditionalFormatting xmlns:xm="http://schemas.microsoft.com/office/excel/2006/main">
          <x14:cfRule type="expression" priority="103" id="{EC9D6309-0FD4-4B37-B191-3B10D3904B99}">
            <xm:f>$J$54=Formeln!$A$177</xm:f>
            <x14:dxf>
              <font>
                <color theme="0" tint="-0.24994659260841701"/>
              </font>
            </x14:dxf>
          </x14:cfRule>
          <xm:sqref>L54</xm:sqref>
        </x14:conditionalFormatting>
        <x14:conditionalFormatting xmlns:xm="http://schemas.microsoft.com/office/excel/2006/main">
          <x14:cfRule type="expression" priority="98" id="{ADA83D0E-EBB1-499B-964E-9EE25185B206}">
            <xm:f>$J$43=Formeln!$A$177</xm:f>
            <x14:dxf>
              <font>
                <color theme="0" tint="-0.24994659260841701"/>
              </font>
            </x14:dxf>
          </x14:cfRule>
          <xm:sqref>M43:N43 A43:A44</xm:sqref>
        </x14:conditionalFormatting>
        <x14:conditionalFormatting xmlns:xm="http://schemas.microsoft.com/office/excel/2006/main">
          <x14:cfRule type="expression" priority="99" id="{441A60AB-8DE8-4335-BB44-AD1FF798BFCC}">
            <xm:f>$J$80=Formeln!$A$177</xm:f>
            <x14:dxf>
              <font>
                <color theme="0" tint="-0.24994659260841701"/>
              </font>
            </x14:dxf>
          </x14:cfRule>
          <xm:sqref>M80:N80 A89</xm:sqref>
        </x14:conditionalFormatting>
        <x14:conditionalFormatting xmlns:xm="http://schemas.microsoft.com/office/excel/2006/main">
          <x14:cfRule type="expression" priority="60" id="{0E90C8BB-FD5F-44D8-882C-3F254CCAB1D7}">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59" id="{289FD04E-1A6A-4877-A737-A6952F192A2B}">
            <xm:f>Info!$V$7=8</xm:f>
            <x14:dxf>
              <font>
                <color theme="1"/>
              </font>
              <border>
                <bottom style="thin">
                  <color auto="1"/>
                </bottom>
              </border>
            </x14:dxf>
          </x14:cfRule>
          <xm:sqref>O111</xm:sqref>
        </x14:conditionalFormatting>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AH67</xm:sqref>
        </x14:conditionalFormatting>
        <x14:conditionalFormatting xmlns:xm="http://schemas.microsoft.com/office/excel/2006/main">
          <x14:cfRule type="expression" priority="54" id="{C3D9FF2F-39EE-46AD-B089-DD1988335781}">
            <xm:f>$J$31=Formeln!$A$177</xm:f>
            <x14:dxf>
              <font>
                <color theme="0" tint="-0.34998626667073579"/>
              </font>
            </x14:dxf>
          </x14:cfRule>
          <xm:sqref>FE31:FI31</xm:sqref>
        </x14:conditionalFormatting>
        <x14:conditionalFormatting xmlns:xm="http://schemas.microsoft.com/office/excel/2006/main">
          <x14:cfRule type="expression" priority="53" id="{168A41D6-9550-4C73-98F3-97BD6E28CC1F}">
            <xm:f>$J$32=Formeln!$A$177</xm:f>
            <x14:dxf>
              <font>
                <color theme="0" tint="-0.34998626667073579"/>
              </font>
            </x14:dxf>
          </x14:cfRule>
          <xm:sqref>FE32:FI32</xm:sqref>
        </x14:conditionalFormatting>
        <x14:conditionalFormatting xmlns:xm="http://schemas.microsoft.com/office/excel/2006/main">
          <x14:cfRule type="expression" priority="56" id="{F3043B5C-1AE3-441B-A246-885453D23C14}">
            <xm:f>$J$34=Formeln!$A$177</xm:f>
            <x14:dxf>
              <font>
                <color theme="0" tint="-0.34998626667073579"/>
              </font>
            </x14:dxf>
          </x14:cfRule>
          <xm:sqref>FE34:FI34</xm:sqref>
        </x14:conditionalFormatting>
        <x14:conditionalFormatting xmlns:xm="http://schemas.microsoft.com/office/excel/2006/main">
          <x14:cfRule type="expression" priority="58" id="{AFA91687-2BAF-40F7-81CB-71C20D23B3CF}">
            <xm:f>$J$36=Formeln!$A$177</xm:f>
            <x14:dxf>
              <font>
                <color theme="0" tint="-0.34998626667073579"/>
              </font>
            </x14:dxf>
          </x14:cfRule>
          <xm:sqref>FE36:FI36</xm:sqref>
        </x14:conditionalFormatting>
        <x14:conditionalFormatting xmlns:xm="http://schemas.microsoft.com/office/excel/2006/main">
          <x14:cfRule type="expression" priority="55" id="{A62826AE-AA12-455A-834F-BF8A10BF0B95}">
            <xm:f>$J$38=Formeln!$A$177</xm:f>
            <x14:dxf>
              <font>
                <color theme="0" tint="-0.34998626667073579"/>
              </font>
            </x14:dxf>
          </x14:cfRule>
          <xm:sqref>FE38:FI38</xm:sqref>
        </x14:conditionalFormatting>
        <x14:conditionalFormatting xmlns:xm="http://schemas.microsoft.com/office/excel/2006/main">
          <x14:cfRule type="expression" priority="52" id="{4DC469DD-15FA-4E6E-B4B9-61EB76218B89}">
            <xm:f>$J$39=Formeln!$A$177</xm:f>
            <x14:dxf>
              <font>
                <color theme="0" tint="-0.34998626667073579"/>
              </font>
            </x14:dxf>
          </x14:cfRule>
          <xm:sqref>FE39:FI39</xm:sqref>
        </x14:conditionalFormatting>
        <x14:conditionalFormatting xmlns:xm="http://schemas.microsoft.com/office/excel/2006/main">
          <x14:cfRule type="expression" priority="51" id="{502B9A51-F91B-4A6C-9320-A20E9114CE6F}">
            <xm:f>$J$40=Formeln!$A$177</xm:f>
            <x14:dxf>
              <font>
                <color theme="0" tint="-0.34998626667073579"/>
              </font>
            </x14:dxf>
          </x14:cfRule>
          <xm:sqref>FE40:FI40</xm:sqref>
        </x14:conditionalFormatting>
        <x14:conditionalFormatting xmlns:xm="http://schemas.microsoft.com/office/excel/2006/main">
          <x14:cfRule type="expression" priority="50" id="{52B30769-DCDD-48D4-9E51-3731C2A148FA}">
            <xm:f>$J$41=Formeln!$A$177</xm:f>
            <x14:dxf>
              <font>
                <color theme="0" tint="-0.34998626667073579"/>
              </font>
            </x14:dxf>
          </x14:cfRule>
          <xm:sqref>FE41:FI41</xm:sqref>
        </x14:conditionalFormatting>
        <x14:conditionalFormatting xmlns:xm="http://schemas.microsoft.com/office/excel/2006/main">
          <x14:cfRule type="expression" priority="49" id="{AAE0C45A-3B2B-4B63-B650-0D310ABD21B4}">
            <xm:f>$J$42=Formeln!$A$177</xm:f>
            <x14:dxf>
              <font>
                <color theme="0" tint="-0.34998626667073579"/>
              </font>
            </x14:dxf>
          </x14:cfRule>
          <xm:sqref>FE42:FI42</xm:sqref>
        </x14:conditionalFormatting>
        <x14:conditionalFormatting xmlns:xm="http://schemas.microsoft.com/office/excel/2006/main">
          <x14:cfRule type="expression" priority="34" id="{5F47E39A-D9AB-4B0D-A846-F87E566E1D69}">
            <xm:f>$J$43=Formeln!$A$177</xm:f>
            <x14:dxf>
              <font>
                <color theme="0" tint="-0.24994659260841701"/>
              </font>
            </x14:dxf>
          </x14:cfRule>
          <xm:sqref>FE43:FI43</xm:sqref>
        </x14:conditionalFormatting>
        <x14:conditionalFormatting xmlns:xm="http://schemas.microsoft.com/office/excel/2006/main">
          <x14:cfRule type="expression" priority="37" id="{976177B0-A7A8-4335-A6CB-547BD65975D5}">
            <xm:f>$J$44=Formeln!$A$177</xm:f>
            <x14:dxf>
              <font>
                <color theme="0" tint="-0.34998626667073579"/>
              </font>
            </x14:dxf>
          </x14:cfRule>
          <xm:sqref>FE44:FI44</xm:sqref>
        </x14:conditionalFormatting>
        <x14:conditionalFormatting xmlns:xm="http://schemas.microsoft.com/office/excel/2006/main">
          <x14:cfRule type="expression" priority="29" id="{ECCB1487-D740-476A-BBDF-47D76FF0B8B0}">
            <xm:f>$J$47=Formeln!$A$177</xm:f>
            <x14:dxf>
              <font>
                <color theme="0" tint="-0.34998626667073579"/>
              </font>
            </x14:dxf>
          </x14:cfRule>
          <xm:sqref>FE47:FI47</xm:sqref>
        </x14:conditionalFormatting>
        <x14:conditionalFormatting xmlns:xm="http://schemas.microsoft.com/office/excel/2006/main">
          <x14:cfRule type="expression" priority="30" id="{6DCF9E68-7CD1-4B93-A245-8B896585BBA5}">
            <xm:f>$J$48=Formeln!$A$177</xm:f>
            <x14:dxf>
              <font>
                <color theme="0" tint="-0.24994659260841701"/>
              </font>
            </x14:dxf>
          </x14:cfRule>
          <xm:sqref>FE48:FI48</xm:sqref>
        </x14:conditionalFormatting>
        <x14:conditionalFormatting xmlns:xm="http://schemas.microsoft.com/office/excel/2006/main">
          <x14:cfRule type="expression" priority="47" id="{7ADB50F3-4141-4232-AF27-3101DCDAE492}">
            <xm:f>$J$49=Formeln!$A$177</xm:f>
            <x14:dxf>
              <font>
                <color theme="0" tint="-0.34998626667073579"/>
              </font>
            </x14:dxf>
          </x14:cfRule>
          <xm:sqref>FE49:FI49</xm:sqref>
        </x14:conditionalFormatting>
        <x14:conditionalFormatting xmlns:xm="http://schemas.microsoft.com/office/excel/2006/main">
          <x14:cfRule type="expression" priority="38" id="{96264E7A-EA98-4EFC-8EB7-DF223C82262C}">
            <xm:f>$J$50=Formeln!$A$177</xm:f>
            <x14:dxf>
              <font>
                <color theme="0" tint="-0.34998626667073579"/>
              </font>
            </x14:dxf>
          </x14:cfRule>
          <xm:sqref>FE50:FI50</xm:sqref>
        </x14:conditionalFormatting>
        <x14:conditionalFormatting xmlns:xm="http://schemas.microsoft.com/office/excel/2006/main">
          <x14:cfRule type="expression" priority="39" id="{8486543E-9D43-4131-9C01-3AB4E0439012}">
            <xm:f>$J$51=Formeln!$A$177</xm:f>
            <x14:dxf>
              <font>
                <color theme="0" tint="-0.34998626667073579"/>
              </font>
            </x14:dxf>
          </x14:cfRule>
          <xm:sqref>FE51:FI51</xm:sqref>
        </x14:conditionalFormatting>
        <x14:conditionalFormatting xmlns:xm="http://schemas.microsoft.com/office/excel/2006/main">
          <x14:cfRule type="expression" priority="40" id="{2FB5094B-AE4C-40E1-BEB2-6D8D7A389CF3}">
            <xm:f>$J$52=Formeln!$A$177</xm:f>
            <x14:dxf>
              <font>
                <color theme="0" tint="-0.34998626667073579"/>
              </font>
            </x14:dxf>
          </x14:cfRule>
          <xm:sqref>FE52:FI52</xm:sqref>
        </x14:conditionalFormatting>
        <x14:conditionalFormatting xmlns:xm="http://schemas.microsoft.com/office/excel/2006/main">
          <x14:cfRule type="expression" priority="27" id="{D74A8014-A2AC-41D4-9941-CD39887CF76F}">
            <xm:f>$J$53=Formeln!$A$177</xm:f>
            <x14:dxf>
              <font>
                <color theme="0" tint="-0.34998626667073579"/>
              </font>
            </x14:dxf>
          </x14:cfRule>
          <xm:sqref>FE53:FI53</xm:sqref>
        </x14:conditionalFormatting>
        <x14:conditionalFormatting xmlns:xm="http://schemas.microsoft.com/office/excel/2006/main">
          <x14:cfRule type="expression" priority="36" id="{A127FD16-A499-421C-B6C3-CDDF1E75F902}">
            <xm:f>$J$54=Formeln!$A$177</xm:f>
            <x14:dxf>
              <font>
                <color theme="0" tint="-0.34998626667073579"/>
              </font>
            </x14:dxf>
          </x14:cfRule>
          <xm:sqref>FE54:FI54</xm:sqref>
        </x14:conditionalFormatting>
        <x14:conditionalFormatting xmlns:xm="http://schemas.microsoft.com/office/excel/2006/main">
          <x14:cfRule type="expression" priority="41" id="{C56232FF-02E3-441D-BE2F-6A44707C48DC}">
            <xm:f>$J$59=Formeln!$A$177</xm:f>
            <x14:dxf>
              <font>
                <color theme="0" tint="-0.34998626667073579"/>
              </font>
            </x14:dxf>
          </x14:cfRule>
          <xm:sqref>FE59:FI59</xm:sqref>
        </x14:conditionalFormatting>
        <x14:conditionalFormatting xmlns:xm="http://schemas.microsoft.com/office/excel/2006/main">
          <x14:cfRule type="expression" priority="31" id="{45BEE4D6-2F60-4D4E-BB8C-42C1131ABAAE}">
            <xm:f>$J$60=Formeln!$A$177</xm:f>
            <x14:dxf>
              <font>
                <color theme="0" tint="-0.24994659260841701"/>
              </font>
            </x14:dxf>
          </x14:cfRule>
          <xm:sqref>FE60:FI60</xm:sqref>
        </x14:conditionalFormatting>
        <x14:conditionalFormatting xmlns:xm="http://schemas.microsoft.com/office/excel/2006/main">
          <x14:cfRule type="expression" priority="35" id="{B867B7D7-0FFB-4A33-AFF1-DF060D9EA742}">
            <xm:f>$J$61=Formeln!$A$177</xm:f>
            <x14:dxf>
              <font>
                <color theme="0" tint="-0.24994659260841701"/>
              </font>
            </x14:dxf>
          </x14:cfRule>
          <xm:sqref>FE61:FI61</xm:sqref>
        </x14:conditionalFormatting>
        <x14:conditionalFormatting xmlns:xm="http://schemas.microsoft.com/office/excel/2006/main">
          <x14:cfRule type="expression" priority="26" id="{996D7A92-173A-46C2-8843-E9F4CB14165E}">
            <xm:f>$J$62=Formeln!$A$177</xm:f>
            <x14:dxf>
              <font>
                <color theme="0" tint="-0.34998626667073579"/>
              </font>
            </x14:dxf>
          </x14:cfRule>
          <xm:sqref>FE62:FI62</xm:sqref>
        </x14:conditionalFormatting>
        <x14:conditionalFormatting xmlns:xm="http://schemas.microsoft.com/office/excel/2006/main">
          <x14:cfRule type="expression" priority="25" id="{0393D8A9-9CE6-432B-A637-CD0CD0A9E6C2}">
            <xm:f>$J$71=Formeln!$A$177</xm:f>
            <x14:dxf>
              <font>
                <color theme="0" tint="-0.34998626667073579"/>
              </font>
            </x14:dxf>
          </x14:cfRule>
          <xm:sqref>FE71:FI71</xm:sqref>
        </x14:conditionalFormatting>
        <x14:conditionalFormatting xmlns:xm="http://schemas.microsoft.com/office/excel/2006/main">
          <x14:cfRule type="expression" priority="44" id="{4452F66F-D0CD-4D8D-9989-DCEC75F27A34}">
            <xm:f>$J$72=Formeln!$A$177</xm:f>
            <x14:dxf>
              <font>
                <color theme="0" tint="-0.24994659260841701"/>
              </font>
            </x14:dxf>
          </x14:cfRule>
          <xm:sqref>FE72:FI72</xm:sqref>
        </x14:conditionalFormatting>
        <x14:conditionalFormatting xmlns:xm="http://schemas.microsoft.com/office/excel/2006/main">
          <x14:cfRule type="expression" priority="45" id="{D34D2153-A866-4AD9-88FC-31A2C2BD7DCD}">
            <xm:f>$J$73=Formeln!$A$177</xm:f>
            <x14:dxf>
              <font>
                <color theme="0" tint="-0.24994659260841701"/>
              </font>
            </x14:dxf>
          </x14:cfRule>
          <xm:sqref>FE73:FI73</xm:sqref>
        </x14:conditionalFormatting>
        <x14:conditionalFormatting xmlns:xm="http://schemas.microsoft.com/office/excel/2006/main">
          <x14:cfRule type="expression" priority="46" id="{F84F70AC-1604-4016-9F07-565EC355C9A0}">
            <xm:f>$J$74=Formeln!$A$177</xm:f>
            <x14:dxf>
              <font>
                <color theme="0" tint="-0.24994659260841701"/>
              </font>
            </x14:dxf>
          </x14:cfRule>
          <xm:sqref>FE74:FI74</xm:sqref>
        </x14:conditionalFormatting>
        <x14:conditionalFormatting xmlns:xm="http://schemas.microsoft.com/office/excel/2006/main">
          <x14:cfRule type="expression" priority="24" id="{BBD9EFD4-C1C5-4316-8EB6-6FC82F7219FB}">
            <xm:f>$J$75=Formeln!$A$177</xm:f>
            <x14:dxf>
              <font>
                <color theme="0" tint="-0.34998626667073579"/>
              </font>
            </x14:dxf>
          </x14:cfRule>
          <xm:sqref>FE75:FI75</xm:sqref>
        </x14:conditionalFormatting>
        <x14:conditionalFormatting xmlns:xm="http://schemas.microsoft.com/office/excel/2006/main">
          <x14:cfRule type="expression" priority="42" id="{85CCFBC7-94A1-483C-BAF0-DEB1719AE568}">
            <xm:f>$J$76=Formeln!$A$177</xm:f>
            <x14:dxf>
              <font>
                <color theme="0" tint="-0.24994659260841701"/>
              </font>
            </x14:dxf>
          </x14:cfRule>
          <xm:sqref>FE76:FI76</xm:sqref>
        </x14:conditionalFormatting>
        <x14:conditionalFormatting xmlns:xm="http://schemas.microsoft.com/office/excel/2006/main">
          <x14:cfRule type="expression" priority="43" id="{216C5E83-3E10-4B83-B126-F4A135B6BEEA}">
            <xm:f>$J$77=Formeln!$A$177</xm:f>
            <x14:dxf>
              <font>
                <color theme="0" tint="-0.24994659260841701"/>
              </font>
            </x14:dxf>
          </x14:cfRule>
          <xm:sqref>FE77:FI77</xm:sqref>
        </x14:conditionalFormatting>
        <x14:conditionalFormatting xmlns:xm="http://schemas.microsoft.com/office/excel/2006/main">
          <x14:cfRule type="expression" priority="33" id="{9799DA2D-D83D-412F-8A8B-43CFDE5DA770}">
            <xm:f>$J$80=Formeln!$A$177</xm:f>
            <x14:dxf>
              <font>
                <color theme="0" tint="-0.24994659260841701"/>
              </font>
            </x14:dxf>
          </x14:cfRule>
          <xm:sqref>FE80:FI80</xm:sqref>
        </x14:conditionalFormatting>
        <x14:conditionalFormatting xmlns:xm="http://schemas.microsoft.com/office/excel/2006/main">
          <x14:cfRule type="expression" priority="28" id="{255335D3-0374-4216-8D60-964C5F6BD533}">
            <xm:f>$J$81=Formeln!$A$177</xm:f>
            <x14:dxf>
              <font>
                <color theme="0" tint="-0.24994659260841701"/>
              </font>
            </x14:dxf>
          </x14:cfRule>
          <xm:sqref>FE81:FI81</xm:sqref>
        </x14:conditionalFormatting>
        <x14:conditionalFormatting xmlns:xm="http://schemas.microsoft.com/office/excel/2006/main">
          <x14:cfRule type="expression" priority="20" id="{35C523BA-E688-4DE3-B5CF-93EBE17AD32F}">
            <xm:f>$J$82=Formeln!$A$177</xm:f>
            <x14:dxf>
              <font>
                <color theme="0" tint="-0.24994659260841701"/>
              </font>
            </x14:dxf>
          </x14:cfRule>
          <xm:sqref>FE82:FI82</xm:sqref>
        </x14:conditionalFormatting>
        <x14:conditionalFormatting xmlns:xm="http://schemas.microsoft.com/office/excel/2006/main">
          <x14:cfRule type="expression" priority="21" stopIfTrue="1" id="{2673BF6C-FEAE-487B-BEEB-018778011A94}">
            <xm:f>$J$83=Formeln!$A$177</xm:f>
            <x14:dxf>
              <font>
                <color theme="0" tint="-0.24994659260841701"/>
              </font>
            </x14:dxf>
          </x14:cfRule>
          <xm:sqref>FE83:FI83</xm:sqref>
        </x14:conditionalFormatting>
        <x14:conditionalFormatting xmlns:xm="http://schemas.microsoft.com/office/excel/2006/main">
          <x14:cfRule type="expression" priority="19" id="{CACDA58D-7B1A-4253-A153-E64EA37D9AAD}">
            <xm:f>$J$83=Formeln!$A$177</xm:f>
            <x14:dxf>
              <font>
                <color theme="0" tint="-0.34998626667073579"/>
              </font>
            </x14:dxf>
          </x14:cfRule>
          <xm:sqref>FE84:FI84</xm:sqref>
        </x14:conditionalFormatting>
        <x14:conditionalFormatting xmlns:xm="http://schemas.microsoft.com/office/excel/2006/main">
          <x14:cfRule type="expression" priority="22" id="{2BE57D0A-38CF-43FD-8169-9A7FE160AE0D}">
            <xm:f>$J$87=Formeln!$A$177</xm:f>
            <x14:dxf>
              <font>
                <color theme="0" tint="-0.24994659260841701"/>
              </font>
            </x14:dxf>
          </x14:cfRule>
          <xm:sqref>FE87:FI87</xm:sqref>
        </x14:conditionalFormatting>
        <x14:conditionalFormatting xmlns:xm="http://schemas.microsoft.com/office/excel/2006/main">
          <x14:cfRule type="expression" priority="23" id="{A746C0A1-C8CF-431B-B054-90B3778B4863}">
            <xm:f>$J$88=Formeln!$A$177</xm:f>
            <x14:dxf>
              <font>
                <color theme="0" tint="-0.24994659260841701"/>
              </font>
            </x14:dxf>
          </x14:cfRule>
          <xm:sqref>FE88:FI88</xm:sqref>
        </x14:conditionalFormatting>
        <x14:conditionalFormatting xmlns:xm="http://schemas.microsoft.com/office/excel/2006/main">
          <x14:cfRule type="expression" priority="14" id="{8958A9C6-87A2-43CA-BCBA-C08512D007BE}">
            <xm:f>$J$90=Formeln!$A$177</xm:f>
            <x14:dxf>
              <font>
                <color theme="0" tint="-0.24994659260841701"/>
              </font>
            </x14:dxf>
          </x14:cfRule>
          <xm:sqref>FE90:FI90</xm:sqref>
        </x14:conditionalFormatting>
        <x14:conditionalFormatting xmlns:xm="http://schemas.microsoft.com/office/excel/2006/main">
          <x14:cfRule type="expression" priority="15" id="{E9590DAA-7204-4435-B499-EF01E98B0CDE}">
            <xm:f>$J$94=Formeln!$A$177</xm:f>
            <x14:dxf>
              <font>
                <color theme="0" tint="-0.24994659260841701"/>
              </font>
            </x14:dxf>
          </x14:cfRule>
          <xm:sqref>FE94:FI94</xm:sqref>
        </x14:conditionalFormatting>
        <x14:conditionalFormatting xmlns:xm="http://schemas.microsoft.com/office/excel/2006/main">
          <x14:cfRule type="expression" priority="16" id="{F84FF0A6-9E15-496A-9A8E-2AEB97AFAAD6}">
            <xm:f>$J$95=Formeln!$A$177</xm:f>
            <x14:dxf>
              <font>
                <color theme="0" tint="-0.24994659260841701"/>
              </font>
            </x14:dxf>
          </x14:cfRule>
          <xm:sqref>FE95:FI95</xm:sqref>
        </x14:conditionalFormatting>
        <x14:conditionalFormatting xmlns:xm="http://schemas.microsoft.com/office/excel/2006/main">
          <x14:cfRule type="expression" priority="17" id="{F79EBACA-1D72-482D-8EE9-D68CD03AF6BC}">
            <xm:f>$J$96=Formeln!$A$177</xm:f>
            <x14:dxf>
              <font>
                <color theme="0" tint="-0.24994659260841701"/>
              </font>
            </x14:dxf>
          </x14:cfRule>
          <xm:sqref>FE96:FI96</xm:sqref>
        </x14:conditionalFormatting>
        <x14:conditionalFormatting xmlns:xm="http://schemas.microsoft.com/office/excel/2006/main">
          <x14:cfRule type="expression" priority="18" id="{6AD58904-7E28-47D6-A519-D3A31118097D}">
            <xm:f>$J$97=Formeln!$A$177</xm:f>
            <x14:dxf>
              <font>
                <color theme="0" tint="-0.24994659260841701"/>
              </font>
            </x14:dxf>
          </x14:cfRule>
          <xm:sqref>FE97:FI97</xm:sqref>
        </x14:conditionalFormatting>
        <x14:conditionalFormatting xmlns:xm="http://schemas.microsoft.com/office/excel/2006/main">
          <x14:cfRule type="expression" priority="7" id="{D5EA8940-213D-4D99-8869-88B0C9E03747}">
            <xm:f>$J$107=Formeln!$A$177</xm:f>
            <x14:dxf>
              <font>
                <color theme="0" tint="-0.34998626667073579"/>
              </font>
            </x14:dxf>
          </x14:cfRule>
          <xm:sqref>FE99:FI100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BCEE268-4220-42AC-9697-9EC98BA8AD8A}">
          <x14:formula1>
            <xm:f>Formeln_RI_P.10!$G$186:$G$188</xm:f>
          </x14:formula1>
          <xm:sqref>J69:K69</xm:sqref>
        </x14:dataValidation>
        <x14:dataValidation type="list" allowBlank="1" showInputMessage="1" showErrorMessage="1" xr:uid="{00000000-0002-0000-0900-000009000000}">
          <x14:formula1>
            <xm:f>Formeln_RI_P.10!$B$144:$B$148</xm:f>
          </x14:formula1>
          <xm:sqref>J63:K63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BE174"/>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9.6640625" style="5" hidden="1" customWidth="1"/>
    <col min="17" max="17" width="9.6640625" style="135" hidden="1" customWidth="1"/>
    <col min="18" max="27" width="9.6640625" style="5" hidden="1" customWidth="1"/>
    <col min="28" max="28" width="2.6640625" style="5" hidden="1" customWidth="1"/>
    <col min="29" max="29" width="30.6640625" style="9" hidden="1" customWidth="1"/>
    <col min="30" max="30" width="26" style="9" hidden="1" customWidth="1"/>
    <col min="31" max="31" width="26" style="1" hidden="1" customWidth="1"/>
    <col min="32" max="16384" width="8.6640625" style="1" hidden="1"/>
  </cols>
  <sheetData>
    <row r="1" spans="1:31" ht="28.2">
      <c r="N1" s="2" t="str">
        <f>VLOOKUP(272,Sprachindex!$A:$Z,Info!$O$7,FALSE)</f>
        <v>Dachrinnensysteme</v>
      </c>
    </row>
    <row r="2" spans="1:31" ht="28.2">
      <c r="D2" s="18"/>
      <c r="N2" s="2" t="str">
        <f>VLOOKUP(1418,Sprachindex!$A:$Z,Info!$O$7,FALSE)</f>
        <v>Quadratrohr P.10</v>
      </c>
    </row>
    <row r="3" spans="1:31" ht="15" customHeight="1"/>
    <row r="4" spans="1:31" ht="17.25" customHeight="1">
      <c r="A4" s="70"/>
      <c r="B4" s="70"/>
      <c r="C4" s="70"/>
      <c r="D4" s="70"/>
      <c r="E4" s="70"/>
      <c r="F4" s="70"/>
      <c r="G4" s="70"/>
      <c r="H4" s="70"/>
      <c r="I4" s="70"/>
      <c r="J4" s="70"/>
      <c r="K4" s="70"/>
      <c r="L4" s="70"/>
      <c r="M4" s="70"/>
      <c r="N4" s="204"/>
      <c r="O4" s="71"/>
      <c r="P4" s="71"/>
      <c r="Q4" s="93"/>
      <c r="R4" s="71"/>
      <c r="S4" s="71"/>
      <c r="T4" s="71"/>
      <c r="U4" s="71"/>
      <c r="V4" s="71"/>
      <c r="W4" s="71"/>
      <c r="X4" s="71"/>
      <c r="Y4" s="71"/>
      <c r="Z4" s="71"/>
      <c r="AA4" s="71"/>
      <c r="AB4" s="71"/>
      <c r="AE4" s="3"/>
    </row>
    <row r="5" spans="1:31" ht="17.25" customHeight="1">
      <c r="A5" s="70"/>
      <c r="B5" s="70"/>
      <c r="C5" s="70"/>
      <c r="D5" s="70"/>
      <c r="E5" s="70"/>
      <c r="F5" s="70"/>
      <c r="G5" s="70"/>
      <c r="H5" s="70"/>
      <c r="I5" s="70"/>
      <c r="J5" s="70"/>
      <c r="K5" s="70"/>
      <c r="L5" s="70"/>
      <c r="M5" s="70"/>
      <c r="N5" s="204"/>
      <c r="O5" s="71"/>
      <c r="P5" s="71"/>
      <c r="Q5" s="93"/>
      <c r="R5" s="71"/>
      <c r="S5" s="71"/>
      <c r="T5" s="71"/>
      <c r="U5" s="71"/>
      <c r="V5" s="71"/>
      <c r="W5" s="71"/>
      <c r="X5" s="71"/>
      <c r="Y5" s="71"/>
      <c r="Z5" s="71"/>
      <c r="AA5" s="71"/>
      <c r="AB5" s="71"/>
      <c r="AE5" s="3"/>
    </row>
    <row r="6" spans="1:31" ht="17.25" customHeight="1">
      <c r="A6" s="70"/>
      <c r="B6" s="70"/>
      <c r="C6" s="70"/>
      <c r="D6" s="70"/>
      <c r="E6" s="70"/>
      <c r="F6" s="70"/>
      <c r="G6" s="70"/>
      <c r="H6" s="70"/>
      <c r="I6" s="70"/>
      <c r="J6" s="70"/>
      <c r="K6" s="70"/>
      <c r="L6" s="70"/>
      <c r="M6" s="70"/>
      <c r="N6" s="204"/>
      <c r="O6" s="99">
        <v>0</v>
      </c>
      <c r="P6" s="99"/>
      <c r="Q6" s="73"/>
      <c r="R6" s="99"/>
      <c r="S6" s="99"/>
      <c r="T6" s="99"/>
      <c r="U6" s="99"/>
      <c r="V6" s="99"/>
      <c r="W6" s="99"/>
      <c r="X6" s="99"/>
      <c r="Y6" s="99"/>
      <c r="Z6" s="99"/>
      <c r="AA6" s="99"/>
      <c r="AB6" s="99"/>
      <c r="AE6" s="3"/>
    </row>
    <row r="7" spans="1:31" ht="17.25" customHeight="1">
      <c r="A7" s="70"/>
      <c r="B7" s="70"/>
      <c r="C7" s="70"/>
      <c r="D7" s="70"/>
      <c r="E7" s="70"/>
      <c r="F7" s="70"/>
      <c r="G7" s="70"/>
      <c r="H7" s="70"/>
      <c r="I7" s="70"/>
      <c r="J7" s="70"/>
      <c r="K7" s="70"/>
      <c r="L7" s="70"/>
      <c r="M7" s="70"/>
      <c r="N7" s="204"/>
      <c r="O7" s="99"/>
      <c r="P7" s="99"/>
      <c r="Q7" s="73"/>
      <c r="R7" s="99"/>
      <c r="S7" s="99"/>
      <c r="T7" s="99"/>
      <c r="U7" s="99"/>
      <c r="V7" s="99"/>
      <c r="W7" s="99"/>
      <c r="X7" s="99"/>
      <c r="Y7" s="99"/>
      <c r="Z7" s="99"/>
      <c r="AA7" s="99"/>
      <c r="AB7" s="99"/>
      <c r="AE7" s="3"/>
    </row>
    <row r="8" spans="1:31" ht="17.25" customHeight="1">
      <c r="A8" s="88" t="str">
        <f>VLOOKUP(393,Sprachindex!$A:$Z,Info!$O$7,FALSE)</f>
        <v>Firma / Besteller:</v>
      </c>
      <c r="B8" s="70"/>
      <c r="C8" s="70"/>
      <c r="D8" s="70"/>
      <c r="E8" s="70"/>
      <c r="F8" s="70"/>
      <c r="G8" s="70"/>
      <c r="H8" s="70"/>
      <c r="I8" s="70"/>
      <c r="J8" s="70"/>
      <c r="K8" s="70"/>
      <c r="L8" s="70"/>
      <c r="M8" s="70"/>
      <c r="N8" s="70"/>
      <c r="O8" s="71"/>
      <c r="P8" s="71"/>
      <c r="Q8" s="93"/>
      <c r="R8" s="71"/>
      <c r="S8" s="71"/>
      <c r="T8" s="71"/>
      <c r="U8" s="71"/>
      <c r="V8" s="71"/>
      <c r="W8" s="71"/>
      <c r="X8" s="71"/>
      <c r="Y8" s="71"/>
      <c r="Z8" s="71"/>
      <c r="AA8" s="71"/>
      <c r="AB8" s="71"/>
      <c r="AD8" s="10"/>
    </row>
    <row r="9" spans="1:31" ht="15" customHeight="1">
      <c r="A9" s="70"/>
      <c r="B9" s="74" t="str">
        <f>VLOOKUP(622,Sprachindex!$A:$Z,Info!$O$7,FALSE)</f>
        <v>Name:</v>
      </c>
      <c r="C9" s="585"/>
      <c r="D9" s="586"/>
      <c r="E9" s="587"/>
      <c r="F9" s="70"/>
      <c r="G9" s="87" t="str">
        <f>VLOOKUP(638,Sprachindex!$A:$Z,Info!$O$7,FALSE)</f>
        <v>Oberfläche:</v>
      </c>
      <c r="H9" s="70"/>
      <c r="I9" s="71"/>
      <c r="J9" s="69"/>
      <c r="K9" s="70"/>
      <c r="L9" s="69" t="str">
        <f>VLOOKUP(433,Sprachindex!$A:$Z,Info!$O$7,FALSE)</f>
        <v>glatt</v>
      </c>
      <c r="M9" s="70"/>
      <c r="N9" s="70"/>
      <c r="O9" s="99"/>
      <c r="P9" s="99"/>
      <c r="Q9" s="73"/>
      <c r="R9" s="99"/>
      <c r="S9" s="99"/>
      <c r="T9" s="99"/>
      <c r="U9" s="99"/>
      <c r="V9" s="99"/>
      <c r="W9" s="99"/>
      <c r="X9" s="99"/>
      <c r="Y9" s="99"/>
      <c r="Z9" s="99"/>
      <c r="AA9" s="99"/>
      <c r="AB9" s="99"/>
      <c r="AC9" s="11"/>
      <c r="AE9" s="4"/>
    </row>
    <row r="10" spans="1:31" ht="15" customHeight="1">
      <c r="A10" s="70"/>
      <c r="B10" s="74" t="str">
        <f>VLOOKUP(884,Sprachindex!$A:$Z,Info!$O$7,FALSE)</f>
        <v>Straße:</v>
      </c>
      <c r="C10" s="585"/>
      <c r="D10" s="586"/>
      <c r="E10" s="587"/>
      <c r="F10" s="70"/>
      <c r="G10" s="70"/>
      <c r="H10" s="70"/>
      <c r="I10" s="70"/>
      <c r="J10" s="71">
        <v>1</v>
      </c>
      <c r="K10" s="70"/>
      <c r="L10" s="70"/>
      <c r="M10" s="70"/>
      <c r="N10" s="70"/>
      <c r="O10" s="71"/>
      <c r="P10" s="71"/>
      <c r="Q10" s="93"/>
      <c r="R10" s="71"/>
      <c r="S10" s="71"/>
      <c r="T10" s="71"/>
      <c r="U10" s="71"/>
      <c r="V10" s="71"/>
      <c r="W10" s="71"/>
      <c r="X10" s="71"/>
      <c r="Y10" s="71"/>
      <c r="Z10" s="71"/>
      <c r="AA10" s="71"/>
      <c r="AB10" s="71"/>
      <c r="AD10" s="157"/>
      <c r="AE10" s="4"/>
    </row>
    <row r="11" spans="1:31"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v>0</v>
      </c>
      <c r="P11" s="99"/>
      <c r="Q11" s="73"/>
      <c r="R11" s="99"/>
      <c r="S11" s="99"/>
      <c r="T11" s="99"/>
      <c r="U11" s="99"/>
      <c r="V11" s="99"/>
      <c r="W11" s="99"/>
      <c r="X11" s="99"/>
      <c r="Y11" s="99"/>
      <c r="Z11" s="99"/>
      <c r="AA11" s="99"/>
      <c r="AB11" s="99"/>
      <c r="AC11" s="11"/>
      <c r="AD11" s="157"/>
      <c r="AE11" s="4"/>
    </row>
    <row r="12" spans="1:31" ht="15" customHeight="1">
      <c r="A12" s="70"/>
      <c r="B12" s="70"/>
      <c r="C12" s="70"/>
      <c r="D12" s="70"/>
      <c r="E12" s="70"/>
      <c r="F12" s="70"/>
      <c r="G12" s="70"/>
      <c r="H12" s="70"/>
      <c r="I12" s="74"/>
      <c r="J12" s="71">
        <v>1</v>
      </c>
      <c r="K12" s="70"/>
      <c r="L12" s="70"/>
      <c r="M12" s="70"/>
      <c r="N12" s="70"/>
      <c r="O12" s="71"/>
      <c r="P12" s="71"/>
      <c r="Q12" s="93"/>
      <c r="R12" s="71"/>
      <c r="S12" s="71"/>
      <c r="T12" s="71"/>
      <c r="U12" s="71"/>
      <c r="V12" s="71"/>
      <c r="W12" s="71"/>
      <c r="X12" s="71"/>
      <c r="Y12" s="71"/>
      <c r="Z12" s="71"/>
      <c r="AA12" s="71"/>
      <c r="AB12" s="71"/>
      <c r="AD12" s="157"/>
    </row>
    <row r="13" spans="1:31"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99">
        <v>0</v>
      </c>
      <c r="P13" s="99"/>
      <c r="Q13" s="73"/>
      <c r="R13" s="99"/>
      <c r="S13" s="99"/>
      <c r="T13" s="99"/>
      <c r="U13" s="99"/>
      <c r="V13" s="99"/>
      <c r="W13" s="99"/>
      <c r="X13" s="99"/>
      <c r="Y13" s="99"/>
      <c r="Z13" s="99"/>
      <c r="AA13" s="99"/>
      <c r="AB13" s="99"/>
      <c r="AC13" s="12"/>
      <c r="AD13" s="157"/>
      <c r="AE13" s="4"/>
    </row>
    <row r="14" spans="1:31" ht="15" customHeight="1">
      <c r="A14" s="70"/>
      <c r="B14" s="74" t="str">
        <f>VLOOKUP(901,Sprachindex!$A:$Z,Info!$O$7,FALSE)</f>
        <v>Telefon:</v>
      </c>
      <c r="C14" s="585"/>
      <c r="D14" s="586"/>
      <c r="E14" s="587"/>
      <c r="F14" s="70"/>
      <c r="G14" s="70"/>
      <c r="H14" s="70"/>
      <c r="I14" s="70"/>
      <c r="J14" s="70"/>
      <c r="K14" s="70"/>
      <c r="L14" s="70"/>
      <c r="M14" s="70"/>
      <c r="N14" s="70"/>
      <c r="O14" s="71"/>
      <c r="P14" s="71"/>
      <c r="Q14" s="93"/>
      <c r="R14" s="71"/>
      <c r="S14" s="71"/>
      <c r="T14" s="71"/>
      <c r="U14" s="71"/>
      <c r="V14" s="71"/>
      <c r="W14" s="71"/>
      <c r="X14" s="71"/>
      <c r="Y14" s="71"/>
      <c r="Z14" s="71"/>
      <c r="AA14" s="71"/>
      <c r="AB14" s="71"/>
      <c r="AE14" s="4"/>
    </row>
    <row r="15" spans="1:31"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1"/>
      <c r="P15" s="71"/>
      <c r="Q15" s="93"/>
      <c r="R15" s="71"/>
      <c r="S15" s="71"/>
      <c r="T15" s="71"/>
      <c r="U15" s="71"/>
      <c r="V15" s="71"/>
      <c r="W15" s="71"/>
      <c r="X15" s="71"/>
      <c r="Y15" s="71"/>
      <c r="Z15" s="71"/>
      <c r="AA15" s="71"/>
      <c r="AB15" s="71"/>
      <c r="AE15" s="4"/>
    </row>
    <row r="16" spans="1:31" ht="15" customHeight="1">
      <c r="A16" s="70"/>
      <c r="B16" s="70"/>
      <c r="C16" s="70"/>
      <c r="D16" s="70"/>
      <c r="E16" s="70"/>
      <c r="F16" s="70"/>
      <c r="G16" s="70" t="str">
        <f>VLOOKUP(25,Sprachindex!$A:$Z,Info!$O$7,FALSE)</f>
        <v>01 P.10 Braun</v>
      </c>
      <c r="H16" s="70"/>
      <c r="I16" s="70"/>
      <c r="J16" s="70" t="str">
        <f>VLOOKUP(42,Sprachindex!$A:$Z,Info!$O$7,FALSE)</f>
        <v>10 P.10 Prefaweiß</v>
      </c>
      <c r="K16" s="69"/>
      <c r="L16" s="70"/>
      <c r="M16" s="70"/>
      <c r="N16" s="70"/>
      <c r="O16" s="71"/>
      <c r="P16" s="71"/>
      <c r="Q16" s="93"/>
      <c r="R16" s="71"/>
      <c r="S16" s="71"/>
      <c r="T16" s="71"/>
      <c r="U16" s="71"/>
      <c r="V16" s="71"/>
      <c r="W16" s="71"/>
      <c r="X16" s="71"/>
      <c r="Y16" s="71"/>
      <c r="Z16" s="71"/>
      <c r="AA16" s="71"/>
      <c r="AB16" s="71"/>
    </row>
    <row r="17" spans="1:57" ht="15" customHeight="1">
      <c r="A17" s="88" t="str">
        <f>VLOOKUP(580,Sprachindex!$A:$Z,Info!$O$7,FALSE)</f>
        <v>Lieferadresse:</v>
      </c>
      <c r="B17" s="70"/>
      <c r="C17" s="70"/>
      <c r="D17" s="70"/>
      <c r="E17" s="70"/>
      <c r="F17" s="70"/>
      <c r="G17" s="70" t="str">
        <f>VLOOKUP(27,Sprachindex!$A:$Z,Info!$O$7,FALSE)</f>
        <v>02 P.10 Anthrazit</v>
      </c>
      <c r="H17" s="70"/>
      <c r="I17" s="70"/>
      <c r="J17" s="70" t="str">
        <f>VLOOKUP(51,Sprachindex!$A:$Z,Info!$O$7,FALSE)</f>
        <v>11 P.10 Nussbraun</v>
      </c>
      <c r="K17" s="105"/>
      <c r="L17" s="70"/>
      <c r="M17" s="70"/>
      <c r="N17" s="70"/>
      <c r="O17" s="71"/>
      <c r="P17" s="71"/>
      <c r="Q17" s="93"/>
      <c r="R17" s="71"/>
      <c r="S17" s="71"/>
      <c r="T17" s="71"/>
      <c r="U17" s="71"/>
      <c r="V17" s="71"/>
      <c r="W17" s="71"/>
      <c r="X17" s="71"/>
      <c r="Y17" s="71"/>
      <c r="Z17" s="71"/>
      <c r="AA17" s="71"/>
      <c r="AB17" s="71"/>
      <c r="AD17" s="10"/>
    </row>
    <row r="18" spans="1:57" ht="15" customHeight="1">
      <c r="A18" s="70"/>
      <c r="B18" s="74" t="str">
        <f>VLOOKUP(622,Sprachindex!$A:$Z,Info!$O$7,FALSE)</f>
        <v>Name:</v>
      </c>
      <c r="C18" s="585"/>
      <c r="D18" s="586"/>
      <c r="E18" s="587"/>
      <c r="F18" s="70"/>
      <c r="G18" s="70" t="str">
        <f>VLOOKUP(28,Sprachindex!$A:$Z,Info!$O$7,FALSE)</f>
        <v>03 P.10 Schwarz</v>
      </c>
      <c r="H18" s="70"/>
      <c r="I18" s="70"/>
      <c r="J18" s="70" t="str">
        <f>VLOOKUP(63,Sprachindex!$A:$Z,Info!$O$7,FALSE)</f>
        <v>19 P.10 Dunkelgrau</v>
      </c>
      <c r="K18" s="96"/>
      <c r="L18" s="70"/>
      <c r="M18" s="70"/>
      <c r="N18" s="70"/>
      <c r="O18" s="95"/>
      <c r="P18" s="95"/>
      <c r="Q18" s="89"/>
      <c r="R18" s="95"/>
      <c r="S18" s="95"/>
      <c r="T18" s="95"/>
      <c r="U18" s="95"/>
      <c r="V18" s="95"/>
      <c r="W18" s="95"/>
      <c r="X18" s="95"/>
      <c r="Y18" s="95"/>
      <c r="Z18" s="95"/>
      <c r="AA18" s="95"/>
      <c r="AB18" s="95"/>
      <c r="AE18" s="4"/>
    </row>
    <row r="19" spans="1:57" ht="15" customHeight="1">
      <c r="A19" s="70"/>
      <c r="B19" s="74" t="str">
        <f>VLOOKUP(540,Sprachindex!$A:$Z,Info!$O$7,FALSE)</f>
        <v>Kommission:</v>
      </c>
      <c r="C19" s="585"/>
      <c r="D19" s="586"/>
      <c r="E19" s="587"/>
      <c r="F19" s="70"/>
      <c r="G19" s="70" t="str">
        <f>VLOOKUP(37,Sprachindex!$A:$Z,Info!$O$7,FALSE)</f>
        <v>07 P.10 Hellgrau</v>
      </c>
      <c r="H19" s="70"/>
      <c r="I19" s="69"/>
      <c r="J19" s="70"/>
      <c r="K19" s="70"/>
      <c r="L19" s="105"/>
      <c r="M19" s="70"/>
      <c r="N19" s="70"/>
      <c r="O19" s="71"/>
      <c r="P19" s="71"/>
      <c r="Q19" s="93"/>
      <c r="R19" s="71"/>
      <c r="S19" s="71"/>
      <c r="T19" s="71"/>
      <c r="U19" s="71"/>
      <c r="V19" s="71"/>
      <c r="W19" s="71"/>
      <c r="X19" s="71"/>
      <c r="Y19" s="71"/>
      <c r="Z19" s="71"/>
      <c r="AA19" s="71"/>
      <c r="AB19" s="71"/>
      <c r="AE19" s="8"/>
    </row>
    <row r="20" spans="1:57" ht="15" customHeight="1">
      <c r="A20" s="70"/>
      <c r="B20" s="74" t="str">
        <f>VLOOKUP(884,Sprachindex!$A:$Z,Info!$O$7,FALSE)</f>
        <v>Straße:</v>
      </c>
      <c r="C20" s="585"/>
      <c r="D20" s="586"/>
      <c r="E20" s="587"/>
      <c r="H20" s="70"/>
      <c r="I20" s="69"/>
      <c r="J20" s="70"/>
      <c r="K20" s="70"/>
      <c r="L20" s="70"/>
      <c r="M20" s="70"/>
      <c r="N20" s="70"/>
      <c r="O20" s="71"/>
      <c r="P20" s="71"/>
      <c r="Q20" s="93"/>
      <c r="R20" s="71"/>
      <c r="S20" s="71"/>
      <c r="T20" s="71"/>
      <c r="U20" s="71"/>
      <c r="V20" s="71"/>
      <c r="W20" s="71"/>
      <c r="X20" s="71"/>
      <c r="Y20" s="71"/>
      <c r="Z20" s="71"/>
      <c r="AA20" s="71"/>
      <c r="AB20" s="71"/>
      <c r="AE20" s="4"/>
    </row>
    <row r="21" spans="1:57" ht="15" customHeight="1">
      <c r="A21" s="70"/>
      <c r="B21" s="74" t="str">
        <f>VLOOKUP(641,Sprachindex!$A:$Z,Info!$O$7,FALSE)</f>
        <v>Ort:</v>
      </c>
      <c r="C21" s="585"/>
      <c r="D21" s="586"/>
      <c r="E21" s="587"/>
      <c r="F21" s="70"/>
      <c r="G21" s="70"/>
      <c r="H21" s="70"/>
      <c r="I21" s="70"/>
      <c r="J21" s="70"/>
      <c r="K21" s="70"/>
      <c r="L21" s="70"/>
      <c r="M21" s="70"/>
      <c r="N21" s="70"/>
      <c r="O21" s="99">
        <v>0</v>
      </c>
      <c r="P21" s="99"/>
      <c r="Q21" s="73"/>
      <c r="R21" s="99"/>
      <c r="S21" s="99"/>
      <c r="T21" s="99"/>
      <c r="U21" s="99"/>
      <c r="V21" s="99"/>
      <c r="W21" s="99"/>
      <c r="X21" s="99"/>
      <c r="Y21" s="99"/>
      <c r="Z21" s="99"/>
      <c r="AA21" s="99"/>
      <c r="AB21" s="99"/>
      <c r="AE21" s="4"/>
    </row>
    <row r="22" spans="1:57" ht="15" customHeight="1">
      <c r="A22" s="70"/>
      <c r="B22" s="74"/>
      <c r="C22" s="70"/>
      <c r="D22" s="70"/>
      <c r="E22" s="70"/>
      <c r="F22" s="70"/>
      <c r="G22" s="70"/>
      <c r="H22" s="70"/>
      <c r="I22" s="70"/>
      <c r="J22" s="70"/>
      <c r="K22" s="70"/>
      <c r="L22" s="70"/>
      <c r="M22" s="70"/>
      <c r="N22" s="70"/>
      <c r="O22" s="99"/>
      <c r="P22" s="99"/>
      <c r="Q22" s="73"/>
      <c r="R22" s="99"/>
      <c r="S22" s="99"/>
      <c r="T22" s="99"/>
      <c r="U22" s="99"/>
      <c r="V22" s="99"/>
      <c r="W22" s="99"/>
      <c r="X22" s="99"/>
      <c r="Y22" s="99"/>
      <c r="Z22" s="99"/>
      <c r="AA22" s="99"/>
      <c r="AB22" s="99"/>
      <c r="AE22" s="4"/>
    </row>
    <row r="23" spans="1:57" s="5" customFormat="1"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1"/>
      <c r="P23" s="71"/>
      <c r="Q23" s="93"/>
      <c r="R23" s="71"/>
      <c r="S23" s="71"/>
      <c r="T23" s="71"/>
      <c r="U23" s="71"/>
      <c r="V23" s="71"/>
      <c r="W23" s="71"/>
      <c r="X23" s="71"/>
      <c r="Y23" s="71"/>
      <c r="Z23" s="71"/>
      <c r="AA23" s="71"/>
      <c r="AB23" s="71"/>
      <c r="AC23" s="54"/>
      <c r="AD23" s="54"/>
      <c r="AE23" s="14"/>
    </row>
    <row r="24" spans="1:57" s="5" customFormat="1" ht="15" customHeight="1">
      <c r="A24" s="1"/>
      <c r="B24" s="584" t="str">
        <f>VLOOKUP(1430,Sprachindex!$A:$Z,Info!$O$7,FALSE)</f>
        <v>Beschreibung</v>
      </c>
      <c r="C24" s="585"/>
      <c r="D24" s="586"/>
      <c r="E24" s="587"/>
      <c r="F24" s="70"/>
      <c r="G24" s="88"/>
      <c r="H24" s="74" t="str">
        <f>VLOOKUP(1429,Sprachindex!$A:$Z,Info!$O$7,FALSE)</f>
        <v>Bearbeiter:</v>
      </c>
      <c r="I24" s="450"/>
      <c r="J24" s="70"/>
      <c r="K24" s="70"/>
      <c r="L24" s="70"/>
      <c r="M24" s="70"/>
      <c r="N24" s="70"/>
      <c r="O24" s="71"/>
      <c r="P24" s="71"/>
      <c r="Q24" s="93"/>
      <c r="R24" s="71"/>
      <c r="S24" s="71"/>
      <c r="T24" s="71"/>
      <c r="U24" s="71"/>
      <c r="V24" s="71"/>
      <c r="W24" s="71"/>
      <c r="X24" s="71"/>
      <c r="Y24" s="71"/>
      <c r="Z24" s="71"/>
      <c r="AA24" s="71"/>
      <c r="AB24" s="71"/>
      <c r="AC24" s="54"/>
      <c r="AD24" s="54"/>
      <c r="AE24" s="14"/>
    </row>
    <row r="25" spans="1:57" s="5" customFormat="1" ht="15" customHeight="1">
      <c r="A25" s="1"/>
      <c r="B25" s="584"/>
      <c r="C25" s="585"/>
      <c r="D25" s="586"/>
      <c r="E25" s="587"/>
      <c r="F25" s="70"/>
      <c r="G25" s="88"/>
      <c r="H25" s="74" t="str">
        <f>VLOOKUP(2243,Sprachindex!$A:$Z,Info!$O$7,FALSE)</f>
        <v>Projekt-ID:</v>
      </c>
      <c r="I25" s="450"/>
      <c r="J25" s="70"/>
      <c r="K25" s="70"/>
      <c r="L25" s="70"/>
      <c r="M25" s="70"/>
      <c r="N25" s="70"/>
      <c r="O25" s="71"/>
      <c r="P25" s="71"/>
      <c r="Q25" s="93"/>
      <c r="R25" s="71"/>
      <c r="S25" s="71"/>
      <c r="T25" s="71"/>
      <c r="U25" s="71"/>
      <c r="V25" s="71"/>
      <c r="W25" s="71"/>
      <c r="X25" s="71"/>
      <c r="Y25" s="71"/>
      <c r="Z25" s="71"/>
      <c r="AA25" s="71"/>
      <c r="AB25" s="71"/>
      <c r="AC25" s="54"/>
      <c r="AD25" s="54"/>
      <c r="AE25" s="14"/>
    </row>
    <row r="26" spans="1:57" s="5" customFormat="1" ht="15" customHeight="1">
      <c r="A26" s="1"/>
      <c r="B26" s="584"/>
      <c r="C26" s="585"/>
      <c r="D26" s="586"/>
      <c r="E26" s="587"/>
      <c r="F26" s="70"/>
      <c r="G26" s="88"/>
      <c r="H26" s="74" t="str">
        <f>VLOOKUP(286,Sprachindex!$A:$Z,Info!$O$7,FALSE)</f>
        <v>Datum:</v>
      </c>
      <c r="I26" s="550">
        <f ca="1">TODAY()</f>
        <v>45580</v>
      </c>
      <c r="J26" s="70"/>
      <c r="K26" s="70"/>
      <c r="L26" s="70"/>
      <c r="M26" s="70"/>
      <c r="N26" s="70"/>
      <c r="O26" s="71"/>
      <c r="P26" s="71"/>
      <c r="Q26" s="93"/>
      <c r="R26" s="71"/>
      <c r="S26" s="71"/>
      <c r="T26" s="71"/>
      <c r="U26" s="71"/>
      <c r="V26" s="71"/>
      <c r="W26" s="71"/>
      <c r="X26" s="71"/>
      <c r="Y26" s="71"/>
      <c r="Z26" s="71"/>
      <c r="AA26" s="71"/>
      <c r="AB26" s="71"/>
      <c r="AC26" s="54"/>
      <c r="AD26" s="54"/>
      <c r="AE26" s="14"/>
    </row>
    <row r="27" spans="1:57" s="5" customFormat="1" ht="15" customHeight="1">
      <c r="A27" s="1"/>
      <c r="B27" s="584"/>
      <c r="C27" s="585"/>
      <c r="D27" s="586"/>
      <c r="E27" s="587"/>
      <c r="F27" s="70"/>
      <c r="L27" s="70"/>
      <c r="M27" s="70"/>
      <c r="N27" s="70"/>
      <c r="O27" s="71"/>
      <c r="P27" s="71"/>
      <c r="Q27" s="93"/>
      <c r="R27" s="71"/>
      <c r="S27" s="71"/>
      <c r="T27" s="71"/>
      <c r="U27" s="71"/>
      <c r="V27" s="71"/>
      <c r="W27" s="71"/>
      <c r="X27" s="71"/>
      <c r="Y27" s="71"/>
      <c r="Z27" s="71"/>
      <c r="AA27" s="71"/>
      <c r="AB27" s="71"/>
      <c r="AC27" s="54"/>
      <c r="AD27" s="54"/>
      <c r="AE27" s="14"/>
    </row>
    <row r="28" spans="1:57" ht="15" customHeight="1">
      <c r="A28" s="70"/>
      <c r="B28" s="74"/>
      <c r="C28" s="70"/>
      <c r="D28" s="70"/>
      <c r="E28" s="70"/>
      <c r="F28" s="70"/>
      <c r="G28" s="70"/>
      <c r="H28" s="70"/>
      <c r="I28" s="70"/>
      <c r="J28" s="70"/>
      <c r="K28" s="70"/>
      <c r="L28" s="70"/>
      <c r="M28" s="70"/>
      <c r="N28" s="70"/>
      <c r="O28" s="71"/>
      <c r="P28" s="71"/>
      <c r="Q28" s="93"/>
      <c r="R28" s="71"/>
      <c r="S28" s="71"/>
      <c r="T28" s="71"/>
      <c r="U28" s="71"/>
      <c r="V28" s="71"/>
      <c r="W28" s="71"/>
      <c r="X28" s="71"/>
      <c r="Y28" s="71"/>
      <c r="Z28" s="71"/>
      <c r="AA28" s="71"/>
      <c r="AB28" s="71"/>
      <c r="AD28" s="8"/>
      <c r="AE28" s="4"/>
    </row>
    <row r="29" spans="1:57" ht="15" customHeight="1" thickBot="1">
      <c r="A29" s="100" t="str">
        <f>VLOOKUP(392,Sprachindex!$A:$Z,Info!$O$7,FALSE)</f>
        <v>Filter:</v>
      </c>
      <c r="B29" s="598"/>
      <c r="C29" s="598"/>
      <c r="D29" s="598"/>
      <c r="E29" s="598"/>
      <c r="F29" s="70"/>
      <c r="G29" s="70"/>
      <c r="H29" s="70"/>
      <c r="I29" s="70"/>
      <c r="J29" s="70"/>
      <c r="K29" s="70"/>
      <c r="L29" s="70"/>
      <c r="M29" s="70"/>
      <c r="N29" s="70"/>
      <c r="O29" s="71"/>
      <c r="P29" s="71"/>
      <c r="Q29" s="93"/>
      <c r="R29" s="71"/>
      <c r="S29" s="71"/>
      <c r="T29" s="71"/>
      <c r="U29" s="71"/>
      <c r="V29" s="71"/>
      <c r="W29" s="71"/>
      <c r="X29" s="71"/>
      <c r="Y29" s="71"/>
      <c r="Z29" s="71"/>
      <c r="AA29" s="71"/>
      <c r="AB29" s="71"/>
      <c r="AD29" s="591" t="s">
        <v>25</v>
      </c>
      <c r="AE29" s="591"/>
      <c r="AF29" s="591" t="s">
        <v>421</v>
      </c>
      <c r="AG29" s="591"/>
      <c r="AO29" s="56" t="s">
        <v>1547</v>
      </c>
      <c r="AW29" s="56" t="s">
        <v>1548</v>
      </c>
      <c r="BE29" s="56" t="s">
        <v>1549</v>
      </c>
    </row>
    <row r="30" spans="1:57" ht="35.1" customHeight="1" thickBot="1">
      <c r="A30" s="435" t="str">
        <f>VLOOKUP(598,Sprachindex!$A:$Z,Info!$O$7,FALSE)</f>
        <v>Menge</v>
      </c>
      <c r="B30" s="77" t="str">
        <f>VLOOKUP(332,Sprachindex!$A:$Z,Info!$O$7,FALSE)</f>
        <v>Einheit</v>
      </c>
      <c r="C30" s="77" t="str">
        <f>VLOOKUP(136,Sprachindex!$A:$Z,Info!$O$7,FALSE)</f>
        <v>Abbildung</v>
      </c>
      <c r="D30" s="77" t="str">
        <f>VLOOKUP(177,Sprachindex!$A:$Z,Info!$O$7,FALSE)</f>
        <v>Artikel-Nr.</v>
      </c>
      <c r="E30" s="607" t="str">
        <f>VLOOKUP(234,Sprachindex!$A:$Z,Info!$O$7,FALSE)</f>
        <v>Bezeichnung</v>
      </c>
      <c r="F30" s="608"/>
      <c r="G30" s="608"/>
      <c r="H30" s="608"/>
      <c r="I30" s="608"/>
      <c r="J30" s="608"/>
      <c r="K30" s="609"/>
      <c r="L30" s="77" t="str">
        <f>VLOOKUP(903,Sprachindex!$A:$Z,Info!$O$7,FALSE)</f>
        <v>Total</v>
      </c>
      <c r="M30" s="438" t="str">
        <f>VLOOKUP(332,Sprachindex!$A:$Z,Info!$O$7,FALSE)</f>
        <v>Einheit</v>
      </c>
      <c r="N30" s="436" t="str">
        <f>VLOOKUP(377,Sprachindex!$A:$Z,Info!$O$7,FALSE)</f>
        <v>Eventual</v>
      </c>
      <c r="O30" s="201" t="str">
        <f>VLOOKUP(1786,Sprachindex!$A:$Z,Info!$O$7,FALSE)</f>
        <v>Preis</v>
      </c>
      <c r="R30" s="78" t="s">
        <v>30</v>
      </c>
      <c r="S30" s="78" t="s">
        <v>30</v>
      </c>
      <c r="T30" s="195"/>
      <c r="U30" s="195"/>
      <c r="V30" s="195"/>
      <c r="W30" s="195"/>
      <c r="X30" s="195"/>
      <c r="Y30" s="195"/>
      <c r="Z30" s="195"/>
      <c r="AA30" s="195"/>
      <c r="AB30" s="71"/>
      <c r="AC30" s="1"/>
      <c r="AD30" s="160" t="s">
        <v>31</v>
      </c>
      <c r="AE30" s="160" t="s">
        <v>32</v>
      </c>
      <c r="AF30" s="160" t="s">
        <v>31</v>
      </c>
      <c r="AG30" s="160" t="s">
        <v>32</v>
      </c>
      <c r="AH30" s="57" t="s">
        <v>1550</v>
      </c>
      <c r="AI30" s="57" t="s">
        <v>109</v>
      </c>
      <c r="AJ30" s="57" t="s">
        <v>1551</v>
      </c>
      <c r="AK30" s="57" t="s">
        <v>45</v>
      </c>
      <c r="AL30" s="57" t="s">
        <v>1552</v>
      </c>
      <c r="AM30" s="177" t="s">
        <v>1553</v>
      </c>
      <c r="AN30" s="177" t="s">
        <v>1484</v>
      </c>
      <c r="AP30" s="57" t="s">
        <v>1550</v>
      </c>
      <c r="AQ30" s="57" t="s">
        <v>109</v>
      </c>
      <c r="AR30" s="57" t="s">
        <v>1551</v>
      </c>
      <c r="AS30" s="57" t="s">
        <v>45</v>
      </c>
      <c r="AT30" s="57" t="s">
        <v>1552</v>
      </c>
      <c r="AU30" s="177" t="s">
        <v>1553</v>
      </c>
      <c r="AV30" s="177" t="s">
        <v>1484</v>
      </c>
      <c r="AX30" s="57" t="s">
        <v>1550</v>
      </c>
      <c r="AY30" s="57" t="s">
        <v>109</v>
      </c>
      <c r="AZ30" s="57" t="s">
        <v>1551</v>
      </c>
      <c r="BA30" s="57" t="s">
        <v>45</v>
      </c>
      <c r="BB30" s="57" t="s">
        <v>1552</v>
      </c>
      <c r="BC30" s="177" t="s">
        <v>1553</v>
      </c>
      <c r="BD30" s="177" t="s">
        <v>1484</v>
      </c>
    </row>
    <row r="31" spans="1:57" ht="32.1" customHeight="1">
      <c r="A31" s="97"/>
      <c r="B31" s="77" t="str">
        <f>VLOOKUP(1512,Sprachindex!$A:$Z,Info!$O$7,FALSE)</f>
        <v>lfm</v>
      </c>
      <c r="C31" s="103"/>
      <c r="D31" s="76">
        <f>IF(J31=Formeln_RI_P.10!B135,AO31,IF(J31=Formeln_RI_P.10!B136,AW31,IF(J31=Formeln_RI_P.10!B137,BE31,0)))</f>
        <v>0</v>
      </c>
      <c r="E31" s="600" t="str">
        <f>VLOOKUP(1881,Sprachindex!$A:$Z,Info!$O$7,FALSE)</f>
        <v>Quadratrohr 80 mm</v>
      </c>
      <c r="F31" s="601"/>
      <c r="G31" s="601"/>
      <c r="H31" s="661" t="str">
        <f>VLOOKUP(739,Sprachindex!$A:$Z,Info!$O$7,FALSE)</f>
        <v>Rohrlänge wählen:</v>
      </c>
      <c r="I31" s="662"/>
      <c r="J31" s="663"/>
      <c r="K31" s="664"/>
      <c r="L31" s="77" t="str">
        <f>IF(OR(A31="",AF31="",AG31="")," ",IF($O$11=1,AD31,IF($O$11=2,AE31,0)))</f>
        <v xml:space="preserve"> </v>
      </c>
      <c r="M31" s="432" t="str">
        <f>B31</f>
        <v>lfm</v>
      </c>
      <c r="N31" s="437"/>
      <c r="O31" s="202" t="str">
        <f>IF(ISNUMBER(A31), $L31*Q31, "")</f>
        <v/>
      </c>
      <c r="Q31" s="135" t="str">
        <f>IF(J31=W31,R31,IF(J31=Y31,S31,IF(J31=AA31,T31," ")))</f>
        <v xml:space="preserve"> </v>
      </c>
      <c r="R31" s="200">
        <v>64.790000000000006</v>
      </c>
      <c r="S31" s="200">
        <v>48.27</v>
      </c>
      <c r="T31" s="195">
        <v>43.25</v>
      </c>
      <c r="U31" s="195"/>
      <c r="V31" s="195"/>
      <c r="W31" s="135" t="s">
        <v>1555</v>
      </c>
      <c r="Y31" s="195" t="s">
        <v>1556</v>
      </c>
      <c r="AA31" s="195" t="s">
        <v>1554</v>
      </c>
      <c r="AC31" s="195"/>
      <c r="AD31" s="149" t="e">
        <f t="shared" ref="AD31:AD57" si="0">ROUNDUP($A31/AF31,0)*AF31</f>
        <v>#VALUE!</v>
      </c>
      <c r="AE31" s="149" t="e">
        <f>ROUNDUP($A31/AG$31,0)*AG$31</f>
        <v>#VALUE!</v>
      </c>
      <c r="AF31" s="149" t="str">
        <f>IF($J$31=Formeln!$B$142,"",IF($J$31=Formeln!$B$143,0.6,IF($J$31=Formeln!$B$144,1.5,IF($J$31=Formeln!$B$145,3,""))))</f>
        <v/>
      </c>
      <c r="AG31" s="149" t="str">
        <f>IF($J$31=Formeln!$B$142,"",IF($J$31=Formeln!$B$143,0.6,IF($J$31=Formeln!$B$144,1.5,IF($J$31=Formeln!$B$145,3,""))))</f>
        <v/>
      </c>
      <c r="AH31" s="158" t="s">
        <v>1557</v>
      </c>
      <c r="AI31" s="58" t="s">
        <v>1558</v>
      </c>
      <c r="AJ31" s="58"/>
      <c r="AK31" s="58" t="s">
        <v>1559</v>
      </c>
      <c r="AL31" s="58"/>
      <c r="AM31" s="58"/>
      <c r="AN31" s="58"/>
      <c r="AO31" s="60">
        <f>IF($O$21=1,AH31,IF($O$21=2,AI31,IF($O$21=3,AJ31,IF($O$21=4,AK31,IF($O$21=5,AL31,IF($O$21=6,AM31,IF($O$21=7,AN31,0)))))))</f>
        <v>0</v>
      </c>
      <c r="AP31" s="58" t="s">
        <v>1560</v>
      </c>
      <c r="AQ31" s="58" t="s">
        <v>1561</v>
      </c>
      <c r="AR31" s="58"/>
      <c r="AS31" s="58" t="s">
        <v>1562</v>
      </c>
      <c r="AT31" s="58"/>
      <c r="AU31" s="58"/>
      <c r="AV31" s="58"/>
      <c r="AW31" s="60">
        <f>IF($O$21=1,AP31,IF($O$21=2,AQ31,IF($O$21=3,AR31,IF($O$21=4,AS31,IF($O$21=5,AT31,IF($O$21=6,AU31,IF($O$21=7,AV31,0)))))))</f>
        <v>0</v>
      </c>
      <c r="AX31" s="58" t="s">
        <v>1563</v>
      </c>
      <c r="AY31" s="58" t="s">
        <v>1564</v>
      </c>
      <c r="AZ31" s="58"/>
      <c r="BA31" s="58" t="s">
        <v>1565</v>
      </c>
      <c r="BB31" s="58"/>
      <c r="BC31" s="58"/>
      <c r="BD31" s="58"/>
      <c r="BE31" s="60">
        <f>IF($O$21=1,AX31,IF($O$21=2,AY31,IF($O$21=3,AZ31,IF($O$21=4,BA31,IF($O$21=5,BB31,IF($O$21=6,BC31,IF($O$21=7,BD31,0)))))))</f>
        <v>0</v>
      </c>
    </row>
    <row r="32" spans="1:57" ht="32.1" customHeight="1">
      <c r="A32" s="98"/>
      <c r="B32" s="79" t="str">
        <f>VLOOKUP(1512,Sprachindex!$A:$Z,Info!$O$7,FALSE)</f>
        <v>lfm</v>
      </c>
      <c r="C32" s="78"/>
      <c r="D32" s="78">
        <f>IF(J32=Formeln_RI_P.10!B135,AO32,IF(J32=Formeln_RI_P.10!B136,AW32,IF(J32=Formeln_RI_P.10!B137,BE32,0)))</f>
        <v>0</v>
      </c>
      <c r="E32" s="561" t="str">
        <f>VLOOKUP(1882,Sprachindex!$A:$Z,Info!$O$7,FALSE)</f>
        <v>Quadratrohr 100 mm</v>
      </c>
      <c r="F32" s="562"/>
      <c r="G32" s="562"/>
      <c r="H32" s="665" t="str">
        <f>VLOOKUP(739,Sprachindex!$A:$Z,Info!$O$7,FALSE)</f>
        <v>Rohrlänge wählen:</v>
      </c>
      <c r="I32" s="666"/>
      <c r="J32" s="572"/>
      <c r="K32" s="574"/>
      <c r="L32" s="79" t="str">
        <f>IF(OR(A32="",AF32="",AG32="")," ",IF($O$11=1,AD32,IF($O$11=2,AE32,0)))</f>
        <v xml:space="preserve"> </v>
      </c>
      <c r="M32" s="433" t="str">
        <f>B32</f>
        <v>lfm</v>
      </c>
      <c r="N32" s="80"/>
      <c r="O32" s="202" t="str">
        <f>IF(ISNUMBER(A32), $L32*Q32, "")</f>
        <v/>
      </c>
      <c r="Q32" s="135" t="str">
        <f>IF(J32=W31,R32,IF(J32=Y31,S32,IF(J32=AA31,T32," ")))</f>
        <v xml:space="preserve"> </v>
      </c>
      <c r="R32" s="200">
        <v>76.34</v>
      </c>
      <c r="S32" s="195">
        <v>56.25</v>
      </c>
      <c r="T32" s="195">
        <v>53.03</v>
      </c>
      <c r="U32" s="195"/>
      <c r="V32" s="195"/>
      <c r="W32" s="195"/>
      <c r="X32" s="195"/>
      <c r="Y32" s="195"/>
      <c r="Z32" s="195"/>
      <c r="AA32" s="195"/>
      <c r="AB32" s="71"/>
      <c r="AC32" s="1"/>
      <c r="AD32" s="149" t="e">
        <f t="shared" si="0"/>
        <v>#VALUE!</v>
      </c>
      <c r="AE32" s="149" t="e">
        <f>ROUNDUP($A32/AG$32,0)*AG$32</f>
        <v>#VALUE!</v>
      </c>
      <c r="AF32" s="149" t="str">
        <f>IF($J$32=Formeln_RI_P.10!$B$134,"",IF($J$32=Formeln_RI_P.10!$B$135,0.6,IF($J$32=Formeln_RI_P.10!$B$136,1.5,IF($J$32=Formeln_RI_P.10!$B$137,3,""))))</f>
        <v/>
      </c>
      <c r="AG32" s="149" t="str">
        <f>IF($J$32=Formeln_RI_P.10!$B$134,"",IF($J$32=Formeln_RI_P.10!$B$135,0.6,IF($J$32=Formeln_RI_P.10!$B$136,1.5,IF($J$32=Formeln_RI_P.10!$B$137,3,""))))</f>
        <v/>
      </c>
      <c r="AH32" s="58" t="s">
        <v>1566</v>
      </c>
      <c r="AI32" s="58" t="s">
        <v>1567</v>
      </c>
      <c r="AJ32" s="58" t="s">
        <v>1568</v>
      </c>
      <c r="AK32" s="58" t="s">
        <v>1569</v>
      </c>
      <c r="AL32" s="58" t="s">
        <v>1570</v>
      </c>
      <c r="AM32" s="58" t="s">
        <v>1571</v>
      </c>
      <c r="AN32" s="58" t="s">
        <v>1572</v>
      </c>
      <c r="AO32" s="60">
        <f>IF($O$21=1,AH32,IF($O$21=2,AI32,IF($O$21=3,AJ32,IF($O$21=4,AK32,IF($O$21=5,AL32,IF($O$21=6,AM32,IF($O$21=7,AN32,0)))))))</f>
        <v>0</v>
      </c>
      <c r="AP32" s="58" t="s">
        <v>1573</v>
      </c>
      <c r="AQ32" s="58" t="s">
        <v>1574</v>
      </c>
      <c r="AR32" s="58" t="s">
        <v>1575</v>
      </c>
      <c r="AS32" s="58" t="s">
        <v>1576</v>
      </c>
      <c r="AT32" s="58" t="s">
        <v>1577</v>
      </c>
      <c r="AU32" s="58" t="s">
        <v>1578</v>
      </c>
      <c r="AV32" s="58" t="s">
        <v>1579</v>
      </c>
      <c r="AW32" s="60">
        <f>IF($O$21=1,AP32,IF($O$21=2,AQ32,IF($O$21=3,AR32,IF($O$21=4,AS32,IF($O$21=5,AT32,IF($O$21=6,AU32,IF($O$21=7,AV32,0)))))))</f>
        <v>0</v>
      </c>
      <c r="AX32" s="58" t="s">
        <v>1580</v>
      </c>
      <c r="AY32" s="58" t="s">
        <v>1581</v>
      </c>
      <c r="AZ32" s="58" t="s">
        <v>1582</v>
      </c>
      <c r="BA32" s="58" t="s">
        <v>1583</v>
      </c>
      <c r="BB32" s="58" t="s">
        <v>1584</v>
      </c>
      <c r="BC32" s="58" t="s">
        <v>1585</v>
      </c>
      <c r="BD32" s="58" t="s">
        <v>1586</v>
      </c>
      <c r="BE32" s="60">
        <f>IF($O$21=1,AX32,IF($O$21=2,AY32,IF($O$21=3,AZ32,IF($O$21=4,BA32,IF($O$21=5,BB32,IF($O$21=6,BC32,IF($O$21=7,BD32,0)))))))</f>
        <v>0</v>
      </c>
    </row>
    <row r="33" spans="1:53" ht="32.1" customHeight="1">
      <c r="A33" s="98"/>
      <c r="B33" s="79" t="str">
        <f>VLOOKUP(878,Sprachindex!$A:$Z,Info!$O$7,FALSE)</f>
        <v>Stk.</v>
      </c>
      <c r="C33" s="107"/>
      <c r="D33" s="78">
        <v>150050</v>
      </c>
      <c r="E33" s="667" t="str">
        <f>VLOOKUP(453,Sprachindex!$A:$Z,Info!$O$7,FALSE)</f>
        <v>Halteklemme</v>
      </c>
      <c r="F33" s="668"/>
      <c r="G33" s="668"/>
      <c r="H33" s="668"/>
      <c r="I33" s="668"/>
      <c r="J33" s="668"/>
      <c r="K33" s="669"/>
      <c r="L33" s="79" t="str">
        <f>IF(OR(A33="",AF33="",AG33="")," ",IF($O$11=1,AD33,IF($O$11=2,AE33,0)))</f>
        <v xml:space="preserve"> </v>
      </c>
      <c r="M33" s="433" t="str">
        <f t="shared" ref="M33:M64" si="1">B33</f>
        <v>Stk.</v>
      </c>
      <c r="N33" s="80"/>
      <c r="O33" s="202" t="str">
        <f t="shared" ref="O33:O43" si="2">IF(ISNUMBER(A33),$L33*R33, "")</f>
        <v/>
      </c>
      <c r="R33" s="200">
        <v>13.01</v>
      </c>
      <c r="S33" s="195"/>
      <c r="T33" s="195"/>
      <c r="U33" s="195"/>
      <c r="V33" s="195"/>
      <c r="W33" s="195"/>
      <c r="X33" s="195"/>
      <c r="Y33" s="195"/>
      <c r="Z33" s="195"/>
      <c r="AA33" s="195"/>
      <c r="AB33" s="71"/>
      <c r="AC33" s="1"/>
      <c r="AD33" s="149">
        <f t="shared" si="0"/>
        <v>0</v>
      </c>
      <c r="AE33" s="149">
        <f t="shared" ref="AE33:AE57" si="3">ROUNDUP($A33/AG33,0)*AG33</f>
        <v>0</v>
      </c>
      <c r="AF33" s="149">
        <v>1</v>
      </c>
      <c r="AG33" s="149">
        <v>1</v>
      </c>
      <c r="AH33"/>
    </row>
    <row r="34" spans="1:53" ht="32.1" customHeight="1">
      <c r="A34" s="98"/>
      <c r="B34" s="79" t="str">
        <f>VLOOKUP(878,Sprachindex!$A:$Z,Info!$O$7,FALSE)</f>
        <v>Stk.</v>
      </c>
      <c r="C34" s="107"/>
      <c r="D34" s="78">
        <v>150051</v>
      </c>
      <c r="E34" s="667" t="str">
        <f>VLOOKUP(240,Sprachindex!$A:$Z,Info!$O$7,FALSE)</f>
        <v>Blitzschutzklemme</v>
      </c>
      <c r="F34" s="668"/>
      <c r="G34" s="668"/>
      <c r="H34" s="668"/>
      <c r="I34" s="668"/>
      <c r="J34" s="668"/>
      <c r="K34" s="669"/>
      <c r="L34" s="79" t="str">
        <f t="shared" ref="L34:L56" si="4">IF(OR(A34="",AF34="",AG34="")," ",IF($O$11=1,AD34,IF($O$11=2,AE34,0)))</f>
        <v xml:space="preserve"> </v>
      </c>
      <c r="M34" s="433" t="str">
        <f t="shared" si="1"/>
        <v>Stk.</v>
      </c>
      <c r="N34" s="80"/>
      <c r="O34" s="202" t="str">
        <f t="shared" si="2"/>
        <v/>
      </c>
      <c r="R34" s="200">
        <v>27.75</v>
      </c>
      <c r="S34" s="195"/>
      <c r="T34" s="195"/>
      <c r="U34" s="195"/>
      <c r="V34" s="195"/>
      <c r="W34" s="195"/>
      <c r="X34" s="195"/>
      <c r="Y34" s="195"/>
      <c r="Z34" s="195"/>
      <c r="AA34" s="195"/>
      <c r="AB34" s="71"/>
      <c r="AC34" s="1"/>
      <c r="AD34" s="149">
        <f t="shared" si="0"/>
        <v>0</v>
      </c>
      <c r="AE34" s="149">
        <f t="shared" si="3"/>
        <v>0</v>
      </c>
      <c r="AF34" s="149">
        <v>1</v>
      </c>
      <c r="AG34" s="149">
        <v>1</v>
      </c>
      <c r="AH34" s="57" t="s">
        <v>1550</v>
      </c>
      <c r="AI34" s="57" t="s">
        <v>109</v>
      </c>
      <c r="AJ34" s="57" t="s">
        <v>1551</v>
      </c>
      <c r="AK34" s="57" t="s">
        <v>45</v>
      </c>
      <c r="AL34" s="57" t="s">
        <v>1552</v>
      </c>
      <c r="AM34" s="177" t="s">
        <v>1553</v>
      </c>
      <c r="AN34" s="177" t="s">
        <v>1484</v>
      </c>
      <c r="AQ34" s="57" t="s">
        <v>1550</v>
      </c>
      <c r="AR34" s="57" t="s">
        <v>109</v>
      </c>
      <c r="AS34" s="57" t="s">
        <v>1551</v>
      </c>
      <c r="AT34" s="57" t="s">
        <v>45</v>
      </c>
      <c r="AU34" s="57" t="s">
        <v>1552</v>
      </c>
      <c r="AV34" s="57" t="s">
        <v>1553</v>
      </c>
      <c r="AW34" s="57" t="s">
        <v>1484</v>
      </c>
    </row>
    <row r="35" spans="1:53" ht="32.1" customHeight="1">
      <c r="A35" s="98"/>
      <c r="B35" s="79" t="str">
        <f>VLOOKUP(878,Sprachindex!$A:$Z,Info!$O$7,FALSE)</f>
        <v>Stk.</v>
      </c>
      <c r="C35" s="107"/>
      <c r="D35" s="78">
        <f t="shared" ref="D35:D40" si="5">AO35</f>
        <v>0</v>
      </c>
      <c r="E35" s="561" t="str">
        <f>VLOOKUP(1883,Sprachindex!$A:$Z,Info!$O$7,FALSE)</f>
        <v>Quadratrohrbogen 80 mm, 72°, lang</v>
      </c>
      <c r="F35" s="562"/>
      <c r="G35" s="562"/>
      <c r="H35" s="562"/>
      <c r="I35" s="562"/>
      <c r="J35" s="562"/>
      <c r="K35" s="563"/>
      <c r="L35" s="79" t="str">
        <f t="shared" si="4"/>
        <v xml:space="preserve"> </v>
      </c>
      <c r="M35" s="433" t="str">
        <f t="shared" si="1"/>
        <v>Stk.</v>
      </c>
      <c r="N35" s="80"/>
      <c r="O35" s="202" t="str">
        <f t="shared" si="2"/>
        <v/>
      </c>
      <c r="R35" s="200">
        <v>84.8</v>
      </c>
      <c r="S35" s="195"/>
      <c r="T35" s="195"/>
      <c r="U35" s="195"/>
      <c r="V35" s="195"/>
      <c r="W35" s="195"/>
      <c r="X35" s="195"/>
      <c r="Y35" s="195"/>
      <c r="Z35" s="195"/>
      <c r="AA35" s="195"/>
      <c r="AB35" s="71"/>
      <c r="AC35" s="1"/>
      <c r="AD35" s="149">
        <f t="shared" si="0"/>
        <v>0</v>
      </c>
      <c r="AE35" s="149">
        <f t="shared" si="3"/>
        <v>0</v>
      </c>
      <c r="AF35" s="149">
        <v>1</v>
      </c>
      <c r="AG35" s="149">
        <v>1</v>
      </c>
      <c r="AH35" s="58" t="s">
        <v>1587</v>
      </c>
      <c r="AI35" s="58">
        <v>230900</v>
      </c>
      <c r="AJ35" s="58"/>
      <c r="AK35" s="58" t="s">
        <v>1588</v>
      </c>
      <c r="AL35" s="58"/>
      <c r="AM35" s="58"/>
      <c r="AN35" s="58"/>
      <c r="AO35" s="60">
        <f t="shared" ref="AO35" si="6">IF($O$21=1,AH35,IF($O$21=2,AI35,IF($O$21=3,AJ35,IF($O$21=4,AK35,IF($O$21=5,AL35,IF($O$21=6,AM35,IF($O$21=7,AN35,0)))))))</f>
        <v>0</v>
      </c>
    </row>
    <row r="36" spans="1:53" ht="32.1" customHeight="1">
      <c r="A36" s="98"/>
      <c r="B36" s="79" t="str">
        <f>VLOOKUP(878,Sprachindex!$A:$Z,Info!$O$7,FALSE)</f>
        <v>Stk.</v>
      </c>
      <c r="C36" s="107"/>
      <c r="D36" s="78">
        <f t="shared" si="5"/>
        <v>0</v>
      </c>
      <c r="E36" s="561" t="str">
        <f>VLOOKUP(1884,Sprachindex!$A:$Z,Info!$O$7,FALSE)</f>
        <v>Quadratrohrbogen 100 mm, 72°, lang</v>
      </c>
      <c r="F36" s="562"/>
      <c r="G36" s="562"/>
      <c r="H36" s="562"/>
      <c r="I36" s="562"/>
      <c r="J36" s="562"/>
      <c r="K36" s="563"/>
      <c r="L36" s="79" t="str">
        <f t="shared" si="4"/>
        <v xml:space="preserve"> </v>
      </c>
      <c r="M36" s="433" t="str">
        <f t="shared" si="1"/>
        <v>Stk.</v>
      </c>
      <c r="N36" s="80"/>
      <c r="O36" s="202" t="str">
        <f t="shared" si="2"/>
        <v/>
      </c>
      <c r="R36" s="200">
        <v>110</v>
      </c>
      <c r="S36" s="195"/>
      <c r="T36" s="195"/>
      <c r="U36" s="195"/>
      <c r="V36" s="195"/>
      <c r="W36" s="195"/>
      <c r="X36" s="195"/>
      <c r="Y36" s="195"/>
      <c r="Z36" s="195"/>
      <c r="AA36" s="195"/>
      <c r="AB36" s="71"/>
      <c r="AC36" s="1"/>
      <c r="AD36" s="149">
        <f t="shared" si="0"/>
        <v>0</v>
      </c>
      <c r="AE36" s="149">
        <f t="shared" si="3"/>
        <v>0</v>
      </c>
      <c r="AF36" s="149">
        <v>1</v>
      </c>
      <c r="AG36" s="149">
        <v>1</v>
      </c>
      <c r="AH36" s="58" t="s">
        <v>1589</v>
      </c>
      <c r="AI36" s="58" t="s">
        <v>1590</v>
      </c>
      <c r="AJ36" s="58" t="s">
        <v>1591</v>
      </c>
      <c r="AK36" s="58">
        <v>230202</v>
      </c>
      <c r="AL36" s="58" t="s">
        <v>1592</v>
      </c>
      <c r="AM36" s="58" t="s">
        <v>1593</v>
      </c>
      <c r="AN36" s="58" t="s">
        <v>1594</v>
      </c>
      <c r="AO36" s="60">
        <f t="shared" ref="AO36:AO42" si="7">IF($O$21=1,AH36,IF($O$21=2,AI36,IF($O$21=3,AJ36,IF($O$21=4,AK36,IF($O$21=5,AL36,IF($O$21=6,AM36,IF($O$21=7,AN36,0)))))))</f>
        <v>0</v>
      </c>
    </row>
    <row r="37" spans="1:53" ht="32.1" customHeight="1">
      <c r="A37" s="98"/>
      <c r="B37" s="79" t="str">
        <f>VLOOKUP(878,Sprachindex!$A:$Z,Info!$O$7,FALSE)</f>
        <v>Stk.</v>
      </c>
      <c r="C37" s="78"/>
      <c r="D37" s="78">
        <f t="shared" si="5"/>
        <v>0</v>
      </c>
      <c r="E37" s="561" t="str">
        <f>VLOOKUP(1885,Sprachindex!$A:$Z,Info!$O$7,FALSE)</f>
        <v>Quadratrohrbogen 80 mm, 72°, kurz</v>
      </c>
      <c r="F37" s="562"/>
      <c r="G37" s="562"/>
      <c r="H37" s="562"/>
      <c r="I37" s="562"/>
      <c r="J37" s="562"/>
      <c r="K37" s="563"/>
      <c r="L37" s="79" t="str">
        <f t="shared" si="4"/>
        <v xml:space="preserve"> </v>
      </c>
      <c r="M37" s="433" t="str">
        <f t="shared" si="1"/>
        <v>Stk.</v>
      </c>
      <c r="N37" s="80"/>
      <c r="O37" s="202" t="str">
        <f t="shared" si="2"/>
        <v/>
      </c>
      <c r="R37" s="200">
        <v>65.88</v>
      </c>
      <c r="S37" s="195"/>
      <c r="T37" s="195"/>
      <c r="U37" s="195"/>
      <c r="V37" s="195"/>
      <c r="W37" s="195"/>
      <c r="X37" s="195"/>
      <c r="Y37" s="195"/>
      <c r="Z37" s="195"/>
      <c r="AA37" s="195"/>
      <c r="AB37" s="71"/>
      <c r="AC37" s="1"/>
      <c r="AD37" s="149">
        <f t="shared" si="0"/>
        <v>0</v>
      </c>
      <c r="AE37" s="149">
        <f t="shared" si="3"/>
        <v>0</v>
      </c>
      <c r="AF37" s="149">
        <v>1</v>
      </c>
      <c r="AG37" s="149">
        <v>1</v>
      </c>
      <c r="AH37" s="58" t="s">
        <v>1595</v>
      </c>
      <c r="AI37" s="58" t="s">
        <v>1596</v>
      </c>
      <c r="AJ37" s="58"/>
      <c r="AK37" s="58" t="s">
        <v>1597</v>
      </c>
      <c r="AL37" s="58"/>
      <c r="AM37" s="58"/>
      <c r="AN37" s="58"/>
      <c r="AO37" s="60">
        <f t="shared" si="7"/>
        <v>0</v>
      </c>
    </row>
    <row r="38" spans="1:53" ht="32.1" customHeight="1">
      <c r="A38" s="98"/>
      <c r="B38" s="79" t="str">
        <f>VLOOKUP(878,Sprachindex!$A:$Z,Info!$O$7,FALSE)</f>
        <v>Stk.</v>
      </c>
      <c r="C38" s="78"/>
      <c r="D38" s="78">
        <f t="shared" si="5"/>
        <v>0</v>
      </c>
      <c r="E38" s="561" t="str">
        <f>VLOOKUP(1886,Sprachindex!$A:$Z,Info!$O$7,FALSE)</f>
        <v>Quadratrohrbogen 100 mm, 72°, kurz</v>
      </c>
      <c r="F38" s="562"/>
      <c r="G38" s="562"/>
      <c r="H38" s="562"/>
      <c r="I38" s="562"/>
      <c r="J38" s="562"/>
      <c r="K38" s="563"/>
      <c r="L38" s="79" t="str">
        <f t="shared" si="4"/>
        <v xml:space="preserve"> </v>
      </c>
      <c r="M38" s="433" t="str">
        <f t="shared" si="1"/>
        <v>Stk.</v>
      </c>
      <c r="N38" s="80"/>
      <c r="O38" s="202" t="str">
        <f t="shared" si="2"/>
        <v/>
      </c>
      <c r="R38" s="200">
        <v>75.98</v>
      </c>
      <c r="S38" s="195"/>
      <c r="T38" s="195"/>
      <c r="U38" s="195"/>
      <c r="V38" s="195"/>
      <c r="W38" s="195"/>
      <c r="X38" s="195"/>
      <c r="Y38" s="195"/>
      <c r="Z38" s="195"/>
      <c r="AA38" s="195"/>
      <c r="AB38" s="71"/>
      <c r="AC38" s="1"/>
      <c r="AD38" s="149">
        <f t="shared" si="0"/>
        <v>0</v>
      </c>
      <c r="AE38" s="149">
        <f t="shared" si="3"/>
        <v>0</v>
      </c>
      <c r="AF38" s="149">
        <v>1</v>
      </c>
      <c r="AG38" s="149">
        <v>1</v>
      </c>
      <c r="AH38" s="58" t="s">
        <v>1598</v>
      </c>
      <c r="AI38" s="58" t="s">
        <v>1599</v>
      </c>
      <c r="AJ38" s="58" t="s">
        <v>1600</v>
      </c>
      <c r="AK38" s="58">
        <v>230222</v>
      </c>
      <c r="AL38" s="58" t="s">
        <v>1601</v>
      </c>
      <c r="AM38" s="58" t="s">
        <v>1602</v>
      </c>
      <c r="AN38" s="58" t="s">
        <v>1603</v>
      </c>
      <c r="AO38" s="60">
        <f t="shared" si="7"/>
        <v>0</v>
      </c>
    </row>
    <row r="39" spans="1:53" ht="32.1" customHeight="1">
      <c r="A39" s="98"/>
      <c r="B39" s="79" t="str">
        <f>VLOOKUP(878,Sprachindex!$A:$Z,Info!$O$7,FALSE)</f>
        <v>Stk.</v>
      </c>
      <c r="C39" s="78"/>
      <c r="D39" s="78">
        <f t="shared" si="5"/>
        <v>0</v>
      </c>
      <c r="E39" s="561" t="str">
        <f>VLOOKUP(1887,Sprachindex!$A:$Z,Info!$O$7,FALSE)</f>
        <v>Quadratrohr 80 mm, Wasserfangkasten</v>
      </c>
      <c r="F39" s="562"/>
      <c r="G39" s="562"/>
      <c r="H39" s="562"/>
      <c r="I39" s="562"/>
      <c r="J39" s="562"/>
      <c r="K39" s="563"/>
      <c r="L39" s="79" t="str">
        <f t="shared" si="4"/>
        <v xml:space="preserve"> </v>
      </c>
      <c r="M39" s="433" t="str">
        <f t="shared" si="1"/>
        <v>Stk.</v>
      </c>
      <c r="N39" s="80"/>
      <c r="O39" s="202" t="str">
        <f t="shared" si="2"/>
        <v/>
      </c>
      <c r="R39" s="200">
        <v>233.9</v>
      </c>
      <c r="S39" s="195"/>
      <c r="T39" s="195"/>
      <c r="U39" s="195"/>
      <c r="V39" s="195"/>
      <c r="W39" s="195"/>
      <c r="X39" s="195"/>
      <c r="Y39" s="195"/>
      <c r="Z39" s="195"/>
      <c r="AA39" s="195"/>
      <c r="AB39" s="71"/>
      <c r="AC39" s="1"/>
      <c r="AD39" s="149">
        <f t="shared" si="0"/>
        <v>0</v>
      </c>
      <c r="AE39" s="149">
        <f t="shared" si="3"/>
        <v>0</v>
      </c>
      <c r="AF39" s="149">
        <v>1</v>
      </c>
      <c r="AG39" s="149">
        <v>1</v>
      </c>
      <c r="AH39" s="58" t="s">
        <v>1604</v>
      </c>
      <c r="AI39" s="58" t="s">
        <v>1605</v>
      </c>
      <c r="AJ39" s="58"/>
      <c r="AK39" s="58" t="s">
        <v>1606</v>
      </c>
      <c r="AL39" s="58"/>
      <c r="AM39" s="58"/>
      <c r="AN39" s="58"/>
      <c r="AO39" s="60">
        <f t="shared" si="7"/>
        <v>0</v>
      </c>
    </row>
    <row r="40" spans="1:53" ht="32.1" customHeight="1">
      <c r="A40" s="98"/>
      <c r="B40" s="79" t="str">
        <f>VLOOKUP(878,Sprachindex!$A:$Z,Info!$O$7,FALSE)</f>
        <v>Stk.</v>
      </c>
      <c r="C40" s="78"/>
      <c r="D40" s="78">
        <f t="shared" si="5"/>
        <v>0</v>
      </c>
      <c r="E40" s="561" t="str">
        <f>VLOOKUP(1888,Sprachindex!$A:$Z,Info!$O$7,FALSE)</f>
        <v>Quadratrohr 100 mm, Wasserfangkasten</v>
      </c>
      <c r="F40" s="562"/>
      <c r="G40" s="562"/>
      <c r="H40" s="562"/>
      <c r="I40" s="562"/>
      <c r="J40" s="562"/>
      <c r="K40" s="563"/>
      <c r="L40" s="79" t="str">
        <f t="shared" si="4"/>
        <v xml:space="preserve"> </v>
      </c>
      <c r="M40" s="433" t="str">
        <f t="shared" si="1"/>
        <v>Stk.</v>
      </c>
      <c r="N40" s="80"/>
      <c r="O40" s="202" t="str">
        <f t="shared" si="2"/>
        <v/>
      </c>
      <c r="R40" s="200">
        <v>234.9</v>
      </c>
      <c r="T40" s="195"/>
      <c r="U40" s="195"/>
      <c r="V40" s="195"/>
      <c r="W40" s="195"/>
      <c r="X40" s="195"/>
      <c r="Y40" s="195"/>
      <c r="Z40" s="195"/>
      <c r="AA40" s="195"/>
      <c r="AB40" s="71"/>
      <c r="AC40" s="1"/>
      <c r="AD40" s="149">
        <f t="shared" si="0"/>
        <v>0</v>
      </c>
      <c r="AE40" s="149">
        <f t="shared" si="3"/>
        <v>0</v>
      </c>
      <c r="AF40" s="149">
        <v>1</v>
      </c>
      <c r="AG40" s="149">
        <v>1</v>
      </c>
      <c r="AH40" s="58" t="s">
        <v>1607</v>
      </c>
      <c r="AI40" s="58" t="s">
        <v>1608</v>
      </c>
      <c r="AJ40" s="58" t="s">
        <v>1609</v>
      </c>
      <c r="AK40" s="58" t="s">
        <v>1610</v>
      </c>
      <c r="AL40" s="58" t="s">
        <v>1611</v>
      </c>
      <c r="AM40" s="58" t="s">
        <v>1612</v>
      </c>
      <c r="AN40" s="58" t="s">
        <v>1613</v>
      </c>
      <c r="AO40" s="60">
        <f t="shared" si="7"/>
        <v>0</v>
      </c>
      <c r="AY40" s="1" t="s">
        <v>1614</v>
      </c>
    </row>
    <row r="41" spans="1:53" ht="32.1" customHeight="1">
      <c r="A41" s="98"/>
      <c r="B41" s="79" t="str">
        <f>VLOOKUP(878,Sprachindex!$A:$Z,Info!$O$7,FALSE)</f>
        <v>Stk.</v>
      </c>
      <c r="C41" s="78"/>
      <c r="D41" s="78" t="str">
        <f>IF(I41=AY40,AO41,IF(I41=AY41,AX41,""))</f>
        <v/>
      </c>
      <c r="E41" s="561" t="str">
        <f>VLOOKUP(1893,Sprachindex!$A:$Z,Info!$O$7,FALSE)</f>
        <v>Quadratrohr 80 mm, Muffe</v>
      </c>
      <c r="F41" s="562"/>
      <c r="G41" s="562"/>
      <c r="H41" s="562"/>
      <c r="I41" s="572"/>
      <c r="J41" s="573"/>
      <c r="K41" s="573"/>
      <c r="L41" s="79" t="str">
        <f t="shared" si="4"/>
        <v xml:space="preserve"> </v>
      </c>
      <c r="M41" s="433" t="str">
        <f t="shared" si="1"/>
        <v>Stk.</v>
      </c>
      <c r="N41" s="80"/>
      <c r="O41" s="202" t="str">
        <f t="shared" si="2"/>
        <v/>
      </c>
      <c r="R41" s="200">
        <v>101.2</v>
      </c>
      <c r="S41" s="195"/>
      <c r="T41" s="195"/>
      <c r="U41" s="195"/>
      <c r="V41" s="195"/>
      <c r="W41" s="195"/>
      <c r="X41" s="195"/>
      <c r="Y41" s="195"/>
      <c r="Z41" s="195"/>
      <c r="AA41" s="195"/>
      <c r="AB41" s="71"/>
      <c r="AC41" s="1"/>
      <c r="AD41" s="149">
        <f t="shared" si="0"/>
        <v>0</v>
      </c>
      <c r="AE41" s="149">
        <f t="shared" si="3"/>
        <v>0</v>
      </c>
      <c r="AF41" s="149">
        <v>1</v>
      </c>
      <c r="AG41" s="149">
        <v>1</v>
      </c>
      <c r="AH41" s="58" t="s">
        <v>1615</v>
      </c>
      <c r="AI41" s="58" t="s">
        <v>1616</v>
      </c>
      <c r="AJ41" s="58"/>
      <c r="AK41" s="58" t="s">
        <v>1617</v>
      </c>
      <c r="AL41" s="58"/>
      <c r="AM41" s="58"/>
      <c r="AN41" s="58"/>
      <c r="AO41" s="60">
        <f t="shared" si="7"/>
        <v>0</v>
      </c>
      <c r="AP41" s="60" t="s">
        <v>1614</v>
      </c>
      <c r="AQ41" s="58">
        <v>230962</v>
      </c>
      <c r="AR41" s="58">
        <v>230960</v>
      </c>
      <c r="AS41" s="58"/>
      <c r="AT41" s="58">
        <v>230961</v>
      </c>
      <c r="AU41" s="58"/>
      <c r="AV41" s="58"/>
      <c r="AW41" s="58"/>
      <c r="AX41" s="60">
        <f t="shared" ref="AX41" si="8">IF($O$21=1,AQ41,IF($O$21=2,AR41,IF($O$21=3,AS41,IF($O$21=4,AT41,IF($O$21=5,AU41,IF($O$21=6,AV41,IF($O$21=7,AW41,0)))))))</f>
        <v>0</v>
      </c>
      <c r="AY41" s="60" t="s">
        <v>1618</v>
      </c>
    </row>
    <row r="42" spans="1:53" ht="32.1" customHeight="1">
      <c r="A42" s="98"/>
      <c r="B42" s="79" t="str">
        <f>VLOOKUP(878,Sprachindex!$A:$Z,Info!$O$7,FALSE)</f>
        <v>Stk.</v>
      </c>
      <c r="C42" s="78"/>
      <c r="D42" s="78">
        <f>IF(I42=Formeln_RI_P.10!A139,AO42,IF(I42=Formeln_RI_P.10!A140,AX42,0))</f>
        <v>0</v>
      </c>
      <c r="E42" s="561" t="str">
        <f>VLOOKUP(1894,Sprachindex!$A:$Z,Info!$O$7,FALSE)</f>
        <v>Quadratrohr 100 mm, Muffe</v>
      </c>
      <c r="F42" s="562"/>
      <c r="G42" s="562"/>
      <c r="H42" s="84" t="str">
        <f>VLOOKUP(306,Sprachindex!$A:$Z,Info!$O$7,FALSE)</f>
        <v>Dimension wählen:</v>
      </c>
      <c r="I42" s="572"/>
      <c r="J42" s="573"/>
      <c r="K42" s="573"/>
      <c r="L42" s="79" t="str">
        <f t="shared" si="4"/>
        <v xml:space="preserve"> </v>
      </c>
      <c r="M42" s="433" t="str">
        <f t="shared" si="1"/>
        <v>Stk.</v>
      </c>
      <c r="N42" s="80"/>
      <c r="O42" s="202" t="str">
        <f t="shared" si="2"/>
        <v/>
      </c>
      <c r="R42" s="200">
        <v>48.41</v>
      </c>
      <c r="S42" s="195"/>
      <c r="T42" s="195"/>
      <c r="U42" s="195"/>
      <c r="V42" s="195"/>
      <c r="W42" s="195"/>
      <c r="X42" s="195"/>
      <c r="Y42" s="195"/>
      <c r="Z42" s="195"/>
      <c r="AA42" s="195"/>
      <c r="AB42" s="71"/>
      <c r="AC42" s="1"/>
      <c r="AD42" s="149" t="e">
        <f t="shared" si="0"/>
        <v>#VALUE!</v>
      </c>
      <c r="AE42" s="149">
        <f t="shared" si="3"/>
        <v>0</v>
      </c>
      <c r="AF42" s="149" t="str">
        <f>IF(I42=Formeln_RI_P.10!$A$138,"",1)</f>
        <v/>
      </c>
      <c r="AG42" s="149">
        <v>1</v>
      </c>
      <c r="AH42" s="58" t="s">
        <v>1620</v>
      </c>
      <c r="AI42" s="58" t="s">
        <v>1621</v>
      </c>
      <c r="AJ42" s="58" t="s">
        <v>1622</v>
      </c>
      <c r="AK42" s="58">
        <v>230402</v>
      </c>
      <c r="AL42" s="58" t="s">
        <v>1623</v>
      </c>
      <c r="AM42" s="58" t="s">
        <v>1624</v>
      </c>
      <c r="AN42" s="58" t="s">
        <v>1625</v>
      </c>
      <c r="AO42" s="60">
        <f t="shared" si="7"/>
        <v>0</v>
      </c>
      <c r="AQ42" t="s">
        <v>1626</v>
      </c>
      <c r="AR42" t="s">
        <v>1627</v>
      </c>
      <c r="AS42" t="s">
        <v>1628</v>
      </c>
      <c r="AT42" t="s">
        <v>1629</v>
      </c>
      <c r="AU42" t="s">
        <v>1630</v>
      </c>
      <c r="AV42" t="s">
        <v>1631</v>
      </c>
      <c r="AW42" t="s">
        <v>1632</v>
      </c>
      <c r="AX42" s="60">
        <f>IF($O$21=1,AQ42,IF($O$21=2,AR42,IF($O$21=3,AS42,IF($O$21=4,AT42,IF($O$21=5,AU42,IF($O$21=6,AV42,IF($O$21=7,AW42,0)))))))</f>
        <v>0</v>
      </c>
      <c r="BA42" s="1" t="s">
        <v>1633</v>
      </c>
    </row>
    <row r="43" spans="1:53" ht="32.1" customHeight="1">
      <c r="A43" s="98"/>
      <c r="B43" s="79" t="str">
        <f>VLOOKUP(878,Sprachindex!$A:$Z,Info!$O$7,FALSE)</f>
        <v>Stk.</v>
      </c>
      <c r="C43" s="78"/>
      <c r="D43" s="78" t="str">
        <f>IF(J43=AP43,AO43,IF(J43=AY43,AX43,""))</f>
        <v/>
      </c>
      <c r="E43" s="561" t="str">
        <f>VLOOKUP(444,Sprachindex!$A:$Z,Info!$O$7,FALSE)</f>
        <v>Gummidichtung passend für HT/KG</v>
      </c>
      <c r="F43" s="562"/>
      <c r="G43" s="562"/>
      <c r="H43" s="562"/>
      <c r="I43" s="551" t="str">
        <f>VLOOKUP(306,Sprachindex!$A:$Z,Info!$O$7,FALSE)</f>
        <v>Dimension wählen:</v>
      </c>
      <c r="J43" s="670"/>
      <c r="K43" s="671"/>
      <c r="L43" s="79" t="str">
        <f t="shared" si="4"/>
        <v xml:space="preserve"> </v>
      </c>
      <c r="M43" s="433" t="str">
        <f t="shared" si="1"/>
        <v>Stk.</v>
      </c>
      <c r="N43" s="80"/>
      <c r="O43" s="202" t="str">
        <f t="shared" si="2"/>
        <v/>
      </c>
      <c r="R43" s="200">
        <v>6.98</v>
      </c>
      <c r="S43" s="195"/>
      <c r="T43" s="195"/>
      <c r="U43" s="195"/>
      <c r="V43" s="195"/>
      <c r="W43" s="195"/>
      <c r="X43" s="195"/>
      <c r="Y43" s="195"/>
      <c r="Z43" s="195"/>
      <c r="AA43" s="195"/>
      <c r="AB43" s="71"/>
      <c r="AC43" s="1"/>
      <c r="AD43" s="149">
        <f t="shared" si="0"/>
        <v>0</v>
      </c>
      <c r="AE43" s="149">
        <f t="shared" si="3"/>
        <v>0</v>
      </c>
      <c r="AF43" s="149">
        <v>1</v>
      </c>
      <c r="AG43" s="149">
        <v>1</v>
      </c>
      <c r="AO43" s="60">
        <v>150052</v>
      </c>
      <c r="AP43" s="60" t="s">
        <v>1633</v>
      </c>
      <c r="AX43" s="60">
        <v>150053</v>
      </c>
      <c r="AY43" s="60" t="s">
        <v>1635</v>
      </c>
      <c r="BA43" s="1" t="s">
        <v>1635</v>
      </c>
    </row>
    <row r="44" spans="1:53" ht="32.1" customHeight="1">
      <c r="A44" s="98"/>
      <c r="B44" s="79" t="str">
        <f>VLOOKUP(878,Sprachindex!$A:$Z,Info!$O$7,FALSE)</f>
        <v>Stk.</v>
      </c>
      <c r="C44" s="78"/>
      <c r="D44" s="78">
        <f>IF(I44=Formeln_RI_P.10!A141,AO44,IF(I44=Formeln_RI_P.10!A142,AW44,0))</f>
        <v>0</v>
      </c>
      <c r="E44" s="561" t="str">
        <f>VLOOKUP(1889,Sprachindex!$A:$Z,Info!$O$7,FALSE)</f>
        <v>Quadratrohr 80 mm, Kessel</v>
      </c>
      <c r="F44" s="562"/>
      <c r="G44" s="562"/>
      <c r="H44" s="84" t="str">
        <f>VLOOKUP(306,Sprachindex!$A:$Z,Info!$O$7,FALSE)</f>
        <v>Dimension wählen:</v>
      </c>
      <c r="I44" s="572"/>
      <c r="J44" s="573"/>
      <c r="K44" s="573"/>
      <c r="L44" s="79" t="str">
        <f t="shared" si="4"/>
        <v xml:space="preserve"> </v>
      </c>
      <c r="M44" s="433" t="str">
        <f t="shared" si="1"/>
        <v>Stk.</v>
      </c>
      <c r="N44" s="80"/>
      <c r="O44" s="202" t="str">
        <f>IF(ISNUMBER(A44),$L44*Q44, "")</f>
        <v/>
      </c>
      <c r="Q44" s="135" t="str">
        <f>IF(I44=U44,R44,IF(I44=X44,S44," "))</f>
        <v xml:space="preserve"> </v>
      </c>
      <c r="R44" s="200">
        <v>53.19</v>
      </c>
      <c r="S44" s="195">
        <v>69.37</v>
      </c>
      <c r="T44" s="195"/>
      <c r="U44" s="195" t="s">
        <v>1636</v>
      </c>
      <c r="V44" s="195"/>
      <c r="W44" s="195"/>
      <c r="X44" s="195" t="s">
        <v>1637</v>
      </c>
      <c r="Y44" s="195"/>
      <c r="Z44" s="195"/>
      <c r="AA44" s="195"/>
      <c r="AB44" s="71"/>
      <c r="AC44" s="1"/>
      <c r="AD44" s="149">
        <f t="shared" si="0"/>
        <v>0</v>
      </c>
      <c r="AE44" s="149">
        <f t="shared" si="3"/>
        <v>0</v>
      </c>
      <c r="AF44" s="149">
        <v>1</v>
      </c>
      <c r="AG44" s="149">
        <v>1</v>
      </c>
      <c r="AH44" s="58">
        <v>231002</v>
      </c>
      <c r="AI44" s="58">
        <v>231000</v>
      </c>
      <c r="AJ44" s="58"/>
      <c r="AK44" s="58">
        <v>231001</v>
      </c>
      <c r="AL44" s="58"/>
      <c r="AM44" s="58"/>
      <c r="AN44" s="58"/>
      <c r="AO44" s="60">
        <f>IF($O$21=1,AH44,IF($O$21=2,AI44,IF($O$21=3,AJ44,IF($O$21=4,AK44,IF($O$21=5,AL44,IF($O$21=6,AM44,IF($O$21=7,AN44,0)))))))</f>
        <v>0</v>
      </c>
      <c r="AP44" s="58">
        <v>231022</v>
      </c>
      <c r="AQ44" s="58">
        <v>231020</v>
      </c>
      <c r="AR44" s="58"/>
      <c r="AS44" s="58">
        <v>231021</v>
      </c>
      <c r="AT44" s="58"/>
      <c r="AU44" s="58"/>
      <c r="AV44" s="58"/>
      <c r="AW44" s="60">
        <f>IF($O$21=1,AP44,IF($O$21=2,AQ44,IF($O$21=3,AR44,IF($O$21=4,AS44,IF($O$21=5,AT44,IF($O$21=6,AU44,IF($O$21=7,AV44,0)))))))</f>
        <v>0</v>
      </c>
    </row>
    <row r="45" spans="1:53" ht="32.1" customHeight="1">
      <c r="A45" s="98"/>
      <c r="B45" s="79" t="str">
        <f>VLOOKUP(878,Sprachindex!$A:$Z,Info!$O$7,FALSE)</f>
        <v>Stk.</v>
      </c>
      <c r="C45" s="78"/>
      <c r="D45" s="78">
        <f>IF(I45=Formeln_RI_P.10!A143,AO45,IF(I45=Formeln_RI_P.10!A144,AW45,0))</f>
        <v>0</v>
      </c>
      <c r="E45" s="561" t="str">
        <f>VLOOKUP(1890,Sprachindex!$A:$Z,Info!$O$7,FALSE)</f>
        <v>Quadratrohr 100 mm, Kessel</v>
      </c>
      <c r="F45" s="562"/>
      <c r="G45" s="562"/>
      <c r="H45" s="84" t="str">
        <f>VLOOKUP(306,Sprachindex!$A:$Z,Info!$O$7,FALSE)</f>
        <v>Dimension wählen:</v>
      </c>
      <c r="I45" s="572"/>
      <c r="J45" s="573"/>
      <c r="K45" s="573"/>
      <c r="L45" s="79" t="str">
        <f t="shared" si="4"/>
        <v xml:space="preserve"> </v>
      </c>
      <c r="M45" s="433" t="str">
        <f t="shared" si="1"/>
        <v>Stk.</v>
      </c>
      <c r="N45" s="80"/>
      <c r="O45" s="202" t="str">
        <f>IF(ISNUMBER(A45),$L45*Q45, "")</f>
        <v/>
      </c>
      <c r="Q45" s="135" t="str">
        <f>IF(I45=U45,R45,IF(I45=X45,S45," "))</f>
        <v xml:space="preserve"> </v>
      </c>
      <c r="R45" s="200">
        <v>70.91</v>
      </c>
      <c r="S45" s="195">
        <v>72.55</v>
      </c>
      <c r="T45" s="195"/>
      <c r="U45" s="195" t="s">
        <v>1638</v>
      </c>
      <c r="V45" s="195"/>
      <c r="W45" s="195"/>
      <c r="X45" s="195" t="s">
        <v>1639</v>
      </c>
      <c r="Y45" s="195"/>
      <c r="Z45" s="195"/>
      <c r="AA45" s="195"/>
      <c r="AB45" s="71"/>
      <c r="AC45" s="1"/>
      <c r="AD45" s="149" t="e">
        <f t="shared" si="0"/>
        <v>#VALUE!</v>
      </c>
      <c r="AE45" s="149">
        <f t="shared" si="3"/>
        <v>0</v>
      </c>
      <c r="AF45" s="149" t="str">
        <f>IF(I45=Formeln_RI_P.10!$A$138,"",1)</f>
        <v/>
      </c>
      <c r="AG45" s="149">
        <v>1</v>
      </c>
      <c r="AH45" s="58">
        <v>230501</v>
      </c>
      <c r="AI45" s="58">
        <v>230500</v>
      </c>
      <c r="AJ45" s="58">
        <v>230504</v>
      </c>
      <c r="AK45" s="58">
        <v>230502</v>
      </c>
      <c r="AL45" s="58">
        <v>230505</v>
      </c>
      <c r="AM45" s="58">
        <v>230506</v>
      </c>
      <c r="AN45" s="58">
        <v>230503</v>
      </c>
      <c r="AO45" s="60">
        <f t="shared" ref="AO45:AO50" si="9">IF($O$21=1,AH45,IF($O$21=2,AI45,IF($O$21=3,AJ45,IF($O$21=4,AK45,IF($O$21=5,AL45,IF($O$21=6,AM45,IF($O$21=7,AN45,0)))))))</f>
        <v>0</v>
      </c>
      <c r="AP45" s="58">
        <v>230521</v>
      </c>
      <c r="AQ45" s="58">
        <v>230520</v>
      </c>
      <c r="AR45" s="58">
        <v>230524</v>
      </c>
      <c r="AS45" s="58">
        <v>230522</v>
      </c>
      <c r="AT45" s="58">
        <v>230525</v>
      </c>
      <c r="AU45" s="58">
        <v>230526</v>
      </c>
      <c r="AV45" s="58">
        <v>230523</v>
      </c>
      <c r="AW45" s="60">
        <f t="shared" ref="AW45" si="10">IF($O$21=1,AP45,IF($O$21=2,AQ45,IF($O$21=3,AR45,IF($O$21=4,AS45,IF($O$21=5,AT45,IF($O$21=6,AU45,IF($O$21=7,AV45,0)))))))</f>
        <v>0</v>
      </c>
    </row>
    <row r="46" spans="1:53" ht="32.1" customHeight="1">
      <c r="A46" s="98"/>
      <c r="B46" s="79" t="str">
        <f>VLOOKUP(878,Sprachindex!$A:$Z,Info!$O$7,FALSE)</f>
        <v>Stk.</v>
      </c>
      <c r="C46" s="78"/>
      <c r="D46" s="78">
        <f>AO46</f>
        <v>0</v>
      </c>
      <c r="E46" s="561" t="str">
        <f>VLOOKUP(1891,Sprachindex!$A:$Z,Info!$O$7,FALSE)</f>
        <v>Quadratrohr 80 mm, Speiereinmündung</v>
      </c>
      <c r="F46" s="562"/>
      <c r="G46" s="562"/>
      <c r="H46" s="562"/>
      <c r="I46" s="562"/>
      <c r="J46" s="562"/>
      <c r="K46" s="563"/>
      <c r="L46" s="79" t="str">
        <f t="shared" si="4"/>
        <v xml:space="preserve"> </v>
      </c>
      <c r="M46" s="433" t="str">
        <f t="shared" si="1"/>
        <v>Stk.</v>
      </c>
      <c r="N46" s="80"/>
      <c r="O46" s="202" t="str">
        <f>IF(ISNUMBER(A46),$L46*R46, "")</f>
        <v/>
      </c>
      <c r="R46" s="200">
        <v>252.9</v>
      </c>
      <c r="S46" s="195"/>
      <c r="T46" s="195"/>
      <c r="U46" s="195"/>
      <c r="V46" s="195"/>
      <c r="W46" s="195"/>
      <c r="X46" s="195"/>
      <c r="Y46" s="195"/>
      <c r="Z46" s="195"/>
      <c r="AA46" s="195"/>
      <c r="AB46" s="71"/>
      <c r="AC46" s="1"/>
      <c r="AD46" s="149">
        <f t="shared" si="0"/>
        <v>0</v>
      </c>
      <c r="AE46" s="149">
        <f t="shared" si="3"/>
        <v>0</v>
      </c>
      <c r="AF46" s="149">
        <v>1</v>
      </c>
      <c r="AG46" s="149">
        <v>1</v>
      </c>
      <c r="AH46" s="191" t="s">
        <v>1640</v>
      </c>
      <c r="AI46" s="191" t="s">
        <v>1641</v>
      </c>
      <c r="AJ46" s="191"/>
      <c r="AK46" s="191" t="s">
        <v>1642</v>
      </c>
      <c r="AL46" s="191"/>
      <c r="AM46" s="191"/>
      <c r="AN46" s="191"/>
      <c r="AO46" s="60">
        <f t="shared" si="9"/>
        <v>0</v>
      </c>
    </row>
    <row r="47" spans="1:53" ht="32.1" customHeight="1">
      <c r="A47" s="98"/>
      <c r="B47" s="79" t="str">
        <f>VLOOKUP(878,Sprachindex!$A:$Z,Info!$O$7,FALSE)</f>
        <v>Stk.</v>
      </c>
      <c r="C47" s="78"/>
      <c r="D47" s="78">
        <f>AO47</f>
        <v>0</v>
      </c>
      <c r="E47" s="561" t="str">
        <f>VLOOKUP(1892,Sprachindex!$A:$Z,Info!$O$7,FALSE)</f>
        <v>Quadratrohr 100 mm, Speiereinmündung</v>
      </c>
      <c r="F47" s="562"/>
      <c r="G47" s="562"/>
      <c r="H47" s="562"/>
      <c r="I47" s="562"/>
      <c r="J47" s="562"/>
      <c r="K47" s="563"/>
      <c r="L47" s="79" t="str">
        <f t="shared" si="4"/>
        <v xml:space="preserve"> </v>
      </c>
      <c r="M47" s="433" t="str">
        <f t="shared" si="1"/>
        <v>Stk.</v>
      </c>
      <c r="N47" s="80"/>
      <c r="O47" s="202" t="str">
        <f>IF(ISNUMBER(A47),$L47*R47, "")</f>
        <v/>
      </c>
      <c r="R47" s="200">
        <v>252.9</v>
      </c>
      <c r="S47" s="195"/>
      <c r="T47" s="195"/>
      <c r="U47" s="195"/>
      <c r="V47" s="195"/>
      <c r="W47" s="195"/>
      <c r="X47" s="195"/>
      <c r="Y47" s="195"/>
      <c r="Z47" s="195"/>
      <c r="AA47" s="195"/>
      <c r="AB47" s="71"/>
      <c r="AC47" s="1"/>
      <c r="AD47" s="149">
        <f t="shared" si="0"/>
        <v>0</v>
      </c>
      <c r="AE47" s="149">
        <f t="shared" si="3"/>
        <v>0</v>
      </c>
      <c r="AF47" s="149">
        <v>1</v>
      </c>
      <c r="AG47" s="149">
        <v>1</v>
      </c>
      <c r="AH47" s="58" t="s">
        <v>1643</v>
      </c>
      <c r="AI47" s="58" t="s">
        <v>1644</v>
      </c>
      <c r="AJ47" s="58" t="s">
        <v>1645</v>
      </c>
      <c r="AK47" s="58" t="s">
        <v>1646</v>
      </c>
      <c r="AL47" s="58" t="s">
        <v>1647</v>
      </c>
      <c r="AM47" s="58" t="s">
        <v>1648</v>
      </c>
      <c r="AN47" s="58" t="s">
        <v>1649</v>
      </c>
      <c r="AO47" s="60">
        <f t="shared" si="9"/>
        <v>0</v>
      </c>
    </row>
    <row r="48" spans="1:53" ht="32.1" customHeight="1">
      <c r="A48" s="98"/>
      <c r="B48" s="79" t="str">
        <f>VLOOKUP(878,Sprachindex!$A:$Z,Info!$O$7,FALSE)</f>
        <v>Stk.</v>
      </c>
      <c r="C48" s="78"/>
      <c r="D48" s="78">
        <f>AO48</f>
        <v>0</v>
      </c>
      <c r="E48" s="561" t="str">
        <f>VLOOKUP(1895,Sprachindex!$A:$Z,Info!$O$7,FALSE)</f>
        <v>Quadratrohr 80 mm, mit Reinigungsöffnung</v>
      </c>
      <c r="F48" s="562"/>
      <c r="G48" s="562"/>
      <c r="H48" s="562"/>
      <c r="I48" s="562"/>
      <c r="J48" s="562"/>
      <c r="K48" s="563"/>
      <c r="L48" s="79" t="str">
        <f t="shared" si="4"/>
        <v xml:space="preserve"> </v>
      </c>
      <c r="M48" s="433" t="str">
        <f t="shared" si="1"/>
        <v>Stk.</v>
      </c>
      <c r="N48" s="80"/>
      <c r="O48" s="202" t="str">
        <f>IF(ISNUMBER(A48),$L48*R48, "")</f>
        <v/>
      </c>
      <c r="R48" s="200">
        <v>103.7</v>
      </c>
      <c r="S48" s="195"/>
      <c r="T48" s="195"/>
      <c r="U48" s="195"/>
      <c r="V48" s="195"/>
      <c r="W48" s="195"/>
      <c r="X48" s="195"/>
      <c r="Y48" s="195"/>
      <c r="Z48" s="195"/>
      <c r="AA48" s="195"/>
      <c r="AB48" s="71"/>
      <c r="AC48" s="1"/>
      <c r="AD48" s="149">
        <f t="shared" si="0"/>
        <v>0</v>
      </c>
      <c r="AE48" s="149">
        <f t="shared" si="3"/>
        <v>0</v>
      </c>
      <c r="AF48" s="149">
        <v>1</v>
      </c>
      <c r="AG48" s="149">
        <v>1</v>
      </c>
      <c r="AH48" s="58" t="s">
        <v>1650</v>
      </c>
      <c r="AI48" s="58" t="s">
        <v>1651</v>
      </c>
      <c r="AJ48" s="58"/>
      <c r="AK48" s="58" t="s">
        <v>1652</v>
      </c>
      <c r="AL48" s="58"/>
      <c r="AM48" s="58"/>
      <c r="AN48" s="58"/>
      <c r="AO48" s="60">
        <f t="shared" si="9"/>
        <v>0</v>
      </c>
    </row>
    <row r="49" spans="1:49" ht="32.1" customHeight="1">
      <c r="A49" s="98"/>
      <c r="B49" s="79" t="str">
        <f>VLOOKUP(878,Sprachindex!$A:$Z,Info!$O$7,FALSE)</f>
        <v>Stk.</v>
      </c>
      <c r="C49" s="78"/>
      <c r="D49" s="78">
        <f>AO49</f>
        <v>0</v>
      </c>
      <c r="E49" s="561" t="str">
        <f>VLOOKUP(1896,Sprachindex!$A:$Z,Info!$O$7,FALSE)</f>
        <v>Quadratrohr 100 mm, mit Reinigungsöffnung</v>
      </c>
      <c r="F49" s="562"/>
      <c r="G49" s="562"/>
      <c r="H49" s="562"/>
      <c r="I49" s="562"/>
      <c r="J49" s="562"/>
      <c r="K49" s="563"/>
      <c r="L49" s="79" t="str">
        <f t="shared" si="4"/>
        <v xml:space="preserve"> </v>
      </c>
      <c r="M49" s="433" t="str">
        <f t="shared" si="1"/>
        <v>Stk.</v>
      </c>
      <c r="N49" s="80"/>
      <c r="O49" s="202" t="str">
        <f>IF(ISNUMBER(L49),$L49*R49, "")</f>
        <v/>
      </c>
      <c r="R49" s="200">
        <v>119.1</v>
      </c>
      <c r="S49" s="195"/>
      <c r="T49" s="195"/>
      <c r="U49" s="195"/>
      <c r="V49" s="195"/>
      <c r="W49" s="195"/>
      <c r="X49" s="195"/>
      <c r="Y49" s="195"/>
      <c r="Z49" s="195"/>
      <c r="AA49" s="195"/>
      <c r="AB49" s="71"/>
      <c r="AC49" s="1"/>
      <c r="AD49" s="149">
        <f t="shared" si="0"/>
        <v>0</v>
      </c>
      <c r="AE49" s="149">
        <f t="shared" si="3"/>
        <v>0</v>
      </c>
      <c r="AF49" s="149">
        <v>1</v>
      </c>
      <c r="AG49" s="149">
        <v>1</v>
      </c>
      <c r="AH49" s="58" t="s">
        <v>1653</v>
      </c>
      <c r="AI49" s="58" t="s">
        <v>1654</v>
      </c>
      <c r="AJ49" s="58" t="s">
        <v>442</v>
      </c>
      <c r="AK49" s="58" t="s">
        <v>1655</v>
      </c>
      <c r="AL49" s="58" t="s">
        <v>1656</v>
      </c>
      <c r="AM49" s="58" t="s">
        <v>1657</v>
      </c>
      <c r="AN49" s="58" t="s">
        <v>1658</v>
      </c>
      <c r="AO49" s="60">
        <f t="shared" si="9"/>
        <v>0</v>
      </c>
    </row>
    <row r="50" spans="1:49" ht="32.1" customHeight="1">
      <c r="A50" s="98"/>
      <c r="B50" s="79" t="str">
        <f>VLOOKUP(878,Sprachindex!$A:$Z,Info!$O$7,FALSE)</f>
        <v>Stk.</v>
      </c>
      <c r="C50" s="78"/>
      <c r="D50" s="78">
        <f>IF($O$21=1,AJ50,IF($O$21=2,AH50,IF($O$21=3,AQ50,IF($O$21=4,AN50,IF($O$21=5,AO50,IF($O$21=6,AP50,IF($O$21=7,AK50,IF($O$21=8,AR50,IF($O$21=9,AL50,IF($O$21=10,AS50,IF($O$21=11,AM50,IF($O$21=12,AI50,0))))))))))))</f>
        <v>0</v>
      </c>
      <c r="E50" s="561" t="str">
        <f>VLOOKUP(1897,Sprachindex!$A:$Z,Info!$O$7,FALSE)</f>
        <v>Wassersammler für Quadratrohr 100 mm</v>
      </c>
      <c r="F50" s="562"/>
      <c r="G50" s="562"/>
      <c r="H50" s="562"/>
      <c r="I50" s="562"/>
      <c r="J50" s="562"/>
      <c r="K50" s="563"/>
      <c r="L50" s="79" t="str">
        <f t="shared" si="4"/>
        <v xml:space="preserve"> </v>
      </c>
      <c r="M50" s="433" t="str">
        <f t="shared" si="1"/>
        <v>Stk.</v>
      </c>
      <c r="N50" s="80"/>
      <c r="O50" s="202" t="str">
        <f>IF(ISNUMBER(L50),$L50*R50, "")</f>
        <v/>
      </c>
      <c r="R50" s="200">
        <v>166.9</v>
      </c>
      <c r="S50" s="195"/>
      <c r="T50" s="195"/>
      <c r="U50" s="195"/>
      <c r="V50" s="195"/>
      <c r="W50" s="195"/>
      <c r="X50" s="195"/>
      <c r="Y50" s="195"/>
      <c r="Z50" s="195"/>
      <c r="AA50" s="195"/>
      <c r="AB50" s="71"/>
      <c r="AC50" s="1"/>
      <c r="AD50" s="149">
        <f t="shared" si="0"/>
        <v>0</v>
      </c>
      <c r="AE50" s="149">
        <f t="shared" si="3"/>
        <v>0</v>
      </c>
      <c r="AF50" s="149">
        <v>1</v>
      </c>
      <c r="AG50" s="149">
        <v>1</v>
      </c>
      <c r="AH50" s="58" t="s">
        <v>1659</v>
      </c>
      <c r="AI50" s="58" t="s">
        <v>1660</v>
      </c>
      <c r="AJ50" s="58"/>
      <c r="AK50" s="58" t="s">
        <v>1661</v>
      </c>
      <c r="AL50" s="58"/>
      <c r="AM50" s="58"/>
      <c r="AN50" s="58"/>
      <c r="AO50" s="60">
        <f t="shared" si="9"/>
        <v>0</v>
      </c>
    </row>
    <row r="51" spans="1:49" ht="32.1" customHeight="1">
      <c r="A51" s="98"/>
      <c r="B51" s="79" t="str">
        <f>VLOOKUP(878,Sprachindex!$A:$Z,Info!$O$7,FALSE)</f>
        <v>Stk.</v>
      </c>
      <c r="C51" s="78"/>
      <c r="D51" s="78">
        <f>AO51</f>
        <v>0</v>
      </c>
      <c r="E51" s="561" t="str">
        <f>VLOOKUP(654,Sprachindex!$A:$Z,Info!$O$7,FALSE)</f>
        <v>Patentniete</v>
      </c>
      <c r="F51" s="562"/>
      <c r="G51" s="562"/>
      <c r="H51" s="562"/>
      <c r="I51" s="562"/>
      <c r="J51" s="627" t="s">
        <v>1485</v>
      </c>
      <c r="K51" s="628"/>
      <c r="L51" s="79" t="str">
        <f>IF(OR(A51="",AF51="",AG51="")," ",IF($O$11=1,$AD51,IF($O$11=2,AE51,0)))</f>
        <v xml:space="preserve"> </v>
      </c>
      <c r="M51" s="433" t="str">
        <f t="shared" si="1"/>
        <v>Stk.</v>
      </c>
      <c r="N51" s="80"/>
      <c r="O51" s="202" t="str">
        <f>IF(ISNUMBER(A51),$L51*R51, "")</f>
        <v/>
      </c>
      <c r="R51" s="200">
        <v>0.18</v>
      </c>
      <c r="S51" s="195"/>
      <c r="T51" s="195"/>
      <c r="U51" s="195"/>
      <c r="V51" s="195"/>
      <c r="W51" s="195"/>
      <c r="X51" s="195"/>
      <c r="Y51" s="195"/>
      <c r="Z51" s="195"/>
      <c r="AA51" s="195"/>
      <c r="AB51" s="71"/>
      <c r="AC51" s="1"/>
      <c r="AD51" s="149">
        <f t="shared" si="0"/>
        <v>0</v>
      </c>
      <c r="AE51" s="149">
        <f t="shared" si="3"/>
        <v>0</v>
      </c>
      <c r="AF51" s="149">
        <v>1000</v>
      </c>
      <c r="AG51" s="149">
        <v>1</v>
      </c>
      <c r="AH51" s="58" t="s">
        <v>1486</v>
      </c>
      <c r="AI51" s="58" t="s">
        <v>1487</v>
      </c>
      <c r="AJ51" s="58" t="s">
        <v>1488</v>
      </c>
      <c r="AK51" s="58" t="s">
        <v>1489</v>
      </c>
      <c r="AL51" s="58" t="s">
        <v>1490</v>
      </c>
      <c r="AM51" s="58" t="s">
        <v>1491</v>
      </c>
      <c r="AN51" s="58" t="s">
        <v>1492</v>
      </c>
      <c r="AO51" s="60">
        <f>IF($O$21=1,AH51,IF($O$21=2,AI51,IF($O$21=3,AJ51,IF($O$21=4,AK51,IF($O$21=5,AL51,IF($O$21=6,AM51,IF($O$21=7,AN51,0)))))))</f>
        <v>0</v>
      </c>
    </row>
    <row r="52" spans="1:49" ht="32.1" customHeight="1">
      <c r="A52" s="98"/>
      <c r="B52" s="79" t="str">
        <f>VLOOKUP(878,Sprachindex!$A:$Z,Info!$O$7,FALSE)</f>
        <v>Stk.</v>
      </c>
      <c r="C52" s="78"/>
      <c r="D52" s="78">
        <f>IF(J52=Formeln_RI_P.10!B146,345030,IF(J52=Formeln_RI_P.10!B147,345031,IF(J52=Formeln_RI_P.10!B148,345032,IF(J52=Formeln_RI_P.10!B145,345033,0))))</f>
        <v>0</v>
      </c>
      <c r="E52" s="561" t="str">
        <f>VLOOKUP(744,Sprachindex!$A:$Z,Info!$O$7,FALSE)</f>
        <v>Rohrschellendorn für WDVS-Rohrschellendübel ⌀ 10</v>
      </c>
      <c r="F52" s="562"/>
      <c r="G52" s="562"/>
      <c r="H52" s="562"/>
      <c r="I52" s="84" t="str">
        <f>VLOOKUP(556,Sprachindex!$A:$Z,Info!$O$7,FALSE)</f>
        <v>Länge wählen:</v>
      </c>
      <c r="J52" s="614"/>
      <c r="K52" s="630"/>
      <c r="L52" s="79" t="str">
        <f t="shared" si="4"/>
        <v xml:space="preserve"> </v>
      </c>
      <c r="M52" s="433" t="str">
        <f t="shared" si="1"/>
        <v>Stk.</v>
      </c>
      <c r="N52" s="80"/>
      <c r="O52" s="202" t="str">
        <f>IF(ISNUMBER(A52),$L52*Q52, "")</f>
        <v/>
      </c>
      <c r="Q52" s="135" t="str">
        <f>IF(J52=W52,R52,IF(J52=X52,S52,IF(J52=Y52,T52," ")))</f>
        <v xml:space="preserve"> </v>
      </c>
      <c r="R52" s="200">
        <v>1.62</v>
      </c>
      <c r="S52" s="195">
        <v>1.98</v>
      </c>
      <c r="T52" s="195">
        <v>4.21</v>
      </c>
      <c r="U52" s="195"/>
      <c r="V52" s="195"/>
      <c r="W52" s="195" t="s">
        <v>1663</v>
      </c>
      <c r="X52" s="195" t="s">
        <v>1664</v>
      </c>
      <c r="Y52" s="195" t="s">
        <v>1662</v>
      </c>
      <c r="Z52" s="195"/>
      <c r="AA52" s="195"/>
      <c r="AB52" s="71"/>
      <c r="AC52" s="1"/>
      <c r="AD52" s="149" t="e">
        <f t="shared" si="0"/>
        <v>#VALUE!</v>
      </c>
      <c r="AE52" s="149">
        <f t="shared" si="3"/>
        <v>0</v>
      </c>
      <c r="AF52" s="149" t="str">
        <f>IF(J52=AC52,"",25)</f>
        <v/>
      </c>
      <c r="AG52" s="149">
        <v>1</v>
      </c>
      <c r="AH52" s="190" t="s">
        <v>1550</v>
      </c>
      <c r="AI52" s="190" t="s">
        <v>109</v>
      </c>
      <c r="AJ52" s="190" t="s">
        <v>1551</v>
      </c>
      <c r="AK52" s="190" t="s">
        <v>45</v>
      </c>
      <c r="AL52" s="190" t="s">
        <v>1552</v>
      </c>
      <c r="AM52" s="177" t="s">
        <v>1553</v>
      </c>
      <c r="AN52" s="177" t="s">
        <v>1484</v>
      </c>
      <c r="AP52" s="190" t="s">
        <v>1550</v>
      </c>
      <c r="AQ52" s="190" t="s">
        <v>109</v>
      </c>
      <c r="AR52" s="190" t="s">
        <v>1551</v>
      </c>
      <c r="AS52" s="190" t="s">
        <v>45</v>
      </c>
      <c r="AT52" s="190" t="s">
        <v>1552</v>
      </c>
      <c r="AU52" s="177" t="s">
        <v>1553</v>
      </c>
      <c r="AV52" s="177" t="s">
        <v>1484</v>
      </c>
    </row>
    <row r="53" spans="1:49" ht="32.1" customHeight="1">
      <c r="A53" s="98"/>
      <c r="B53" s="79" t="str">
        <f>VLOOKUP(878,Sprachindex!$A:$Z,Info!$O$7,FALSE)</f>
        <v>Stk.</v>
      </c>
      <c r="C53" s="78"/>
      <c r="D53" s="78">
        <f>IF(J53=Formeln_RI_P.10!A273,345040,IF(J53=Formeln_RI_P.10!A274,345041,IF(J53=Formeln_RI_P.10!A275,345042,0)))</f>
        <v>0</v>
      </c>
      <c r="E53" s="561" t="str">
        <f>VLOOKUP(745,Sprachindex!$A:$Z,Info!$O$7,FALSE)</f>
        <v>WDVS-Rohrschellendübel ⌀ 10</v>
      </c>
      <c r="F53" s="562"/>
      <c r="G53" s="562"/>
      <c r="H53" s="562"/>
      <c r="I53" s="84" t="str">
        <f>VLOOKUP(556,Sprachindex!$A:$Z,Info!$O$7,FALSE)</f>
        <v>Länge wählen:</v>
      </c>
      <c r="J53" s="614"/>
      <c r="K53" s="630"/>
      <c r="L53" s="79" t="str">
        <f t="shared" si="4"/>
        <v xml:space="preserve"> </v>
      </c>
      <c r="M53" s="433" t="str">
        <f t="shared" si="1"/>
        <v>Stk.</v>
      </c>
      <c r="N53" s="80"/>
      <c r="O53" s="202" t="str">
        <f>IF(ISNUMBER(A53),$L53*Q53, "")</f>
        <v/>
      </c>
      <c r="Q53" s="135" t="str">
        <f>IF(J53=V53,R53,IF(J53=X53,S53,IF(J53=Z53,T53," ")))</f>
        <v xml:space="preserve"> </v>
      </c>
      <c r="R53" s="200">
        <v>1.1599999999999999</v>
      </c>
      <c r="S53" s="195">
        <v>1.35</v>
      </c>
      <c r="T53" s="195">
        <v>1.55</v>
      </c>
      <c r="U53" s="195"/>
      <c r="V53" s="327" t="s">
        <v>1057</v>
      </c>
      <c r="W53" s="195"/>
      <c r="X53" s="327" t="s">
        <v>1058</v>
      </c>
      <c r="Z53" s="327" t="s">
        <v>1059</v>
      </c>
      <c r="AA53" s="195"/>
      <c r="AB53" s="71"/>
      <c r="AC53" s="1"/>
      <c r="AD53" s="149" t="e">
        <f t="shared" si="0"/>
        <v>#VALUE!</v>
      </c>
      <c r="AE53" s="149">
        <f t="shared" si="3"/>
        <v>0</v>
      </c>
      <c r="AF53" s="149" t="str">
        <f>IF(J53=Formeln_RI_P.10!$A$272,"",25)</f>
        <v/>
      </c>
      <c r="AG53" s="149">
        <v>1</v>
      </c>
    </row>
    <row r="54" spans="1:49" ht="32.1" customHeight="1">
      <c r="A54" s="98"/>
      <c r="B54" s="79" t="str">
        <f>VLOOKUP(878,Sprachindex!$A:$Z,Info!$O$7,FALSE)</f>
        <v>Stk.</v>
      </c>
      <c r="C54" s="78"/>
      <c r="D54" s="78">
        <v>345015</v>
      </c>
      <c r="E54" s="561" t="str">
        <f>VLOOKUP(587,Sprachindex!$A:$Z,Info!$O$7,FALSE)</f>
        <v>M10-Gewindedorn</v>
      </c>
      <c r="F54" s="562"/>
      <c r="G54" s="562"/>
      <c r="H54" s="562"/>
      <c r="I54" s="562"/>
      <c r="J54" s="627" t="str">
        <f>VLOOKUP(64,Sprachindex!$A:$Z,Info!$O$7,FALSE)</f>
        <v>195 mm lang</v>
      </c>
      <c r="K54" s="628"/>
      <c r="L54" s="79" t="str">
        <f t="shared" si="4"/>
        <v xml:space="preserve"> </v>
      </c>
      <c r="M54" s="433" t="str">
        <f t="shared" si="1"/>
        <v>Stk.</v>
      </c>
      <c r="N54" s="80"/>
      <c r="O54" s="202" t="str">
        <f>IF(ISNUMBER(A54),$L54*R54, "")</f>
        <v/>
      </c>
      <c r="R54" s="200">
        <v>3.2</v>
      </c>
      <c r="S54" s="195"/>
      <c r="T54" s="195"/>
      <c r="U54" s="195"/>
      <c r="V54" s="195"/>
      <c r="W54" s="195"/>
      <c r="X54" s="195"/>
      <c r="Y54" s="195"/>
      <c r="Z54" s="195"/>
      <c r="AA54" s="195"/>
      <c r="AB54" s="71"/>
      <c r="AC54" s="1"/>
      <c r="AD54" s="149">
        <f t="shared" si="0"/>
        <v>0</v>
      </c>
      <c r="AE54" s="149">
        <f t="shared" si="3"/>
        <v>0</v>
      </c>
      <c r="AF54" s="149">
        <v>100</v>
      </c>
      <c r="AG54" s="149">
        <v>1</v>
      </c>
    </row>
    <row r="55" spans="1:49" ht="32.1" customHeight="1">
      <c r="A55" s="98"/>
      <c r="B55" s="79" t="str">
        <f>VLOOKUP(878,Sprachindex!$A:$Z,Info!$O$7,FALSE)</f>
        <v>Stk.</v>
      </c>
      <c r="C55" s="78"/>
      <c r="D55" s="78">
        <f>IF(J55=Formeln_RI_P.10!A152,420305,IF(J55=Formeln_RI_P.10!A153,420306,0))</f>
        <v>0</v>
      </c>
      <c r="E55" s="561" t="str">
        <f>VLOOKUP(746,Sprachindex!$A:$Z,Info!$O$7,FALSE)</f>
        <v>Rohrschellenhalter für WDVS</v>
      </c>
      <c r="F55" s="562"/>
      <c r="G55" s="562"/>
      <c r="H55" s="562"/>
      <c r="I55" s="84" t="str">
        <f>VLOOKUP(556,Sprachindex!$A:$Z,Info!$O$7,FALSE)</f>
        <v>Länge wählen:</v>
      </c>
      <c r="J55" s="614"/>
      <c r="K55" s="630"/>
      <c r="L55" s="79" t="str">
        <f t="shared" si="4"/>
        <v xml:space="preserve"> </v>
      </c>
      <c r="M55" s="433" t="str">
        <f t="shared" si="1"/>
        <v>Stk.</v>
      </c>
      <c r="N55" s="80"/>
      <c r="O55" s="202" t="str">
        <f>IF(ISNUMBER(A55),$L55*Q55, "")</f>
        <v/>
      </c>
      <c r="Q55" s="135" t="str">
        <f>IF(J55=V55,R55,IF(J55=X55,S55," "))</f>
        <v xml:space="preserve"> </v>
      </c>
      <c r="R55" s="200">
        <v>19.53</v>
      </c>
      <c r="S55" s="195">
        <v>20.86</v>
      </c>
      <c r="T55" s="195"/>
      <c r="U55" s="195"/>
      <c r="V55" s="327" t="s">
        <v>1060</v>
      </c>
      <c r="W55" s="195"/>
      <c r="X55" s="327" t="s">
        <v>1062</v>
      </c>
      <c r="Y55" s="195"/>
      <c r="Z55" s="195"/>
      <c r="AA55" s="195"/>
      <c r="AB55" s="71"/>
      <c r="AC55" s="1"/>
      <c r="AD55" s="149" t="e">
        <f t="shared" si="0"/>
        <v>#VALUE!</v>
      </c>
      <c r="AE55" s="149">
        <f t="shared" si="3"/>
        <v>0</v>
      </c>
      <c r="AF55" s="149" t="str">
        <f>IF(J55=Formeln_RI_P.10!$A$151,"",4)</f>
        <v/>
      </c>
      <c r="AG55" s="149">
        <v>1</v>
      </c>
      <c r="AH55" s="57" t="s">
        <v>1550</v>
      </c>
      <c r="AI55" s="57" t="s">
        <v>109</v>
      </c>
      <c r="AJ55" s="57" t="s">
        <v>1551</v>
      </c>
      <c r="AK55" s="57" t="s">
        <v>45</v>
      </c>
      <c r="AL55" s="57" t="s">
        <v>1552</v>
      </c>
      <c r="AM55" s="177" t="s">
        <v>1553</v>
      </c>
      <c r="AN55" s="177" t="s">
        <v>1484</v>
      </c>
      <c r="AO55" s="60">
        <f>IF($O$21=1,AH55,IF($O$21=2,AI55,IF($O$21=3,AJ55,0)))</f>
        <v>0</v>
      </c>
      <c r="AP55" s="57" t="s">
        <v>1550</v>
      </c>
      <c r="AQ55" s="57" t="s">
        <v>109</v>
      </c>
      <c r="AR55" s="57" t="s">
        <v>1551</v>
      </c>
      <c r="AS55" s="57" t="s">
        <v>45</v>
      </c>
      <c r="AT55" s="57" t="s">
        <v>1552</v>
      </c>
      <c r="AU55" s="177" t="s">
        <v>1553</v>
      </c>
      <c r="AV55" s="177" t="s">
        <v>1484</v>
      </c>
    </row>
    <row r="56" spans="1:49" ht="32.1" customHeight="1">
      <c r="A56" s="98"/>
      <c r="B56" s="79" t="str">
        <f>VLOOKUP(878,Sprachindex!$A:$Z,Info!$O$7,FALSE)</f>
        <v>Stk.</v>
      </c>
      <c r="C56" s="78"/>
      <c r="D56" s="78">
        <f>AO56</f>
        <v>0</v>
      </c>
      <c r="E56" s="561" t="str">
        <f>VLOOKUP(1001,Sprachindex!$A:$Z,Info!$O$7,FALSE)</f>
        <v>Wandmontageplatte</v>
      </c>
      <c r="F56" s="562"/>
      <c r="G56" s="562"/>
      <c r="H56" s="562"/>
      <c r="I56" s="562"/>
      <c r="J56" s="627"/>
      <c r="K56" s="628"/>
      <c r="L56" s="79" t="str">
        <f t="shared" si="4"/>
        <v xml:space="preserve"> </v>
      </c>
      <c r="M56" s="433" t="str">
        <f t="shared" si="1"/>
        <v>Stk.</v>
      </c>
      <c r="N56" s="80"/>
      <c r="O56" s="202" t="str">
        <f>IF(ISNUMBER(A56),$L56*R56, "")</f>
        <v/>
      </c>
      <c r="R56" s="200">
        <v>9.9</v>
      </c>
      <c r="S56" s="195"/>
      <c r="T56" s="195"/>
      <c r="U56" s="195"/>
      <c r="V56" s="195"/>
      <c r="W56" s="195"/>
      <c r="X56" s="195"/>
      <c r="Y56" s="195"/>
      <c r="Z56" s="195"/>
      <c r="AA56" s="195"/>
      <c r="AB56" s="71"/>
      <c r="AC56" s="1"/>
      <c r="AD56" s="149">
        <f t="shared" si="0"/>
        <v>0</v>
      </c>
      <c r="AE56" s="149">
        <f t="shared" si="3"/>
        <v>0</v>
      </c>
      <c r="AF56" s="149">
        <v>10</v>
      </c>
      <c r="AG56" s="149">
        <v>1</v>
      </c>
      <c r="AH56" t="s">
        <v>1063</v>
      </c>
      <c r="AI56" t="s">
        <v>1064</v>
      </c>
      <c r="AJ56" t="s">
        <v>1665</v>
      </c>
      <c r="AK56" t="s">
        <v>1065</v>
      </c>
      <c r="AL56" t="s">
        <v>1066</v>
      </c>
      <c r="AM56" t="s">
        <v>1067</v>
      </c>
      <c r="AN56" t="s">
        <v>1068</v>
      </c>
      <c r="AO56" s="60">
        <f>IF($O$21=1,AH56,IF($O$21=2,AI56,IF($O$21=3,AJ56,0)))</f>
        <v>0</v>
      </c>
      <c r="AW56" s="60">
        <f>IF($O$21=1,AP56,IF($O$21=2,AQ56,IF($O$21=3,AR56,0)))</f>
        <v>0</v>
      </c>
    </row>
    <row r="57" spans="1:49" ht="32.1" customHeight="1">
      <c r="A57" s="98"/>
      <c r="B57" s="79" t="str">
        <f>VLOOKUP(878,Sprachindex!$A:$Z,Info!$O$7,FALSE)</f>
        <v>Stk.</v>
      </c>
      <c r="C57" s="78"/>
      <c r="D57" s="78">
        <v>529502</v>
      </c>
      <c r="E57" s="561" t="str">
        <f>VLOOKUP(138,Sprachindex!$A:$Z,Info!$O$7,FALSE)</f>
        <v>Abdeckkappe für Rohrschellendorn</v>
      </c>
      <c r="F57" s="562"/>
      <c r="G57" s="562"/>
      <c r="H57" s="562"/>
      <c r="I57" s="562"/>
      <c r="J57" s="627"/>
      <c r="K57" s="628"/>
      <c r="L57" s="79" t="str">
        <f>IF(OR(A57="",AF57="",AG57="")," ",IF($O$11=1,AD57,IF($O$11=2,AE57,0)))</f>
        <v xml:space="preserve"> </v>
      </c>
      <c r="M57" s="433" t="str">
        <f t="shared" si="1"/>
        <v>Stk.</v>
      </c>
      <c r="N57" s="80"/>
      <c r="O57" s="202" t="str">
        <f>IF(ISNUMBER(A57),$L57*R57, "")</f>
        <v/>
      </c>
      <c r="R57" s="200">
        <v>0.61</v>
      </c>
      <c r="S57" s="195"/>
      <c r="T57" s="195"/>
      <c r="U57" s="195"/>
      <c r="V57" s="195"/>
      <c r="W57" s="195"/>
      <c r="X57" s="195"/>
      <c r="Y57" s="195"/>
      <c r="Z57" s="195"/>
      <c r="AA57" s="195"/>
      <c r="AB57" s="71"/>
      <c r="AC57" s="1"/>
      <c r="AD57" s="149">
        <f t="shared" si="0"/>
        <v>0</v>
      </c>
      <c r="AE57" s="149">
        <f t="shared" si="3"/>
        <v>0</v>
      </c>
      <c r="AF57" s="161">
        <v>25</v>
      </c>
      <c r="AG57" s="161">
        <v>1</v>
      </c>
    </row>
    <row r="58" spans="1:49" ht="32.1" customHeight="1">
      <c r="A58" s="98"/>
      <c r="B58" s="79" t="str">
        <f>VLOOKUP(878,Sprachindex!$A:$Z,Info!$O$7,FALSE)</f>
        <v>Stk.</v>
      </c>
      <c r="C58" s="78"/>
      <c r="D58" s="78">
        <f t="shared" ref="D58:D59" si="11">AO58</f>
        <v>0</v>
      </c>
      <c r="E58" s="561" t="str">
        <f>VLOOKUP(1877,Sprachindex!$A:$Z,Info!$O$7,FALSE)</f>
        <v>Ausbesserungslack</v>
      </c>
      <c r="F58" s="562"/>
      <c r="G58" s="562"/>
      <c r="H58" s="562"/>
      <c r="I58" s="562"/>
      <c r="J58" s="627" t="str">
        <f>VLOOKUP(1878,Sprachindex!$A:$Z,Info!$O$7,FALSE)</f>
        <v>12 ml</v>
      </c>
      <c r="K58" s="628"/>
      <c r="L58" s="79" t="str">
        <f t="shared" ref="L58:L64" si="12">IF(OR(A58="",AF58="",AG58="")," ",IF($O$11=1,$AD58,IF($O$11=2,AE58,0)))</f>
        <v xml:space="preserve"> </v>
      </c>
      <c r="M58" s="433" t="str">
        <f t="shared" si="1"/>
        <v>Stk.</v>
      </c>
      <c r="N58" s="80"/>
      <c r="O58" s="202" t="str">
        <f t="shared" ref="O58:O63" si="13">IF(ISNUMBER(A58),$L58*R58, "")</f>
        <v/>
      </c>
      <c r="R58" s="200">
        <v>6.01</v>
      </c>
      <c r="S58" s="195"/>
      <c r="T58" s="195"/>
      <c r="U58" s="195"/>
      <c r="V58" s="195"/>
      <c r="W58" s="195"/>
      <c r="X58" s="195"/>
      <c r="Y58" s="195"/>
      <c r="Z58" s="195"/>
      <c r="AA58" s="195"/>
      <c r="AB58" s="71"/>
      <c r="AC58" s="1"/>
      <c r="AD58" s="149">
        <f t="shared" ref="AD58:AE61" si="14">ROUNDUP($A58/AF58,0)*AF58</f>
        <v>0</v>
      </c>
      <c r="AE58" s="149">
        <f t="shared" si="14"/>
        <v>0</v>
      </c>
      <c r="AF58" s="149">
        <v>1</v>
      </c>
      <c r="AG58" s="149">
        <v>1</v>
      </c>
      <c r="AH58" s="1">
        <v>430151</v>
      </c>
      <c r="AI58" s="1">
        <v>430150</v>
      </c>
      <c r="AJ58" s="1">
        <v>430153</v>
      </c>
      <c r="AK58" s="1">
        <v>430152</v>
      </c>
      <c r="AM58" s="1">
        <v>430154</v>
      </c>
      <c r="AN58" s="1">
        <v>430155</v>
      </c>
      <c r="AO58" s="60">
        <f t="shared" ref="AO58:AO59" si="15">IF($O$21=1,AH58,IF($O$21=2,AI58,IF($O$21=3,AJ58,0)))</f>
        <v>0</v>
      </c>
    </row>
    <row r="59" spans="1:49" ht="32.1" customHeight="1">
      <c r="A59" s="98"/>
      <c r="B59" s="79" t="str">
        <f>VLOOKUP(878,Sprachindex!$A:$Z,Info!$O$7,FALSE)</f>
        <v>Stk.</v>
      </c>
      <c r="C59" s="78"/>
      <c r="D59" s="78">
        <f t="shared" si="11"/>
        <v>0</v>
      </c>
      <c r="E59" s="561" t="str">
        <f>VLOOKUP(1879,Sprachindex!$A:$Z,Info!$O$7,FALSE)</f>
        <v>Ausbesserungsstift</v>
      </c>
      <c r="F59" s="562"/>
      <c r="G59" s="562"/>
      <c r="H59" s="562"/>
      <c r="I59" s="562"/>
      <c r="J59" s="627" t="str">
        <f>VLOOKUP(1880,Sprachindex!$A:$Z,Info!$O$7,FALSE)</f>
        <v>11 ml</v>
      </c>
      <c r="K59" s="628"/>
      <c r="L59" s="79" t="str">
        <f t="shared" si="12"/>
        <v xml:space="preserve"> </v>
      </c>
      <c r="M59" s="433" t="str">
        <f t="shared" si="1"/>
        <v>Stk.</v>
      </c>
      <c r="N59" s="80"/>
      <c r="O59" s="202" t="str">
        <f t="shared" si="13"/>
        <v/>
      </c>
      <c r="R59" s="200">
        <v>14.32</v>
      </c>
      <c r="S59" s="195"/>
      <c r="T59" s="195"/>
      <c r="U59" s="195"/>
      <c r="V59" s="195"/>
      <c r="W59" s="195"/>
      <c r="X59" s="195"/>
      <c r="Y59" s="195"/>
      <c r="Z59" s="195"/>
      <c r="AA59" s="195"/>
      <c r="AB59" s="71"/>
      <c r="AC59" s="1"/>
      <c r="AD59" s="149">
        <f t="shared" si="14"/>
        <v>0</v>
      </c>
      <c r="AE59" s="149">
        <f t="shared" si="14"/>
        <v>0</v>
      </c>
      <c r="AF59" s="149">
        <v>1</v>
      </c>
      <c r="AG59" s="149">
        <v>1</v>
      </c>
      <c r="AH59" s="1">
        <v>430201</v>
      </c>
      <c r="AI59" s="1">
        <v>430200</v>
      </c>
      <c r="AJ59" s="1">
        <v>430203</v>
      </c>
      <c r="AK59" s="1">
        <v>430202</v>
      </c>
      <c r="AL59" s="1">
        <v>430206</v>
      </c>
      <c r="AM59" s="1">
        <v>430204</v>
      </c>
      <c r="AN59" s="1">
        <v>430205</v>
      </c>
      <c r="AO59" s="60">
        <f t="shared" si="15"/>
        <v>0</v>
      </c>
    </row>
    <row r="60" spans="1:49" ht="32.1" customHeight="1">
      <c r="A60" s="98"/>
      <c r="B60" s="79" t="str">
        <f>VLOOKUP(878,Sprachindex!$A:$Z,Info!$O$7,FALSE)</f>
        <v>Stk.</v>
      </c>
      <c r="C60" s="78"/>
      <c r="D60" s="78">
        <v>425002</v>
      </c>
      <c r="E60" s="561" t="str">
        <f>VLOOKUP(167,Sprachindex!$A:$Z,Info!$O$7,FALSE)</f>
        <v>Aluminiumlötstäbe</v>
      </c>
      <c r="F60" s="562"/>
      <c r="G60" s="562"/>
      <c r="H60" s="562"/>
      <c r="I60" s="562"/>
      <c r="J60" s="627" t="str">
        <f>VLOOKUP(75,Sprachindex!$A:$Z,Info!$O$7,FALSE)</f>
        <v>250 g</v>
      </c>
      <c r="K60" s="628"/>
      <c r="L60" s="79" t="str">
        <f t="shared" si="12"/>
        <v xml:space="preserve"> </v>
      </c>
      <c r="M60" s="433" t="str">
        <f t="shared" si="1"/>
        <v>Stk.</v>
      </c>
      <c r="N60" s="80"/>
      <c r="O60" s="202" t="str">
        <f t="shared" si="13"/>
        <v/>
      </c>
      <c r="R60" s="200">
        <v>145.6</v>
      </c>
      <c r="S60" s="195"/>
      <c r="T60" s="195"/>
      <c r="U60" s="195"/>
      <c r="V60" s="195"/>
      <c r="W60" s="195"/>
      <c r="X60" s="195"/>
      <c r="Y60" s="195"/>
      <c r="Z60" s="195"/>
      <c r="AA60" s="195"/>
      <c r="AB60" s="71"/>
      <c r="AC60" s="1"/>
      <c r="AD60" s="149">
        <f t="shared" si="14"/>
        <v>0</v>
      </c>
      <c r="AE60" s="149">
        <f t="shared" si="14"/>
        <v>0</v>
      </c>
      <c r="AF60" s="149">
        <v>1</v>
      </c>
      <c r="AG60" s="149">
        <v>1</v>
      </c>
    </row>
    <row r="61" spans="1:49" ht="32.1" customHeight="1">
      <c r="A61" s="98"/>
      <c r="B61" s="79" t="str">
        <f>VLOOKUP(878,Sprachindex!$A:$Z,Info!$O$7,FALSE)</f>
        <v>Stk.</v>
      </c>
      <c r="C61" s="78"/>
      <c r="D61" s="78">
        <v>420006</v>
      </c>
      <c r="E61" s="561" t="str">
        <f>VLOOKUP(838,Sprachindex!$A:$Z,Info!$O$7,FALSE)</f>
        <v>Spezialsilikon</v>
      </c>
      <c r="F61" s="562"/>
      <c r="G61" s="562"/>
      <c r="H61" s="562"/>
      <c r="I61" s="562"/>
      <c r="J61" s="627" t="str">
        <f>VLOOKUP(86,Sprachindex!$A:$Z,Info!$O$7,FALSE)</f>
        <v>300 ml</v>
      </c>
      <c r="K61" s="628"/>
      <c r="L61" s="79" t="str">
        <f t="shared" si="12"/>
        <v xml:space="preserve"> </v>
      </c>
      <c r="M61" s="433" t="str">
        <f t="shared" si="1"/>
        <v>Stk.</v>
      </c>
      <c r="N61" s="80"/>
      <c r="O61" s="202" t="str">
        <f t="shared" si="13"/>
        <v/>
      </c>
      <c r="R61" s="200">
        <v>10.11</v>
      </c>
      <c r="S61" s="195"/>
      <c r="T61" s="195"/>
      <c r="U61" s="195"/>
      <c r="V61" s="195"/>
      <c r="W61" s="195"/>
      <c r="X61" s="195"/>
      <c r="Y61" s="195"/>
      <c r="Z61" s="195"/>
      <c r="AA61" s="195"/>
      <c r="AB61" s="71"/>
      <c r="AC61" s="1"/>
      <c r="AD61" s="149">
        <f t="shared" si="14"/>
        <v>0</v>
      </c>
      <c r="AE61" s="149">
        <f t="shared" si="14"/>
        <v>0</v>
      </c>
      <c r="AF61" s="149">
        <v>1</v>
      </c>
      <c r="AG61" s="149">
        <v>1</v>
      </c>
    </row>
    <row r="62" spans="1:49" ht="32.1" customHeight="1">
      <c r="A62" s="98"/>
      <c r="B62" s="79" t="str">
        <f>VLOOKUP(878,Sprachindex!$A:$Z,Info!$O$7,FALSE)</f>
        <v>Stk.</v>
      </c>
      <c r="C62" s="78"/>
      <c r="D62" s="78">
        <v>420501</v>
      </c>
      <c r="E62" s="561" t="str">
        <f>VLOOKUP(851,Sprachindex!$A:$Z,Info!$O$7,FALSE)</f>
        <v>Spezialkleber</v>
      </c>
      <c r="F62" s="562"/>
      <c r="G62" s="562"/>
      <c r="H62" s="562"/>
      <c r="I62" s="562"/>
      <c r="J62" s="627"/>
      <c r="K62" s="628"/>
      <c r="L62" s="79" t="str">
        <f t="shared" ref="L62:L63" si="16">IF(A62=0,"",IF($O$11=1,AD62,AE62))</f>
        <v/>
      </c>
      <c r="M62" s="433" t="str">
        <f t="shared" si="1"/>
        <v>Stk.</v>
      </c>
      <c r="N62" s="80"/>
      <c r="O62" s="202" t="str">
        <f t="shared" si="13"/>
        <v/>
      </c>
      <c r="R62" s="200">
        <v>39.130000000000003</v>
      </c>
      <c r="S62" s="195"/>
      <c r="T62" s="195"/>
      <c r="U62" s="195"/>
      <c r="V62" s="195"/>
      <c r="W62" s="195"/>
      <c r="X62" s="195"/>
      <c r="Y62" s="195"/>
      <c r="Z62" s="195"/>
      <c r="AA62" s="195"/>
      <c r="AB62" s="71"/>
      <c r="AC62" s="1"/>
      <c r="AD62" s="149">
        <f>ROUNDUP($A62/24,0)*24</f>
        <v>0</v>
      </c>
      <c r="AE62" s="149">
        <f>ROUNDUP($A62,0)</f>
        <v>0</v>
      </c>
      <c r="AF62" s="150"/>
    </row>
    <row r="63" spans="1:49" ht="32.1" customHeight="1">
      <c r="A63" s="98"/>
      <c r="B63" s="79" t="str">
        <f>VLOOKUP(821,Sprachindex!$A:$Z,Info!$O$7,FALSE)</f>
        <v>Set</v>
      </c>
      <c r="C63" s="81"/>
      <c r="D63" s="78">
        <v>420500</v>
      </c>
      <c r="E63" s="561" t="str">
        <f>VLOOKUP(852,Sprachindex!$A:$Z,Info!$O$7,FALSE)</f>
        <v>Spezialkleberset</v>
      </c>
      <c r="F63" s="562"/>
      <c r="G63" s="562"/>
      <c r="H63" s="562"/>
      <c r="I63" s="562"/>
      <c r="J63" s="627"/>
      <c r="K63" s="628"/>
      <c r="L63" s="79" t="str">
        <f t="shared" si="16"/>
        <v/>
      </c>
      <c r="M63" s="433" t="str">
        <f t="shared" si="1"/>
        <v>Set</v>
      </c>
      <c r="N63" s="80"/>
      <c r="O63" s="202" t="str">
        <f t="shared" si="13"/>
        <v/>
      </c>
      <c r="R63" s="200">
        <v>53.57</v>
      </c>
      <c r="S63" s="195"/>
      <c r="T63" s="195"/>
      <c r="U63" s="195"/>
      <c r="V63" s="195"/>
      <c r="W63" s="195"/>
      <c r="X63" s="195"/>
      <c r="Y63" s="195"/>
      <c r="Z63" s="195"/>
      <c r="AA63" s="195"/>
      <c r="AB63" s="71"/>
      <c r="AC63" s="1"/>
      <c r="AD63" s="149">
        <f>ROUNDUP($A63,0)</f>
        <v>0</v>
      </c>
      <c r="AE63" s="149">
        <f>ROUNDUP($A63,0)</f>
        <v>0</v>
      </c>
      <c r="AF63" s="145"/>
    </row>
    <row r="64" spans="1:49" ht="32.1" customHeight="1">
      <c r="A64" s="109"/>
      <c r="B64" s="79" t="str">
        <f>VLOOKUP(878,Sprachindex!$A:$Z,Info!$O$7,FALSE)</f>
        <v>Stk.</v>
      </c>
      <c r="C64" s="78"/>
      <c r="D64" s="78">
        <v>420028</v>
      </c>
      <c r="E64" s="561" t="str">
        <f>VLOOKUP(723,Sprachindex!$A:$Z,Info!$O$7,FALSE)</f>
        <v>Rinnenwulstöffner</v>
      </c>
      <c r="F64" s="562"/>
      <c r="G64" s="562"/>
      <c r="H64" s="562"/>
      <c r="I64" s="562"/>
      <c r="J64" s="627"/>
      <c r="K64" s="628"/>
      <c r="L64" s="79" t="str">
        <f t="shared" si="12"/>
        <v xml:space="preserve"> </v>
      </c>
      <c r="M64" s="433" t="str">
        <f t="shared" si="1"/>
        <v>Stk.</v>
      </c>
      <c r="N64" s="80"/>
      <c r="O64" s="202" t="str">
        <f>IF(ISNUMBER(A64),$L64*R64, "")</f>
        <v/>
      </c>
      <c r="R64" s="200">
        <v>72.28</v>
      </c>
      <c r="S64" s="195"/>
      <c r="T64" s="195"/>
      <c r="U64" s="195"/>
      <c r="V64" s="195"/>
      <c r="W64" s="195"/>
      <c r="X64" s="195"/>
      <c r="Y64" s="195"/>
      <c r="Z64" s="195"/>
      <c r="AA64" s="195"/>
      <c r="AB64" s="71"/>
      <c r="AC64" s="1"/>
      <c r="AD64" s="149">
        <f>ROUNDUP($A64/AF64,0)*AF64</f>
        <v>0</v>
      </c>
      <c r="AE64" s="149">
        <f>ROUNDUP($A64/AG64,0)*AG64</f>
        <v>0</v>
      </c>
      <c r="AF64" s="149">
        <v>1</v>
      </c>
      <c r="AG64" s="149">
        <v>1</v>
      </c>
    </row>
    <row r="65" spans="1:35" ht="32.1" customHeight="1">
      <c r="A65" s="109"/>
      <c r="B65" s="104"/>
      <c r="C65" s="104"/>
      <c r="D65" s="104"/>
      <c r="E65" s="575"/>
      <c r="F65" s="576"/>
      <c r="G65" s="576"/>
      <c r="H65" s="576"/>
      <c r="I65" s="576"/>
      <c r="J65" s="576"/>
      <c r="K65" s="577"/>
      <c r="L65" s="104"/>
      <c r="M65" s="433"/>
      <c r="N65" s="80"/>
      <c r="O65" s="202" t="str">
        <f>IF(ISNUMBER(A65),$L65*#REF!, "")</f>
        <v/>
      </c>
      <c r="S65" s="195"/>
      <c r="T65" s="195"/>
      <c r="U65" s="195"/>
      <c r="V65" s="195"/>
      <c r="W65" s="195"/>
      <c r="X65" s="195"/>
      <c r="Y65" s="195"/>
      <c r="Z65" s="195"/>
      <c r="AA65" s="195"/>
      <c r="AB65" s="71"/>
      <c r="AC65" s="1"/>
      <c r="AD65" s="8"/>
      <c r="AE65" s="8"/>
      <c r="AF65" s="8"/>
      <c r="AG65" s="8"/>
      <c r="AI65"/>
    </row>
    <row r="66" spans="1:35" ht="32.1" customHeight="1">
      <c r="A66" s="109"/>
      <c r="B66" s="104"/>
      <c r="C66" s="104"/>
      <c r="D66" s="104"/>
      <c r="E66" s="575"/>
      <c r="F66" s="576"/>
      <c r="G66" s="576"/>
      <c r="H66" s="576"/>
      <c r="I66" s="576"/>
      <c r="J66" s="576"/>
      <c r="K66" s="577"/>
      <c r="L66" s="104"/>
      <c r="M66" s="433"/>
      <c r="N66" s="80"/>
      <c r="O66" s="202" t="str">
        <f>IF(ISNUMBER(A66),$L66*#REF!, "")</f>
        <v/>
      </c>
      <c r="S66" s="195"/>
      <c r="T66" s="195"/>
      <c r="U66" s="195"/>
      <c r="V66" s="195"/>
      <c r="W66" s="195"/>
      <c r="X66" s="195"/>
      <c r="Y66" s="195"/>
      <c r="Z66" s="195"/>
      <c r="AA66" s="195"/>
      <c r="AB66" s="71"/>
      <c r="AC66" s="1"/>
      <c r="AD66" s="8"/>
      <c r="AE66" s="8"/>
      <c r="AF66" s="8"/>
      <c r="AG66" s="8"/>
    </row>
    <row r="67" spans="1:35" ht="32.1" customHeight="1" thickBot="1">
      <c r="A67" s="153"/>
      <c r="B67" s="154"/>
      <c r="C67" s="154"/>
      <c r="D67" s="154"/>
      <c r="E67" s="578"/>
      <c r="F67" s="579"/>
      <c r="G67" s="579"/>
      <c r="H67" s="579"/>
      <c r="I67" s="579"/>
      <c r="J67" s="579"/>
      <c r="K67" s="580"/>
      <c r="L67" s="154"/>
      <c r="M67" s="434"/>
      <c r="N67" s="155"/>
      <c r="O67" s="202" t="str">
        <f>IF(ISNUMBER(A67),$L67*#REF!, "")</f>
        <v/>
      </c>
      <c r="S67" s="195"/>
      <c r="T67" s="195"/>
      <c r="U67" s="195"/>
      <c r="V67" s="195"/>
      <c r="W67" s="195"/>
      <c r="X67" s="195"/>
      <c r="Y67" s="195"/>
      <c r="Z67" s="195"/>
      <c r="AA67" s="195"/>
      <c r="AB67" s="71"/>
      <c r="AC67" s="1"/>
      <c r="AD67" s="8"/>
      <c r="AE67" s="8"/>
      <c r="AF67" s="8"/>
      <c r="AG67" s="8"/>
    </row>
    <row r="68" spans="1:35" ht="15" customHeight="1">
      <c r="A68" s="70"/>
      <c r="B68" s="70"/>
      <c r="C68" s="70"/>
      <c r="D68" s="564"/>
      <c r="E68" s="564"/>
      <c r="F68" s="564"/>
      <c r="G68" s="564"/>
      <c r="H68" s="564"/>
      <c r="I68" s="564"/>
      <c r="J68" s="564"/>
      <c r="K68" s="564"/>
      <c r="L68" s="564"/>
      <c r="M68" s="564"/>
      <c r="N68" s="564"/>
      <c r="S68" s="195"/>
      <c r="T68" s="195"/>
      <c r="U68" s="195"/>
      <c r="V68" s="195"/>
      <c r="W68" s="195"/>
      <c r="X68" s="195"/>
      <c r="Y68" s="195"/>
      <c r="Z68" s="195"/>
      <c r="AA68" s="195"/>
      <c r="AB68" s="71"/>
      <c r="AF68" s="8"/>
      <c r="AG68" s="8"/>
    </row>
    <row r="69" spans="1:35" ht="17.399999999999999">
      <c r="A69" s="70"/>
      <c r="B69" s="70"/>
      <c r="C69" s="89" t="str">
        <f>VLOOKUP(1035,Sprachindex!$A:$Z,Info!$O$7,FALSE)</f>
        <v>Zusatzvermerk:</v>
      </c>
      <c r="D69" s="565"/>
      <c r="E69" s="565"/>
      <c r="F69" s="565"/>
      <c r="G69" s="565"/>
      <c r="H69" s="565"/>
      <c r="I69" s="565"/>
      <c r="J69" s="565"/>
      <c r="K69" s="565"/>
      <c r="L69" s="565"/>
      <c r="M69" s="565"/>
      <c r="N69" s="565"/>
      <c r="O69" s="196">
        <f>SUM(O31:O67)</f>
        <v>0</v>
      </c>
      <c r="S69" s="195"/>
      <c r="T69" s="195"/>
      <c r="U69" s="195"/>
      <c r="V69" s="195"/>
      <c r="W69" s="195"/>
      <c r="X69" s="195"/>
      <c r="Y69" s="195"/>
      <c r="Z69" s="195"/>
      <c r="AA69" s="195"/>
      <c r="AB69" s="71"/>
    </row>
    <row r="70" spans="1:35" ht="17.399999999999999">
      <c r="A70" s="70"/>
      <c r="B70" s="70"/>
      <c r="C70" s="70"/>
      <c r="D70" s="566"/>
      <c r="E70" s="566"/>
      <c r="F70" s="566"/>
      <c r="G70" s="566"/>
      <c r="H70" s="566"/>
      <c r="I70" s="566"/>
      <c r="J70" s="566"/>
      <c r="K70" s="566"/>
      <c r="L70" s="566"/>
      <c r="M70" s="566"/>
      <c r="N70" s="566"/>
      <c r="S70" s="195"/>
      <c r="T70" s="195"/>
      <c r="U70" s="195"/>
      <c r="V70" s="195"/>
      <c r="W70" s="195"/>
      <c r="X70" s="195"/>
      <c r="Y70" s="195"/>
      <c r="Z70" s="195"/>
      <c r="AA70" s="195"/>
      <c r="AB70" s="71"/>
    </row>
    <row r="71" spans="1:35" ht="17.399999999999999">
      <c r="A71" s="70"/>
      <c r="B71" s="70"/>
      <c r="C71" s="70"/>
      <c r="D71" s="565"/>
      <c r="E71" s="565"/>
      <c r="F71" s="565"/>
      <c r="G71" s="565"/>
      <c r="H71" s="565"/>
      <c r="I71" s="565"/>
      <c r="J71" s="565"/>
      <c r="K71" s="565"/>
      <c r="L71" s="565"/>
      <c r="M71" s="565"/>
      <c r="N71" s="565"/>
      <c r="S71" s="195"/>
      <c r="T71" s="195"/>
      <c r="U71" s="195"/>
      <c r="V71" s="195"/>
      <c r="W71" s="195"/>
      <c r="X71" s="195"/>
      <c r="Y71" s="195"/>
      <c r="Z71" s="195"/>
      <c r="AA71" s="195"/>
      <c r="AB71" s="71"/>
    </row>
    <row r="72" spans="1:35" ht="17.399999999999999">
      <c r="A72" s="70"/>
      <c r="B72" s="70"/>
      <c r="C72" s="70"/>
      <c r="D72" s="566"/>
      <c r="E72" s="566"/>
      <c r="F72" s="566"/>
      <c r="G72" s="566"/>
      <c r="H72" s="566"/>
      <c r="I72" s="566"/>
      <c r="J72" s="566"/>
      <c r="K72" s="566"/>
      <c r="L72" s="566"/>
      <c r="M72" s="566"/>
      <c r="N72" s="566"/>
      <c r="S72" s="195"/>
      <c r="T72" s="195"/>
      <c r="U72" s="195"/>
      <c r="V72" s="195"/>
      <c r="W72" s="195"/>
      <c r="X72" s="195"/>
      <c r="Y72" s="195"/>
      <c r="Z72" s="195"/>
      <c r="AA72" s="195"/>
      <c r="AB72" s="71"/>
    </row>
    <row r="73" spans="1:35" ht="17.399999999999999">
      <c r="A73" s="70"/>
      <c r="B73" s="70"/>
      <c r="C73" s="70"/>
      <c r="D73" s="565"/>
      <c r="E73" s="565"/>
      <c r="F73" s="565"/>
      <c r="G73" s="565"/>
      <c r="H73" s="565"/>
      <c r="I73" s="565"/>
      <c r="J73" s="565"/>
      <c r="K73" s="565"/>
      <c r="L73" s="565"/>
      <c r="M73" s="565"/>
      <c r="N73" s="565"/>
      <c r="S73" s="195"/>
      <c r="T73" s="195"/>
      <c r="U73" s="195"/>
      <c r="V73" s="195"/>
      <c r="W73" s="195"/>
      <c r="X73" s="195"/>
      <c r="Y73" s="195"/>
      <c r="Z73" s="195"/>
      <c r="AA73" s="195"/>
      <c r="AB73" s="71"/>
    </row>
    <row r="74" spans="1:35" ht="17.399999999999999">
      <c r="A74" s="70"/>
      <c r="B74" s="70"/>
      <c r="C74" s="70"/>
      <c r="D74" s="70"/>
      <c r="E74" s="70"/>
      <c r="F74" s="70"/>
      <c r="G74" s="70"/>
      <c r="H74" s="70"/>
      <c r="I74" s="70"/>
      <c r="J74" s="70"/>
      <c r="K74" s="70"/>
      <c r="L74" s="70"/>
      <c r="M74" s="70"/>
      <c r="N74" s="70"/>
      <c r="S74" s="195"/>
      <c r="T74" s="195"/>
      <c r="U74" s="195"/>
      <c r="V74" s="195"/>
      <c r="W74" s="195"/>
      <c r="X74" s="195"/>
      <c r="Y74" s="195"/>
      <c r="Z74" s="195"/>
      <c r="AA74" s="195"/>
      <c r="AB74" s="71"/>
    </row>
    <row r="75" spans="1:35" ht="17.399999999999999">
      <c r="A75" s="70"/>
      <c r="B75" s="70"/>
      <c r="C75" s="70"/>
      <c r="D75" s="70"/>
      <c r="E75" s="70"/>
      <c r="F75" s="70"/>
      <c r="G75" s="70"/>
      <c r="H75" s="70"/>
      <c r="I75" s="70"/>
      <c r="J75" s="70"/>
      <c r="K75" s="70"/>
      <c r="L75" s="70"/>
      <c r="M75" s="70"/>
      <c r="N75" s="70"/>
      <c r="S75" s="195"/>
      <c r="T75" s="195"/>
      <c r="U75" s="195"/>
      <c r="V75" s="195"/>
      <c r="W75" s="195"/>
      <c r="X75" s="195"/>
      <c r="Y75" s="195"/>
      <c r="Z75" s="195"/>
      <c r="AA75" s="195"/>
      <c r="AB75" s="71"/>
    </row>
    <row r="76" spans="1:35" ht="17.399999999999999">
      <c r="A76" s="90" t="str">
        <f>VLOOKUP(2097,Sprachindex!$A:$Z,Info!$O$7,FALSE)</f>
        <v>Produkttechnik</v>
      </c>
      <c r="B76" s="91"/>
      <c r="C76" s="91"/>
      <c r="D76" s="569"/>
      <c r="E76" s="569"/>
      <c r="F76" s="569"/>
      <c r="G76" s="569"/>
      <c r="H76" s="569"/>
      <c r="I76" s="569"/>
      <c r="J76" s="569"/>
      <c r="K76" s="92" t="str">
        <f>VLOOKUP(856,Sprachindex!$A:$Z,Info!$O$7,FALSE)</f>
        <v>Stand:</v>
      </c>
      <c r="L76" s="567">
        <f>Info!M59</f>
        <v>45511</v>
      </c>
      <c r="M76" s="567"/>
      <c r="N76" s="568"/>
      <c r="S76" s="195"/>
      <c r="T76" s="195"/>
      <c r="U76" s="195"/>
      <c r="V76" s="195"/>
      <c r="W76" s="195"/>
      <c r="X76" s="195"/>
      <c r="Y76" s="195"/>
      <c r="Z76" s="195"/>
      <c r="AA76" s="195"/>
      <c r="AB76" s="71"/>
    </row>
    <row r="77" spans="1:35" ht="17.399999999999999">
      <c r="S77" s="195"/>
      <c r="T77" s="195"/>
      <c r="U77" s="195"/>
      <c r="V77" s="195"/>
      <c r="W77" s="195"/>
      <c r="X77" s="195"/>
      <c r="Y77" s="195"/>
      <c r="Z77" s="195"/>
      <c r="AA77" s="195"/>
    </row>
    <row r="78" spans="1:35" ht="17.399999999999999" hidden="1">
      <c r="S78" s="195"/>
      <c r="T78" s="195"/>
      <c r="U78" s="195"/>
      <c r="V78" s="195"/>
      <c r="W78" s="195"/>
      <c r="X78" s="195"/>
      <c r="Y78" s="195"/>
      <c r="Z78" s="195"/>
      <c r="AA78" s="195"/>
    </row>
    <row r="79" spans="1:35" ht="17.399999999999999" hidden="1">
      <c r="S79" s="195"/>
      <c r="T79" s="195"/>
      <c r="U79" s="195"/>
      <c r="V79" s="195"/>
      <c r="W79" s="195"/>
      <c r="X79" s="195"/>
      <c r="Y79" s="195"/>
      <c r="Z79" s="195"/>
      <c r="AA79" s="195"/>
    </row>
    <row r="80" spans="1:35" ht="17.399999999999999" hidden="1">
      <c r="S80" s="195"/>
      <c r="T80" s="195"/>
      <c r="U80" s="195"/>
      <c r="V80" s="195"/>
      <c r="W80" s="195"/>
      <c r="X80" s="195"/>
      <c r="Y80" s="195"/>
      <c r="Z80" s="195"/>
      <c r="AA80" s="195"/>
    </row>
    <row r="81" spans="19:27" ht="17.399999999999999" hidden="1">
      <c r="S81" s="195"/>
      <c r="T81" s="195"/>
      <c r="U81" s="195"/>
      <c r="V81" s="195"/>
      <c r="W81" s="195"/>
      <c r="X81" s="195"/>
      <c r="Y81" s="195"/>
      <c r="Z81" s="195"/>
      <c r="AA81" s="195"/>
    </row>
    <row r="82" spans="19:27" ht="17.399999999999999" hidden="1">
      <c r="S82" s="195"/>
      <c r="T82" s="195"/>
      <c r="U82" s="195"/>
      <c r="V82" s="195"/>
      <c r="W82" s="195"/>
      <c r="X82" s="195"/>
      <c r="Y82" s="195"/>
      <c r="Z82" s="195"/>
      <c r="AA82" s="195"/>
    </row>
    <row r="83" spans="19:27" ht="17.399999999999999" hidden="1">
      <c r="S83" s="195"/>
      <c r="T83" s="195"/>
      <c r="U83" s="195"/>
      <c r="V83" s="195"/>
      <c r="W83" s="195"/>
      <c r="X83" s="195"/>
      <c r="Y83" s="195"/>
      <c r="Z83" s="195"/>
      <c r="AA83" s="195"/>
    </row>
    <row r="84" spans="19:27" ht="17.399999999999999" hidden="1">
      <c r="S84" s="195"/>
      <c r="T84" s="195"/>
      <c r="U84" s="195"/>
      <c r="V84" s="195"/>
      <c r="W84" s="195"/>
      <c r="X84" s="195"/>
      <c r="Y84" s="195"/>
      <c r="Z84" s="195"/>
      <c r="AA84" s="195"/>
    </row>
    <row r="85" spans="19:27" ht="17.399999999999999" hidden="1">
      <c r="S85" s="195"/>
      <c r="T85" s="195"/>
      <c r="U85" s="195"/>
      <c r="V85" s="195"/>
      <c r="W85" s="195"/>
      <c r="X85" s="195"/>
      <c r="Y85" s="195"/>
      <c r="Z85" s="195"/>
      <c r="AA85" s="195"/>
    </row>
    <row r="86" spans="19:27" ht="17.399999999999999" hidden="1">
      <c r="S86" s="195"/>
      <c r="T86" s="195"/>
      <c r="U86" s="195"/>
      <c r="V86" s="195"/>
      <c r="W86" s="195"/>
      <c r="X86" s="195"/>
      <c r="Y86" s="195"/>
      <c r="Z86" s="195"/>
      <c r="AA86" s="195"/>
    </row>
    <row r="87" spans="19:27" ht="17.399999999999999" hidden="1">
      <c r="S87" s="195"/>
      <c r="T87" s="195"/>
      <c r="U87" s="195"/>
      <c r="V87" s="195"/>
      <c r="W87" s="195"/>
      <c r="X87" s="195"/>
      <c r="Y87" s="195"/>
      <c r="Z87" s="195"/>
      <c r="AA87" s="195"/>
    </row>
    <row r="88" spans="19:27" ht="17.399999999999999" hidden="1">
      <c r="S88" s="195"/>
      <c r="T88" s="195"/>
      <c r="U88" s="195"/>
      <c r="V88" s="195"/>
      <c r="W88" s="195"/>
      <c r="X88" s="195"/>
      <c r="Y88" s="195"/>
      <c r="Z88" s="195"/>
      <c r="AA88" s="195"/>
    </row>
    <row r="89" spans="19:27" ht="17.399999999999999" hidden="1">
      <c r="S89" s="195"/>
      <c r="T89" s="195"/>
      <c r="U89" s="195"/>
      <c r="V89" s="195"/>
      <c r="W89" s="195"/>
      <c r="X89" s="195"/>
      <c r="Y89" s="195"/>
      <c r="Z89" s="195"/>
      <c r="AA89" s="195"/>
    </row>
    <row r="90" spans="19:27" ht="17.399999999999999" hidden="1">
      <c r="S90" s="195"/>
      <c r="T90" s="195"/>
      <c r="U90" s="195"/>
      <c r="V90" s="195"/>
      <c r="W90" s="195"/>
      <c r="X90" s="195"/>
      <c r="Y90" s="195"/>
      <c r="Z90" s="195"/>
      <c r="AA90" s="195"/>
    </row>
    <row r="91" spans="19:27" ht="17.399999999999999" hidden="1">
      <c r="S91" s="195"/>
      <c r="T91" s="195"/>
      <c r="U91" s="195"/>
      <c r="V91" s="195"/>
      <c r="W91" s="195"/>
      <c r="X91" s="195"/>
      <c r="Y91" s="195"/>
      <c r="Z91" s="195"/>
      <c r="AA91" s="195"/>
    </row>
    <row r="92" spans="19:27" ht="17.399999999999999" hidden="1">
      <c r="S92" s="195"/>
      <c r="T92" s="195"/>
      <c r="U92" s="195"/>
      <c r="V92" s="195"/>
      <c r="W92" s="195"/>
      <c r="X92" s="195"/>
      <c r="Y92" s="195"/>
      <c r="Z92" s="195"/>
      <c r="AA92" s="195"/>
    </row>
    <row r="93" spans="19:27" ht="17.399999999999999" hidden="1">
      <c r="S93" s="195"/>
      <c r="T93" s="195"/>
      <c r="U93" s="195"/>
      <c r="V93" s="195"/>
      <c r="W93" s="195"/>
      <c r="X93" s="195"/>
      <c r="Y93" s="195"/>
      <c r="Z93" s="195"/>
      <c r="AA93" s="195"/>
    </row>
    <row r="94" spans="19:27" ht="17.399999999999999" hidden="1">
      <c r="S94" s="195"/>
      <c r="T94" s="195"/>
      <c r="U94" s="195"/>
      <c r="V94" s="195"/>
      <c r="W94" s="195"/>
      <c r="X94" s="195"/>
      <c r="Y94" s="195"/>
      <c r="Z94" s="195"/>
      <c r="AA94" s="195"/>
    </row>
    <row r="95" spans="19:27" ht="17.399999999999999" hidden="1">
      <c r="S95" s="195"/>
      <c r="T95" s="195"/>
      <c r="U95" s="195"/>
      <c r="V95" s="195"/>
      <c r="W95" s="195"/>
      <c r="X95" s="195"/>
      <c r="Y95" s="195"/>
      <c r="Z95" s="195"/>
      <c r="AA95" s="195"/>
    </row>
    <row r="96" spans="19:27" ht="17.399999999999999" hidden="1">
      <c r="S96" s="195"/>
      <c r="T96" s="195"/>
      <c r="U96" s="195"/>
      <c r="V96" s="195"/>
      <c r="W96" s="195"/>
      <c r="X96" s="195"/>
      <c r="Y96" s="195"/>
      <c r="Z96" s="195"/>
      <c r="AA96" s="195"/>
    </row>
    <row r="97" spans="19:27" ht="17.399999999999999" hidden="1">
      <c r="S97" s="195"/>
      <c r="T97" s="195"/>
      <c r="U97" s="195"/>
      <c r="V97" s="195"/>
      <c r="W97" s="195"/>
      <c r="X97" s="195"/>
      <c r="Y97" s="195"/>
      <c r="Z97" s="195"/>
      <c r="AA97" s="195"/>
    </row>
    <row r="98" spans="19:27" ht="17.399999999999999" hidden="1">
      <c r="S98" s="195"/>
      <c r="T98" s="195"/>
      <c r="U98" s="195"/>
      <c r="V98" s="195"/>
      <c r="W98" s="195"/>
      <c r="X98" s="195"/>
      <c r="Y98" s="195"/>
      <c r="Z98" s="195"/>
      <c r="AA98" s="195"/>
    </row>
    <row r="99" spans="19:27" ht="17.399999999999999" hidden="1">
      <c r="S99" s="195"/>
      <c r="T99" s="195"/>
      <c r="U99" s="195"/>
      <c r="V99" s="195"/>
      <c r="W99" s="195"/>
      <c r="X99" s="195"/>
      <c r="Y99" s="195"/>
      <c r="Z99" s="195"/>
      <c r="AA99" s="195"/>
    </row>
    <row r="100" spans="19:27" ht="17.399999999999999" hidden="1">
      <c r="S100" s="195"/>
      <c r="T100" s="195"/>
      <c r="U100" s="195"/>
      <c r="V100" s="195"/>
      <c r="W100" s="195"/>
      <c r="X100" s="195"/>
      <c r="Y100" s="195"/>
      <c r="Z100" s="195"/>
      <c r="AA100" s="195"/>
    </row>
    <row r="101" spans="19:27" ht="17.399999999999999" hidden="1">
      <c r="S101" s="195"/>
      <c r="T101" s="195"/>
      <c r="U101" s="195"/>
      <c r="V101" s="195"/>
      <c r="W101" s="195"/>
      <c r="X101" s="195"/>
      <c r="Y101" s="195"/>
      <c r="Z101" s="195"/>
      <c r="AA101" s="195"/>
    </row>
    <row r="102" spans="19:27" ht="17.399999999999999" hidden="1">
      <c r="S102" s="195"/>
      <c r="T102" s="195"/>
      <c r="U102" s="195"/>
      <c r="V102" s="195"/>
      <c r="W102" s="195"/>
      <c r="X102" s="195"/>
      <c r="Y102" s="195"/>
      <c r="Z102" s="195"/>
      <c r="AA102" s="195"/>
    </row>
    <row r="103" spans="19:27" ht="17.399999999999999" hidden="1">
      <c r="S103" s="195"/>
      <c r="T103" s="195"/>
      <c r="U103" s="195"/>
      <c r="V103" s="195"/>
      <c r="W103" s="195"/>
      <c r="X103" s="195"/>
      <c r="Y103" s="195"/>
      <c r="Z103" s="195"/>
      <c r="AA103" s="195"/>
    </row>
    <row r="104" spans="19:27" ht="17.399999999999999" hidden="1">
      <c r="S104" s="195"/>
      <c r="T104" s="195"/>
      <c r="U104" s="195"/>
      <c r="V104" s="195"/>
      <c r="W104" s="195"/>
      <c r="X104" s="195"/>
      <c r="Y104" s="195"/>
      <c r="Z104" s="195"/>
      <c r="AA104" s="195"/>
    </row>
    <row r="105" spans="19:27" ht="17.399999999999999" hidden="1">
      <c r="S105" s="195"/>
      <c r="T105" s="195"/>
      <c r="U105" s="195"/>
      <c r="V105" s="195"/>
      <c r="W105" s="195"/>
      <c r="X105" s="195"/>
      <c r="Y105" s="195"/>
      <c r="Z105" s="195"/>
      <c r="AA105" s="195"/>
    </row>
    <row r="106" spans="19:27" ht="17.399999999999999" hidden="1">
      <c r="S106" s="195"/>
      <c r="T106" s="195"/>
      <c r="U106" s="195"/>
      <c r="V106" s="195"/>
      <c r="W106" s="195"/>
      <c r="X106" s="195"/>
      <c r="Y106" s="195"/>
      <c r="Z106" s="195"/>
      <c r="AA106" s="195"/>
    </row>
    <row r="107" spans="19:27" ht="17.399999999999999" hidden="1">
      <c r="S107" s="195"/>
      <c r="T107" s="195"/>
      <c r="U107" s="195"/>
      <c r="V107" s="195"/>
      <c r="W107" s="195"/>
      <c r="X107" s="195"/>
      <c r="Y107" s="195"/>
      <c r="Z107" s="195"/>
      <c r="AA107" s="195"/>
    </row>
    <row r="108" spans="19:27" ht="17.399999999999999" hidden="1">
      <c r="S108" s="195"/>
      <c r="T108" s="195"/>
      <c r="U108" s="195"/>
      <c r="V108" s="195"/>
      <c r="W108" s="195"/>
      <c r="X108" s="195"/>
      <c r="Y108" s="195"/>
      <c r="Z108" s="195"/>
      <c r="AA108" s="195"/>
    </row>
    <row r="109" spans="19:27" ht="17.399999999999999" hidden="1">
      <c r="S109" s="195"/>
      <c r="T109" s="195"/>
      <c r="U109" s="195"/>
      <c r="V109" s="195"/>
      <c r="W109" s="195"/>
      <c r="X109" s="195"/>
      <c r="Y109" s="195"/>
      <c r="Z109" s="195"/>
      <c r="AA109" s="195"/>
    </row>
    <row r="110" spans="19:27" ht="13.8" hidden="1"/>
    <row r="111" spans="19:27" ht="13.8" hidden="1"/>
    <row r="112" spans="19:27"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sheetData>
  <sheetProtection algorithmName="SHA-512" hashValue="k2S503BIsXZ60l9FGaBHUaCIn6sGIb7FdLZF+00I2NZFA16ltLmH/CgC+HzAVW22GBY4Q61hJpsSCLa7nWc7GQ==" saltValue="n9FdcB/6JSWEvA95dVpjuA==" spinCount="100000" sheet="1" objects="1" selectLockedCells="1" autoFilter="0"/>
  <protectedRanges>
    <protectedRange password="DEBF" sqref="AD32:AE34 AD36:AE36 AD38:AE38 AD40:AE40 AD45:AE45 AD47:AE47 AD49:AE49 AD42:AE43 AD52:AE57" name="darf vom Benutzer nicht verändert werden_1_2"/>
    <protectedRange password="DEBF" sqref="AD65:AE67"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64:AE64 AD60:AE60" name="darf vom Benutzer nicht verändert werden_1_2_1_3"/>
    <protectedRange password="DEBF" sqref="AD61:AE61" name="darf vom Benutzer nicht verändert werden_1_2_1_1_1"/>
    <protectedRange password="DEBF" sqref="AD62:AE63" name="darf vom Benutzer nicht verändert werden_1_5_4"/>
    <protectedRange password="DEBF" sqref="AD58:AE59" name="darf vom Benutzer nicht verändert werden_1_2_1_1_1_1"/>
  </protectedRanges>
  <autoFilter ref="A29:A67" xr:uid="{00000000-0009-0000-0000-00000A000000}"/>
  <mergeCells count="84">
    <mergeCell ref="J43:K43"/>
    <mergeCell ref="J59:K59"/>
    <mergeCell ref="E49:K49"/>
    <mergeCell ref="E53:H53"/>
    <mergeCell ref="J53:K53"/>
    <mergeCell ref="E54:I54"/>
    <mergeCell ref="J54:K54"/>
    <mergeCell ref="E55:H55"/>
    <mergeCell ref="E52:H52"/>
    <mergeCell ref="J52:K52"/>
    <mergeCell ref="E50:K50"/>
    <mergeCell ref="E51:I51"/>
    <mergeCell ref="J51:K51"/>
    <mergeCell ref="E43:H43"/>
    <mergeCell ref="D76:J76"/>
    <mergeCell ref="E65:K65"/>
    <mergeCell ref="E66:K66"/>
    <mergeCell ref="E67:K67"/>
    <mergeCell ref="D68:N69"/>
    <mergeCell ref="D70:N71"/>
    <mergeCell ref="D72:N73"/>
    <mergeCell ref="L76:N76"/>
    <mergeCell ref="B24:B27"/>
    <mergeCell ref="C24:E24"/>
    <mergeCell ref="C25:E25"/>
    <mergeCell ref="C26:E26"/>
    <mergeCell ref="C27:E27"/>
    <mergeCell ref="AD29:AE29"/>
    <mergeCell ref="AF29:AG29"/>
    <mergeCell ref="E48:K48"/>
    <mergeCell ref="E42:G42"/>
    <mergeCell ref="B29:E29"/>
    <mergeCell ref="E30:K30"/>
    <mergeCell ref="E32:G32"/>
    <mergeCell ref="H32:I32"/>
    <mergeCell ref="J32:K32"/>
    <mergeCell ref="E33:K33"/>
    <mergeCell ref="E34:K34"/>
    <mergeCell ref="E36:K36"/>
    <mergeCell ref="E38:K38"/>
    <mergeCell ref="E40:K40"/>
    <mergeCell ref="E39:K39"/>
    <mergeCell ref="E31:G31"/>
    <mergeCell ref="H31:I31"/>
    <mergeCell ref="E58:I58"/>
    <mergeCell ref="C21:E21"/>
    <mergeCell ref="J31:K31"/>
    <mergeCell ref="E35:K35"/>
    <mergeCell ref="E37:K37"/>
    <mergeCell ref="I42:K42"/>
    <mergeCell ref="E45:G45"/>
    <mergeCell ref="I45:K45"/>
    <mergeCell ref="E47:K47"/>
    <mergeCell ref="E44:G44"/>
    <mergeCell ref="I44:K44"/>
    <mergeCell ref="E46:K46"/>
    <mergeCell ref="J58:K58"/>
    <mergeCell ref="E41:H41"/>
    <mergeCell ref="I41:K41"/>
    <mergeCell ref="C20:E20"/>
    <mergeCell ref="C9:E9"/>
    <mergeCell ref="C10:E10"/>
    <mergeCell ref="C11:E11"/>
    <mergeCell ref="C13:E13"/>
    <mergeCell ref="C14:E14"/>
    <mergeCell ref="C15:E15"/>
    <mergeCell ref="C18:E18"/>
    <mergeCell ref="C19:E19"/>
    <mergeCell ref="J63:K63"/>
    <mergeCell ref="E64:I64"/>
    <mergeCell ref="J55:K55"/>
    <mergeCell ref="E56:I56"/>
    <mergeCell ref="J56:K56"/>
    <mergeCell ref="E57:I57"/>
    <mergeCell ref="J57:K57"/>
    <mergeCell ref="E60:I60"/>
    <mergeCell ref="J60:K60"/>
    <mergeCell ref="J64:K64"/>
    <mergeCell ref="E61:I61"/>
    <mergeCell ref="J61:K61"/>
    <mergeCell ref="E62:I62"/>
    <mergeCell ref="J62:K62"/>
    <mergeCell ref="E63:I63"/>
    <mergeCell ref="E59:I59"/>
  </mergeCells>
  <phoneticPr fontId="44" type="noConversion"/>
  <conditionalFormatting sqref="A31:A67">
    <cfRule type="cellIs" dxfId="296" priority="18" operator="equal">
      <formula>0</formula>
    </cfRule>
  </conditionalFormatting>
  <conditionalFormatting sqref="B65:E67">
    <cfRule type="cellIs" dxfId="294" priority="64" operator="equal">
      <formula>0</formula>
    </cfRule>
  </conditionalFormatting>
  <conditionalFormatting sqref="C9:E11">
    <cfRule type="cellIs" dxfId="293" priority="109" operator="equal">
      <formula>""</formula>
    </cfRule>
  </conditionalFormatting>
  <conditionalFormatting sqref="C13:E15">
    <cfRule type="cellIs" dxfId="292" priority="106" operator="equal">
      <formula>""</formula>
    </cfRule>
  </conditionalFormatting>
  <conditionalFormatting sqref="C18:E21">
    <cfRule type="cellIs" dxfId="291" priority="102" operator="equal">
      <formula>""</formula>
    </cfRule>
  </conditionalFormatting>
  <conditionalFormatting sqref="C24:E27">
    <cfRule type="cellIs" dxfId="290" priority="49" operator="equal">
      <formula>""</formula>
    </cfRule>
  </conditionalFormatting>
  <conditionalFormatting sqref="I13">
    <cfRule type="expression" dxfId="288" priority="60">
      <formula>$O$13=2</formula>
    </cfRule>
    <cfRule type="expression" dxfId="287" priority="63">
      <formula>$O$13=1</formula>
    </cfRule>
  </conditionalFormatting>
  <conditionalFormatting sqref="I24:I26">
    <cfRule type="cellIs" dxfId="286" priority="6" operator="equal">
      <formula>""</formula>
    </cfRule>
  </conditionalFormatting>
  <conditionalFormatting sqref="K17">
    <cfRule type="expression" dxfId="277" priority="114">
      <formula>$O$21=13</formula>
    </cfRule>
  </conditionalFormatting>
  <conditionalFormatting sqref="K18">
    <cfRule type="expression" dxfId="276" priority="113">
      <formula>$O$21=13</formula>
    </cfRule>
  </conditionalFormatting>
  <conditionalFormatting sqref="L13">
    <cfRule type="expression" dxfId="275" priority="61">
      <formula>$O$13=1</formula>
    </cfRule>
    <cfRule type="expression" dxfId="274" priority="62">
      <formula>$O$13=2</formula>
    </cfRule>
  </conditionalFormatting>
  <conditionalFormatting sqref="L19">
    <cfRule type="expression" dxfId="273" priority="112">
      <formula>$O$21=14</formula>
    </cfRule>
  </conditionalFormatting>
  <conditionalFormatting sqref="L65:N67">
    <cfRule type="cellIs" dxfId="272" priority="70" operator="equal">
      <formula>0</formula>
    </cfRule>
  </conditionalFormatting>
  <dataValidations count="2">
    <dataValidation type="list" allowBlank="1" showInputMessage="1" showErrorMessage="1" sqref="I41:K41" xr:uid="{1C0DB1F7-423D-42A0-951F-C86432F8153B}">
      <formula1>$AY$39:$AY$41</formula1>
    </dataValidation>
    <dataValidation type="list" allowBlank="1" showInputMessage="1" showErrorMessage="1" sqref="J43:K43" xr:uid="{3B0631DC-DF9A-48E1-B94B-D7B81C915ADE}">
      <formula1>$BA$41:$BA$43</formula1>
    </dataValidation>
  </dataValidations>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ltText="">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129540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ltText="">
                <anchor moveWithCells="1">
                  <from>
                    <xdr:col>8</xdr:col>
                    <xdr:colOff>762000</xdr:colOff>
                    <xdr:row>15</xdr:row>
                    <xdr:rowOff>30480</xdr:rowOff>
                  </from>
                  <to>
                    <xdr:col>10</xdr:col>
                    <xdr:colOff>182880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ltText="">
                <anchor moveWithCells="1">
                  <from>
                    <xdr:col>8</xdr:col>
                    <xdr:colOff>762000</xdr:colOff>
                    <xdr:row>16</xdr:row>
                    <xdr:rowOff>30480</xdr:rowOff>
                  </from>
                  <to>
                    <xdr:col>10</xdr:col>
                    <xdr:colOff>182880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ltText="">
                <anchor moveWithCells="1">
                  <from>
                    <xdr:col>8</xdr:col>
                    <xdr:colOff>762000</xdr:colOff>
                    <xdr:row>17</xdr:row>
                    <xdr:rowOff>30480</xdr:rowOff>
                  </from>
                  <to>
                    <xdr:col>10</xdr:col>
                    <xdr:colOff>182880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B1BBA4E5-AEED-467E-9427-350793CF5CE3}">
            <xm:f>$J$106=Formeln!$A$177</xm:f>
            <x14:dxf>
              <font>
                <color theme="0" tint="-0.34998626667073579"/>
              </font>
            </x14:dxf>
          </x14:cfRule>
          <xm:sqref>B58:B59</xm:sqref>
        </x14:conditionalFormatting>
        <x14:conditionalFormatting xmlns:xm="http://schemas.microsoft.com/office/excel/2006/main">
          <x14:cfRule type="expression" priority="12" id="{DC8860DE-6526-42B3-93AE-F260BB783662}">
            <xm:f>$J$106=Formeln!$A$177</xm:f>
            <x14:dxf>
              <font>
                <color theme="0" tint="-0.34998626667073579"/>
              </font>
            </x14:dxf>
          </x14:cfRule>
          <xm:sqref>E58:I59</xm:sqref>
        </x14:conditionalFormatting>
        <x14:conditionalFormatting xmlns:xm="http://schemas.microsoft.com/office/excel/2006/main">
          <x14:cfRule type="expression" priority="3" id="{556AA002-A228-4038-BB7B-DB9DA163A0A9}">
            <xm:f>$I41=Formeln!$A$1</xm:f>
            <x14:dxf>
              <fill>
                <patternFill>
                  <bgColor theme="0" tint="-0.14996795556505021"/>
                </patternFill>
              </fill>
            </x14:dxf>
          </x14:cfRule>
          <xm:sqref>I41:K42</xm:sqref>
        </x14:conditionalFormatting>
        <x14:conditionalFormatting xmlns:xm="http://schemas.microsoft.com/office/excel/2006/main">
          <x14:cfRule type="expression" priority="2" id="{6FC1E110-7C15-44A9-B63A-E62DEDBB9B5E}">
            <xm:f>$I44=Formeln!$A$1</xm:f>
            <x14:dxf>
              <fill>
                <patternFill>
                  <bgColor theme="0" tint="-0.14996795556505021"/>
                </patternFill>
              </fill>
            </x14:dxf>
          </x14:cfRule>
          <xm:sqref>I44:K45</xm:sqref>
        </x14:conditionalFormatting>
        <x14:conditionalFormatting xmlns:xm="http://schemas.microsoft.com/office/excel/2006/main">
          <x14:cfRule type="expression" priority="41"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84"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1" id="{71C0F6F2-71C9-4F75-A1D4-9AC70E88F7D4}">
            <xm:f>$J$43=Formeln!$A$1</xm:f>
            <x14:dxf>
              <fill>
                <patternFill>
                  <bgColor theme="0" tint="-0.14996795556505021"/>
                </patternFill>
              </fill>
            </x14:dxf>
          </x14:cfRule>
          <xm:sqref>J43:K43</xm:sqref>
        </x14:conditionalFormatting>
        <x14:conditionalFormatting xmlns:xm="http://schemas.microsoft.com/office/excel/2006/main">
          <x14:cfRule type="expression" priority="54"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53" id="{68439795-8F69-4A87-8BD1-1767595C867B}">
            <xm:f>$J$53=Formeln!$A$1</xm:f>
            <x14:dxf>
              <fill>
                <patternFill>
                  <bgColor theme="0" tint="-0.14996795556505021"/>
                </patternFill>
              </fill>
            </x14:dxf>
          </x14:cfRule>
          <xm:sqref>J53:K53</xm:sqref>
        </x14:conditionalFormatting>
        <x14:conditionalFormatting xmlns:xm="http://schemas.microsoft.com/office/excel/2006/main">
          <x14:cfRule type="expression" priority="57" id="{BCCC50D2-6F22-4BD9-BB9C-DB596D6EFFFC}">
            <xm:f>$J$55=Formeln!$A$1</xm:f>
            <x14:dxf>
              <fill>
                <patternFill>
                  <bgColor theme="0" tint="-0.14996795556505021"/>
                </patternFill>
              </fill>
            </x14:dxf>
          </x14:cfRule>
          <xm:sqref>J55:K55</xm:sqref>
        </x14:conditionalFormatting>
        <x14:conditionalFormatting xmlns:xm="http://schemas.microsoft.com/office/excel/2006/main">
          <x14:cfRule type="expression" priority="9" id="{39FA9C2A-4E70-4F05-AAE7-DC46BA243F5F}">
            <xm:f>Info!$V$7=8</xm:f>
            <x14:dxf>
              <font>
                <color theme="1"/>
              </font>
              <border>
                <left style="thin">
                  <color auto="1"/>
                </left>
                <right style="thin">
                  <color auto="1"/>
                </right>
                <top style="thin">
                  <color auto="1"/>
                </top>
                <bottom style="thin">
                  <color auto="1"/>
                </bottom>
                <vertical/>
                <horizontal/>
              </border>
            </x14:dxf>
          </x14:cfRule>
          <xm:sqref>O30:O67</xm:sqref>
        </x14:conditionalFormatting>
        <x14:conditionalFormatting xmlns:xm="http://schemas.microsoft.com/office/excel/2006/main">
          <x14:cfRule type="expression" priority="8" id="{5E21CB43-18D8-4861-8B9A-999221CB8D3C}">
            <xm:f>Info!$V$7=8</xm:f>
            <x14:dxf>
              <font>
                <color theme="1"/>
              </font>
              <border>
                <bottom style="thin">
                  <color auto="1"/>
                </bottom>
              </border>
            </x14:dxf>
          </x14:cfRule>
          <xm:sqref>O69</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Formeln_RI_P.10!$A$151:$A$153</xm:f>
          </x14:formula1>
          <xm:sqref>J55:K55</xm:sqref>
        </x14:dataValidation>
        <x14:dataValidation type="list" allowBlank="1" showInputMessage="1" showErrorMessage="1" xr:uid="{00000000-0002-0000-0A00-000001000000}">
          <x14:formula1>
            <xm:f>Formeln_RI_P.10!$A$272:$A$275</xm:f>
          </x14:formula1>
          <xm:sqref>J53:K53</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Formeln!$B$142:$B$145</xm:f>
          </x14:formula1>
          <xm:sqref>J31:K31</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 type="list" allowBlank="1" showInputMessage="1" showErrorMessage="1" xr:uid="{00000000-0002-0000-0A00-000006000000}">
          <x14:formula1>
            <xm:f>Formeln_RI_P.10!$B$144:$B$148</xm:f>
          </x14:formula1>
          <xm:sqref>J52:K52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GW130"/>
  <sheetViews>
    <sheetView showGridLines="0" workbookViewId="0">
      <selection activeCell="C9" sqref="C9:E9"/>
    </sheetView>
  </sheetViews>
  <sheetFormatPr baseColWidth="10" defaultColWidth="0" defaultRowHeight="13.8"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20" width="15.33203125" style="5" hidden="1" customWidth="1"/>
    <col min="21" max="22" width="15.33203125" style="9" hidden="1" customWidth="1"/>
    <col min="23" max="152" width="15.33203125" style="1" hidden="1" customWidth="1"/>
    <col min="153" max="175" width="15.33203125" style="135" hidden="1" customWidth="1"/>
    <col min="176" max="16384" width="15.33203125" style="1" hidden="1"/>
  </cols>
  <sheetData>
    <row r="1" spans="1:177" ht="28.2">
      <c r="N1" s="2" t="str">
        <f>VLOOKUP(272,Sprachindex!$A:$Z,Info!$O$7,FALSE)</f>
        <v>Dachrinnensysteme</v>
      </c>
      <c r="EW1" s="1"/>
      <c r="EX1" s="1"/>
      <c r="FT1" s="135"/>
      <c r="FU1" s="135"/>
    </row>
    <row r="2" spans="1:177" ht="28.2">
      <c r="D2" s="18"/>
      <c r="N2" s="2" t="str">
        <f>VLOOKUP(248,Sprachindex!$A:$Z,Info!$O$7,FALSE)</f>
        <v>Dachentwässerung</v>
      </c>
      <c r="EW2" s="1"/>
      <c r="EX2" s="1"/>
      <c r="FT2" s="135"/>
      <c r="FU2" s="135"/>
    </row>
    <row r="3" spans="1:177" ht="15" customHeight="1">
      <c r="EW3" s="1"/>
      <c r="EX3" s="1"/>
      <c r="FT3" s="135"/>
      <c r="FU3" s="135"/>
    </row>
    <row r="4" spans="1:177" ht="17.25" customHeight="1">
      <c r="A4" s="70"/>
      <c r="B4" s="70"/>
      <c r="C4" s="70"/>
      <c r="D4" s="70"/>
      <c r="E4" s="70"/>
      <c r="F4" s="70"/>
      <c r="G4" s="70"/>
      <c r="H4" s="70"/>
      <c r="I4" s="70"/>
      <c r="J4" s="70"/>
      <c r="K4" s="70"/>
      <c r="L4" s="70"/>
      <c r="M4" s="70"/>
      <c r="N4" s="204"/>
      <c r="O4" s="71"/>
      <c r="P4" s="71"/>
      <c r="Q4" s="71"/>
      <c r="R4" s="71"/>
      <c r="S4" s="71"/>
      <c r="T4" s="71"/>
      <c r="W4" s="3"/>
      <c r="EW4" s="1"/>
      <c r="EX4" s="1"/>
      <c r="FT4" s="135"/>
      <c r="FU4" s="135"/>
    </row>
    <row r="5" spans="1:177" ht="17.25" customHeight="1">
      <c r="A5" s="70"/>
      <c r="B5" s="70"/>
      <c r="C5" s="70"/>
      <c r="D5" s="70"/>
      <c r="E5" s="70"/>
      <c r="F5" s="70"/>
      <c r="G5" s="70"/>
      <c r="H5" s="70"/>
      <c r="I5" s="70"/>
      <c r="J5" s="70"/>
      <c r="K5" s="70"/>
      <c r="L5" s="70"/>
      <c r="M5" s="70"/>
      <c r="N5" s="204"/>
      <c r="O5" s="71"/>
      <c r="P5" s="71"/>
      <c r="Q5" s="71"/>
      <c r="R5" s="71"/>
      <c r="S5" s="71"/>
      <c r="T5" s="71"/>
      <c r="W5" s="3"/>
      <c r="EW5" s="1"/>
      <c r="EX5" s="1"/>
      <c r="FT5" s="135"/>
      <c r="FU5" s="135"/>
    </row>
    <row r="6" spans="1:177" ht="17.25" customHeight="1">
      <c r="A6" s="70"/>
      <c r="B6" s="70"/>
      <c r="C6" s="70"/>
      <c r="D6" s="70"/>
      <c r="E6" s="70"/>
      <c r="F6" s="70"/>
      <c r="G6" s="70"/>
      <c r="H6" s="70"/>
      <c r="I6" s="70"/>
      <c r="J6" s="70"/>
      <c r="K6" s="70"/>
      <c r="L6" s="70"/>
      <c r="M6" s="70"/>
      <c r="N6" s="204"/>
      <c r="O6" s="99"/>
      <c r="P6" s="99"/>
      <c r="Q6" s="99"/>
      <c r="R6" s="99"/>
      <c r="S6" s="99"/>
      <c r="T6" s="99"/>
      <c r="W6" s="3"/>
      <c r="EW6" s="1"/>
      <c r="EX6" s="1"/>
      <c r="FT6" s="135"/>
      <c r="FU6" s="135"/>
    </row>
    <row r="7" spans="1:177" ht="17.25" customHeight="1">
      <c r="A7" s="70"/>
      <c r="B7" s="70"/>
      <c r="C7" s="70"/>
      <c r="D7" s="70"/>
      <c r="E7" s="70"/>
      <c r="F7" s="70"/>
      <c r="G7" s="70"/>
      <c r="H7" s="70"/>
      <c r="I7" s="70"/>
      <c r="J7" s="70"/>
      <c r="K7" s="70"/>
      <c r="L7" s="70"/>
      <c r="M7" s="70"/>
      <c r="N7" s="204"/>
      <c r="O7" s="99"/>
      <c r="P7" s="99"/>
      <c r="Q7" s="99"/>
      <c r="R7" s="99"/>
      <c r="S7" s="99"/>
      <c r="T7" s="99"/>
      <c r="W7" s="3"/>
      <c r="EW7" s="1"/>
      <c r="EX7" s="1"/>
      <c r="FT7" s="135"/>
      <c r="FU7" s="135"/>
    </row>
    <row r="8" spans="1:177" ht="17.25" customHeight="1">
      <c r="A8" s="88" t="str">
        <f>VLOOKUP(393,Sprachindex!$A:$Z,Info!$O$7,FALSE)</f>
        <v>Firma / Besteller:</v>
      </c>
      <c r="B8" s="70"/>
      <c r="C8" s="70"/>
      <c r="D8" s="70"/>
      <c r="E8" s="70"/>
      <c r="F8" s="70"/>
      <c r="G8" s="70"/>
      <c r="H8" s="70"/>
      <c r="I8" s="70"/>
      <c r="J8" s="70"/>
      <c r="K8" s="70"/>
      <c r="L8" s="70"/>
      <c r="M8" s="70"/>
      <c r="N8" s="70"/>
      <c r="O8" s="71"/>
      <c r="P8" s="71"/>
      <c r="Q8" s="71"/>
      <c r="R8" s="71"/>
      <c r="S8" s="71"/>
      <c r="T8" s="71"/>
      <c r="V8" s="10"/>
      <c r="EW8" s="1"/>
      <c r="EX8" s="1"/>
      <c r="FT8" s="135"/>
      <c r="FU8" s="135"/>
    </row>
    <row r="9" spans="1:177" ht="15" customHeight="1">
      <c r="A9" s="70"/>
      <c r="B9" s="74" t="str">
        <f>VLOOKUP(622,Sprachindex!$A:$Z,Info!$O$7,FALSE)</f>
        <v>Name:</v>
      </c>
      <c r="C9" s="585"/>
      <c r="D9" s="586"/>
      <c r="E9" s="587"/>
      <c r="F9" s="70"/>
      <c r="G9" s="87" t="str">
        <f>VLOOKUP(638,Sprachindex!$A:$Z,Info!$O$7,FALSE)</f>
        <v>Oberfläche:</v>
      </c>
      <c r="H9" s="70"/>
      <c r="I9" s="71"/>
      <c r="J9" s="69"/>
      <c r="K9" s="70"/>
      <c r="L9" s="69" t="str">
        <f>VLOOKUP(433,Sprachindex!$A:$Z,Info!$O$7,FALSE)</f>
        <v>glatt</v>
      </c>
      <c r="M9" s="70"/>
      <c r="N9" s="70"/>
      <c r="O9" s="99">
        <v>0</v>
      </c>
      <c r="P9" s="99"/>
      <c r="Q9" s="99"/>
      <c r="R9" s="99"/>
      <c r="S9" s="99"/>
      <c r="T9" s="99"/>
      <c r="U9" s="11"/>
      <c r="W9" s="4"/>
      <c r="EW9" s="1"/>
      <c r="EX9" s="1"/>
      <c r="FT9" s="135"/>
      <c r="FU9" s="135"/>
    </row>
    <row r="10" spans="1:177" ht="15" customHeight="1">
      <c r="A10" s="70"/>
      <c r="B10" s="74" t="str">
        <f>VLOOKUP(884,Sprachindex!$A:$Z,Info!$O$7,FALSE)</f>
        <v>Straße:</v>
      </c>
      <c r="C10" s="585"/>
      <c r="D10" s="586"/>
      <c r="E10" s="587"/>
      <c r="F10" s="70"/>
      <c r="G10" s="70"/>
      <c r="H10" s="70"/>
      <c r="I10" s="70"/>
      <c r="J10" s="71">
        <v>1</v>
      </c>
      <c r="K10" s="70"/>
      <c r="L10" s="70"/>
      <c r="M10" s="70"/>
      <c r="N10" s="70"/>
      <c r="O10" s="71"/>
      <c r="P10" s="71"/>
      <c r="Q10" s="71"/>
      <c r="R10" s="71"/>
      <c r="S10" s="71"/>
      <c r="T10" s="71"/>
      <c r="W10" s="4"/>
      <c r="EW10" s="1"/>
      <c r="EX10" s="1"/>
      <c r="FT10" s="135"/>
      <c r="FU10" s="135"/>
    </row>
    <row r="11" spans="1:177"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v>0</v>
      </c>
      <c r="P11" s="99"/>
      <c r="Q11" s="99"/>
      <c r="R11" s="99"/>
      <c r="S11" s="99"/>
      <c r="T11" s="99"/>
      <c r="U11" s="11"/>
      <c r="W11" s="4"/>
      <c r="EW11" s="1"/>
      <c r="EX11" s="1"/>
      <c r="FT11" s="135"/>
      <c r="FU11" s="135"/>
    </row>
    <row r="12" spans="1:177" ht="15" customHeight="1">
      <c r="A12" s="70"/>
      <c r="B12" s="70"/>
      <c r="C12" s="70"/>
      <c r="D12" s="70"/>
      <c r="E12" s="70"/>
      <c r="F12" s="70"/>
      <c r="G12" s="70"/>
      <c r="H12" s="70"/>
      <c r="I12" s="74"/>
      <c r="J12" s="71">
        <v>1</v>
      </c>
      <c r="K12" s="70"/>
      <c r="L12" s="70"/>
      <c r="M12" s="70"/>
      <c r="N12" s="70"/>
      <c r="O12" s="71"/>
      <c r="P12" s="71"/>
      <c r="Q12" s="71"/>
      <c r="R12" s="71"/>
      <c r="S12" s="71"/>
      <c r="T12" s="71"/>
      <c r="EW12" s="1"/>
      <c r="EX12" s="1"/>
      <c r="FT12" s="135"/>
      <c r="FU12" s="135"/>
    </row>
    <row r="13" spans="1:177"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99"/>
      <c r="P13" s="99"/>
      <c r="Q13" s="99"/>
      <c r="R13" s="99"/>
      <c r="S13" s="99"/>
      <c r="T13" s="99"/>
      <c r="U13" s="12"/>
      <c r="W13" s="4"/>
      <c r="EW13" s="1"/>
      <c r="EX13" s="1"/>
      <c r="FT13" s="135"/>
      <c r="FU13" s="135"/>
    </row>
    <row r="14" spans="1:177" ht="15" customHeight="1">
      <c r="A14" s="70"/>
      <c r="B14" s="74" t="str">
        <f>VLOOKUP(901,Sprachindex!$A:$Z,Info!$O$7,FALSE)</f>
        <v>Telefon:</v>
      </c>
      <c r="C14" s="585"/>
      <c r="D14" s="586"/>
      <c r="E14" s="587"/>
      <c r="F14" s="70"/>
      <c r="G14" s="70"/>
      <c r="H14" s="70"/>
      <c r="I14" s="70"/>
      <c r="J14" s="70"/>
      <c r="K14" s="70"/>
      <c r="L14" s="70"/>
      <c r="M14" s="70"/>
      <c r="N14" s="70"/>
      <c r="O14" s="71"/>
      <c r="P14" s="71"/>
      <c r="Q14" s="71"/>
      <c r="R14" s="71"/>
      <c r="S14" s="71"/>
      <c r="T14" s="71"/>
      <c r="W14" s="4"/>
      <c r="EW14" s="1"/>
      <c r="EX14" s="1"/>
      <c r="FT14" s="135"/>
      <c r="FU14" s="135"/>
    </row>
    <row r="15" spans="1:177"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1"/>
      <c r="P15" s="71"/>
      <c r="Q15" s="71"/>
      <c r="R15" s="71"/>
      <c r="S15" s="71"/>
      <c r="T15" s="71"/>
      <c r="W15" s="4"/>
      <c r="EW15" s="1"/>
      <c r="EX15" s="1"/>
      <c r="FT15" s="135"/>
      <c r="FU15" s="135"/>
    </row>
    <row r="16" spans="1:177" ht="15" customHeight="1">
      <c r="A16" s="70"/>
      <c r="B16" s="70"/>
      <c r="C16" s="70"/>
      <c r="D16" s="70"/>
      <c r="E16" s="70"/>
      <c r="F16" s="70"/>
      <c r="G16" s="70" t="str">
        <f>VLOOKUP(24,Sprachindex!$A:$Z,Info!$O$7,FALSE)</f>
        <v>01 Braun</v>
      </c>
      <c r="H16" s="70"/>
      <c r="I16" s="69" t="str">
        <f>VLOOKUP(36,Sprachindex!$A:$Z,Info!$O$7,FALSE)</f>
        <v>07 Hellgrau</v>
      </c>
      <c r="J16" s="70"/>
      <c r="K16" s="69"/>
      <c r="L16" s="70"/>
      <c r="M16" s="70"/>
      <c r="N16" s="70"/>
      <c r="O16" s="71"/>
      <c r="P16" s="71"/>
      <c r="Q16" s="71"/>
      <c r="R16" s="71"/>
      <c r="S16" s="71"/>
      <c r="T16" s="71"/>
      <c r="EW16" s="1"/>
      <c r="EX16" s="1"/>
      <c r="FT16" s="135"/>
      <c r="FU16" s="135"/>
    </row>
    <row r="17" spans="1:199" ht="15" customHeight="1">
      <c r="A17" s="88" t="str">
        <f>VLOOKUP(580,Sprachindex!$A:$Z,Info!$O$7,FALSE)</f>
        <v>Lieferadresse:</v>
      </c>
      <c r="B17" s="70"/>
      <c r="C17" s="70"/>
      <c r="D17" s="70"/>
      <c r="E17" s="70"/>
      <c r="F17" s="70"/>
      <c r="G17" s="70" t="str">
        <f>VLOOKUP(26,Sprachindex!$A:$Z,Info!$O$7,FALSE)</f>
        <v>02 Anthrazit</v>
      </c>
      <c r="H17" s="70"/>
      <c r="I17" s="69" t="str">
        <f>VLOOKUP(39,Sprachindex!$A:$Z,Info!$O$7,FALSE)</f>
        <v>08 Zinkgrau</v>
      </c>
      <c r="J17" s="70"/>
      <c r="K17" s="105"/>
      <c r="L17" s="70"/>
      <c r="M17" s="70"/>
      <c r="N17" s="70"/>
      <c r="O17" s="71"/>
      <c r="P17" s="71"/>
      <c r="Q17" s="71"/>
      <c r="R17" s="71"/>
      <c r="S17" s="71"/>
      <c r="T17" s="71"/>
      <c r="V17" s="10"/>
      <c r="EW17" s="1"/>
      <c r="EX17" s="1"/>
      <c r="FT17" s="135"/>
      <c r="FU17" s="135"/>
    </row>
    <row r="18" spans="1:199" ht="15" customHeight="1">
      <c r="A18" s="70"/>
      <c r="B18" s="74" t="str">
        <f>VLOOKUP(622,Sprachindex!$A:$Z,Info!$O$7,FALSE)</f>
        <v>Name:</v>
      </c>
      <c r="C18" s="585"/>
      <c r="D18" s="586"/>
      <c r="E18" s="587"/>
      <c r="F18" s="70"/>
      <c r="G18" s="70" t="str">
        <f>VLOOKUP(31,Sprachindex!$A:$Z,Info!$O$7,FALSE)</f>
        <v>04 Ziegelrot</v>
      </c>
      <c r="H18" s="70"/>
      <c r="I18" s="69" t="str">
        <f>VLOOKUP(52,Sprachindex!$A:$Z,Info!$O$7,FALSE)</f>
        <v>12 Silbermetallic</v>
      </c>
      <c r="J18" s="70"/>
      <c r="K18" s="96"/>
      <c r="L18" s="70"/>
      <c r="M18" s="70"/>
      <c r="N18" s="70"/>
      <c r="O18" s="95"/>
      <c r="P18" s="95"/>
      <c r="Q18" s="95"/>
      <c r="R18" s="95"/>
      <c r="S18" s="95"/>
      <c r="T18" s="95"/>
      <c r="V18" s="8"/>
      <c r="W18" s="4"/>
      <c r="EW18" s="1"/>
      <c r="EX18" s="1"/>
      <c r="FT18" s="135"/>
      <c r="FU18" s="135"/>
    </row>
    <row r="19" spans="1:199" ht="15" customHeight="1">
      <c r="A19" s="70"/>
      <c r="B19" s="74" t="str">
        <f>VLOOKUP(540,Sprachindex!$A:$Z,Info!$O$7,FALSE)</f>
        <v>Kommission:</v>
      </c>
      <c r="C19" s="585"/>
      <c r="D19" s="586"/>
      <c r="E19" s="587"/>
      <c r="F19" s="70"/>
      <c r="G19" s="70" t="str">
        <f>VLOOKUP(32,Sprachindex!$A:$Z,Info!$O$7,FALSE)</f>
        <v>05 Oxydrot</v>
      </c>
      <c r="H19" s="70"/>
      <c r="I19" s="70" t="str">
        <f>VLOOKUP(54,Sprachindex!$A:$Z,Info!$O$7,FALSE)</f>
        <v>13 Naturblank</v>
      </c>
      <c r="J19" s="70"/>
      <c r="K19" s="70"/>
      <c r="L19" s="105"/>
      <c r="M19" s="70"/>
      <c r="N19" s="70"/>
      <c r="O19" s="71"/>
      <c r="P19" s="71"/>
      <c r="Q19" s="71"/>
      <c r="R19" s="71"/>
      <c r="S19" s="71"/>
      <c r="T19" s="71"/>
      <c r="W19" s="4"/>
      <c r="EW19" s="1"/>
      <c r="EX19" s="1"/>
      <c r="FT19" s="135"/>
      <c r="FU19" s="135"/>
    </row>
    <row r="20" spans="1:199" ht="15" customHeight="1">
      <c r="A20" s="70"/>
      <c r="B20" s="74" t="str">
        <f>VLOOKUP(884,Sprachindex!$A:$Z,Info!$O$7,FALSE)</f>
        <v>Straße:</v>
      </c>
      <c r="C20" s="585"/>
      <c r="D20" s="586"/>
      <c r="E20" s="587"/>
      <c r="F20" s="70"/>
      <c r="G20" s="70" t="str">
        <f>VLOOKUP(34,Sprachindex!$A:$Z,Info!$O$7,FALSE)</f>
        <v>06 Moosgrün</v>
      </c>
      <c r="H20" s="70"/>
      <c r="I20" s="70" t="str">
        <f>VLOOKUP(113,Sprachindex!$A:$Z,Info!$O$7,FALSE)</f>
        <v>47 Patinagrau</v>
      </c>
      <c r="J20" s="70"/>
      <c r="K20" s="70"/>
      <c r="L20" s="70"/>
      <c r="M20" s="70"/>
      <c r="N20" s="70"/>
      <c r="O20" s="71"/>
      <c r="P20" s="71"/>
      <c r="Q20" s="71"/>
      <c r="R20" s="71"/>
      <c r="S20" s="71"/>
      <c r="T20" s="71"/>
      <c r="W20" s="4"/>
      <c r="EW20" s="1"/>
      <c r="EX20" s="1"/>
      <c r="FT20" s="135"/>
      <c r="FU20" s="135"/>
    </row>
    <row r="21" spans="1:199" ht="15" customHeight="1">
      <c r="A21" s="70"/>
      <c r="B21" s="74" t="str">
        <f>VLOOKUP(641,Sprachindex!$A:$Z,Info!$O$7,FALSE)</f>
        <v>Ort:</v>
      </c>
      <c r="C21" s="585"/>
      <c r="D21" s="586"/>
      <c r="E21" s="587"/>
      <c r="F21" s="70"/>
      <c r="G21" s="70"/>
      <c r="H21" s="70"/>
      <c r="J21" s="70"/>
      <c r="K21" s="70"/>
      <c r="L21" s="70"/>
      <c r="M21" s="70"/>
      <c r="N21" s="70"/>
      <c r="O21" s="99">
        <v>0</v>
      </c>
      <c r="P21" s="99"/>
      <c r="Q21" s="99"/>
      <c r="R21" s="99"/>
      <c r="S21" s="99"/>
      <c r="T21" s="99"/>
      <c r="W21" s="4"/>
      <c r="EW21" s="1"/>
      <c r="EX21" s="1"/>
      <c r="FT21" s="135"/>
      <c r="FU21" s="135"/>
    </row>
    <row r="22" spans="1:199" ht="15" customHeight="1">
      <c r="A22" s="70"/>
      <c r="B22" s="74"/>
      <c r="C22" s="70"/>
      <c r="D22" s="70"/>
      <c r="E22" s="70"/>
      <c r="F22" s="70"/>
      <c r="G22" s="70"/>
      <c r="H22" s="70"/>
      <c r="I22" s="95"/>
      <c r="J22" s="70"/>
      <c r="K22" s="70"/>
      <c r="L22" s="70"/>
      <c r="M22" s="70"/>
      <c r="N22" s="70"/>
      <c r="O22" s="71"/>
      <c r="P22" s="71"/>
      <c r="Q22" s="71"/>
      <c r="R22" s="71"/>
      <c r="S22" s="71"/>
      <c r="T22" s="71"/>
      <c r="W22" s="4"/>
      <c r="EW22" s="1"/>
      <c r="EX22" s="1"/>
      <c r="FT22" s="135"/>
      <c r="FU22" s="135"/>
    </row>
    <row r="23" spans="1:199" ht="15" customHeight="1">
      <c r="A23" s="88" t="str">
        <f>VLOOKUP(1427,Sprachindex!$A:$Z,Info!$O$7,FALSE)</f>
        <v>Projektdaten:</v>
      </c>
      <c r="B23" s="74"/>
      <c r="C23" s="70"/>
      <c r="D23" s="70"/>
      <c r="E23" s="70"/>
      <c r="F23" s="70"/>
      <c r="G23" s="70"/>
      <c r="H23" s="70"/>
      <c r="I23" s="95"/>
      <c r="J23" s="70"/>
      <c r="K23" s="70"/>
      <c r="L23" s="70"/>
      <c r="M23" s="70"/>
      <c r="N23" s="70"/>
      <c r="O23" s="71"/>
      <c r="P23" s="71"/>
      <c r="Q23" s="71"/>
      <c r="R23" s="71"/>
      <c r="S23" s="71"/>
      <c r="T23" s="71"/>
      <c r="W23" s="4"/>
      <c r="EW23" s="1"/>
      <c r="EX23" s="1"/>
      <c r="FT23" s="135"/>
      <c r="FU23" s="135"/>
    </row>
    <row r="24" spans="1:199" ht="15" customHeight="1">
      <c r="B24" s="584" t="str">
        <f>VLOOKUP(1430,Sprachindex!$A:$Z,Info!$O$7,FALSE)</f>
        <v>Beschreibung</v>
      </c>
      <c r="C24" s="585"/>
      <c r="D24" s="586"/>
      <c r="E24" s="587"/>
      <c r="F24" s="70"/>
      <c r="G24" s="94" t="str">
        <f>VLOOKUP(709,Sprachindex!$A:$Z,Info!$O$7,FALSE)</f>
        <v>Rinnendimension:</v>
      </c>
      <c r="H24" s="70"/>
      <c r="I24" s="95"/>
      <c r="J24" s="94" t="str">
        <f>VLOOKUP(146,Sprachindex!$A:$Z,Info!$O$7,FALSE)</f>
        <v>Ablaufdimension:</v>
      </c>
      <c r="K24" s="70"/>
      <c r="L24" s="70"/>
      <c r="M24" s="70"/>
      <c r="N24" s="70"/>
      <c r="O24" s="99">
        <v>0</v>
      </c>
      <c r="P24" s="99"/>
      <c r="Q24" s="99"/>
      <c r="R24" s="99"/>
      <c r="S24" s="99"/>
      <c r="T24" s="99"/>
      <c r="W24" s="4"/>
      <c r="EW24" s="1"/>
      <c r="EX24" s="1"/>
      <c r="FT24" s="135"/>
      <c r="FU24" s="135"/>
    </row>
    <row r="25" spans="1:199" ht="15" customHeight="1">
      <c r="B25" s="584"/>
      <c r="C25" s="585"/>
      <c r="D25" s="586"/>
      <c r="E25" s="587"/>
      <c r="F25" s="70"/>
      <c r="G25" s="69">
        <f>VLOOKUP(1,Sprachindex!$A:$Z,Info!$O$7,FALSE)</f>
        <v>250</v>
      </c>
      <c r="H25" s="70"/>
      <c r="I25" s="70"/>
      <c r="J25" s="70" t="str">
        <f>VLOOKUP(125,Sprachindex!$A:$Z,Info!$O$7,FALSE)</f>
        <v>⌀ 60</v>
      </c>
      <c r="K25" s="70"/>
      <c r="L25" s="70"/>
      <c r="M25" s="70"/>
      <c r="N25" s="70"/>
      <c r="O25" s="99">
        <v>0</v>
      </c>
      <c r="P25" s="99"/>
      <c r="Q25" s="99"/>
      <c r="R25" s="99"/>
      <c r="S25" s="99"/>
      <c r="T25" s="99"/>
      <c r="W25" s="4"/>
      <c r="EU25" s="329"/>
      <c r="EW25" s="1"/>
      <c r="EX25" s="1"/>
      <c r="FT25" s="135"/>
      <c r="FU25" s="135"/>
    </row>
    <row r="26" spans="1:199" ht="15" customHeight="1">
      <c r="B26" s="584"/>
      <c r="C26" s="585"/>
      <c r="D26" s="586"/>
      <c r="E26" s="587"/>
      <c r="F26" s="70"/>
      <c r="G26" s="69">
        <f>VLOOKUP(2,Sprachindex!$A:$Z,Info!$O$7,FALSE)</f>
        <v>280</v>
      </c>
      <c r="H26" s="70"/>
      <c r="I26" s="70"/>
      <c r="J26" s="70" t="str">
        <f>VLOOKUP(133,Sprachindex!$A:$Z,Info!$O$7,FALSE)</f>
        <v>⌀ 80</v>
      </c>
      <c r="K26" s="70"/>
      <c r="L26" s="70"/>
      <c r="M26" s="70"/>
      <c r="N26" s="70"/>
      <c r="O26" s="71"/>
      <c r="P26" s="71"/>
      <c r="Q26" s="71"/>
      <c r="R26" s="71"/>
      <c r="S26" s="71"/>
      <c r="T26" s="71"/>
      <c r="W26" s="4"/>
      <c r="EW26" s="1"/>
      <c r="EX26" s="1"/>
      <c r="FT26" s="135"/>
      <c r="FU26" s="135"/>
    </row>
    <row r="27" spans="1:199" ht="15" customHeight="1">
      <c r="B27" s="584"/>
      <c r="C27" s="585"/>
      <c r="D27" s="586"/>
      <c r="E27" s="587"/>
      <c r="F27" s="70"/>
      <c r="G27" s="69">
        <f>VLOOKUP(3,Sprachindex!$A:$Z,Info!$O$7,FALSE)</f>
        <v>333</v>
      </c>
      <c r="H27" s="70"/>
      <c r="I27" s="70"/>
      <c r="J27" s="70" t="str">
        <f>VLOOKUP(45,Sprachindex!$A:$Z,Info!$O$7,FALSE)</f>
        <v>⌀ 100</v>
      </c>
      <c r="K27" s="70"/>
      <c r="L27" s="70"/>
      <c r="M27" s="70"/>
      <c r="N27" s="70"/>
      <c r="O27" s="71"/>
      <c r="P27" s="71"/>
      <c r="Q27" s="71"/>
      <c r="R27" s="71"/>
      <c r="S27" s="71"/>
      <c r="T27" s="71"/>
      <c r="W27" s="4"/>
      <c r="EW27" s="1"/>
      <c r="EX27" s="1"/>
      <c r="FT27" s="135"/>
      <c r="FU27" s="135"/>
    </row>
    <row r="28" spans="1:199" ht="15" customHeight="1">
      <c r="A28" s="70"/>
      <c r="B28" s="74"/>
      <c r="C28" s="70"/>
      <c r="D28" s="70"/>
      <c r="E28" s="70"/>
      <c r="F28" s="70"/>
      <c r="G28" s="69">
        <f>VLOOKUP(4,Sprachindex!$A:$Z,Info!$O$7,FALSE)</f>
        <v>400</v>
      </c>
      <c r="H28" s="70"/>
      <c r="I28" s="70"/>
      <c r="J28" s="70" t="str">
        <f>VLOOKUP(53,Sprachindex!$A:$Z,Info!$O$7,FALSE)</f>
        <v>⌀ 120</v>
      </c>
      <c r="K28" s="70"/>
      <c r="L28" s="70"/>
      <c r="M28" s="70"/>
      <c r="N28" s="70"/>
      <c r="O28" s="71"/>
      <c r="P28" s="71"/>
      <c r="Q28" s="71"/>
      <c r="R28" s="71"/>
      <c r="S28" s="71"/>
      <c r="T28" s="71"/>
      <c r="W28" s="4"/>
      <c r="EW28" s="1"/>
      <c r="EX28" s="1"/>
      <c r="FT28" s="135"/>
      <c r="FU28" s="135"/>
    </row>
    <row r="29" spans="1:199" ht="15" customHeight="1">
      <c r="A29" s="88" t="str">
        <f>VLOOKUP(1428,Sprachindex!$A:$Z,Info!$O$7,FALSE)</f>
        <v>techn. Ausarbeitung PREFA:</v>
      </c>
      <c r="B29" s="74"/>
      <c r="C29" s="70"/>
      <c r="D29" s="70"/>
      <c r="E29" s="70"/>
      <c r="F29" s="70"/>
      <c r="G29" s="69">
        <f>VLOOKUP(5,Sprachindex!$A:$Z,Info!$O$7,FALSE)</f>
        <v>500</v>
      </c>
      <c r="H29" s="70"/>
      <c r="I29" s="70"/>
      <c r="J29" s="70" t="str">
        <f>VLOOKUP(58,Sprachindex!$A:$Z,Info!$O$7,FALSE)</f>
        <v>⌀ 150</v>
      </c>
      <c r="K29" s="70"/>
      <c r="L29" s="70"/>
      <c r="M29" s="70"/>
      <c r="N29" s="70"/>
      <c r="O29" s="71"/>
      <c r="P29" s="71"/>
      <c r="Q29" s="71"/>
      <c r="R29" s="71"/>
      <c r="S29" s="71"/>
      <c r="T29" s="71"/>
      <c r="W29" s="4"/>
      <c r="EW29" s="1"/>
      <c r="EX29" s="1"/>
      <c r="FT29" s="135"/>
      <c r="FU29" s="135"/>
    </row>
    <row r="30" spans="1:199" ht="15" customHeight="1" thickBot="1">
      <c r="A30" s="88"/>
      <c r="B30" s="74" t="str">
        <f>VLOOKUP(1429,Sprachindex!$A:$Z,Info!$O$7,FALSE)</f>
        <v>Bearbeiter:</v>
      </c>
      <c r="C30" s="585"/>
      <c r="D30" s="586"/>
      <c r="E30" s="587"/>
      <c r="F30" s="70"/>
      <c r="G30" s="69"/>
      <c r="H30" s="70"/>
      <c r="I30" s="70"/>
      <c r="J30" s="70"/>
      <c r="K30" s="70"/>
      <c r="L30" s="70"/>
      <c r="M30" s="70"/>
      <c r="N30" s="70"/>
      <c r="O30" s="71"/>
      <c r="P30" s="71"/>
      <c r="Q30" s="71"/>
      <c r="R30" s="71"/>
      <c r="S30" s="71"/>
      <c r="T30" s="71"/>
      <c r="W30" s="4"/>
      <c r="EW30" s="1"/>
      <c r="EX30" s="1"/>
      <c r="FT30" s="135"/>
      <c r="FU30" s="135"/>
    </row>
    <row r="31" spans="1:199" s="5" customFormat="1" ht="15" customHeight="1" thickTop="1">
      <c r="A31" s="88"/>
      <c r="B31" s="74" t="str">
        <f>VLOOKUP(2243,Sprachindex!$A:$Z,Info!$O$7,FALSE)</f>
        <v>Projekt-ID:</v>
      </c>
      <c r="C31" s="585"/>
      <c r="D31" s="586"/>
      <c r="E31" s="587"/>
      <c r="F31" s="70"/>
      <c r="L31" s="70"/>
      <c r="M31" s="70"/>
      <c r="N31" s="70"/>
      <c r="O31" s="71"/>
      <c r="P31" s="71"/>
      <c r="Q31" s="71"/>
      <c r="R31" s="71"/>
      <c r="S31" s="71"/>
      <c r="T31" s="71"/>
      <c r="U31" s="54"/>
      <c r="V31" s="54"/>
      <c r="W31" s="14"/>
      <c r="EY31" s="695">
        <v>250</v>
      </c>
      <c r="EZ31" s="696"/>
      <c r="FA31" s="696"/>
      <c r="FB31" s="696"/>
      <c r="FC31" s="696"/>
      <c r="FD31" s="696"/>
      <c r="FE31" s="696"/>
      <c r="FF31" s="696"/>
      <c r="FG31" s="696"/>
      <c r="FH31" s="699">
        <v>280</v>
      </c>
      <c r="FI31" s="699"/>
      <c r="FJ31" s="699"/>
      <c r="FK31" s="699"/>
      <c r="FL31" s="699"/>
      <c r="FM31" s="699"/>
      <c r="FN31" s="699"/>
      <c r="FO31" s="699"/>
      <c r="FP31" s="699"/>
      <c r="FQ31" s="691">
        <v>333</v>
      </c>
      <c r="FR31" s="691"/>
      <c r="FS31" s="691"/>
      <c r="FT31" s="691"/>
      <c r="FU31" s="691"/>
      <c r="FV31" s="691"/>
      <c r="FW31" s="691"/>
      <c r="FX31" s="691"/>
      <c r="FY31" s="691"/>
      <c r="FZ31" s="693">
        <v>400</v>
      </c>
      <c r="GA31" s="693"/>
      <c r="GB31" s="693"/>
      <c r="GC31" s="693"/>
      <c r="GD31" s="693"/>
      <c r="GE31" s="693"/>
      <c r="GF31" s="693"/>
      <c r="GG31" s="693"/>
      <c r="GH31" s="693"/>
      <c r="GI31" s="683">
        <v>500</v>
      </c>
      <c r="GJ31" s="683"/>
      <c r="GK31" s="683"/>
      <c r="GL31" s="683"/>
      <c r="GM31" s="683"/>
      <c r="GN31" s="683"/>
      <c r="GO31" s="683"/>
      <c r="GP31" s="683"/>
      <c r="GQ31" s="684"/>
    </row>
    <row r="32" spans="1:199" s="5" customFormat="1" ht="15" customHeight="1" thickBot="1">
      <c r="A32" s="88"/>
      <c r="B32" s="74" t="str">
        <f>VLOOKUP(286,Sprachindex!$A:$Z,Info!$O$7,FALSE)</f>
        <v>Datum:</v>
      </c>
      <c r="C32" s="682">
        <f ca="1">TODAY()</f>
        <v>45580</v>
      </c>
      <c r="D32" s="586"/>
      <c r="E32" s="587"/>
      <c r="F32" s="70"/>
      <c r="L32" s="70"/>
      <c r="M32" s="70"/>
      <c r="N32" s="70"/>
      <c r="O32" s="71"/>
      <c r="P32" s="71"/>
      <c r="Q32" s="71"/>
      <c r="R32" s="71"/>
      <c r="S32" s="71"/>
      <c r="T32" s="71"/>
      <c r="U32" s="54"/>
      <c r="V32" s="54"/>
      <c r="W32" s="14"/>
      <c r="EY32" s="697"/>
      <c r="EZ32" s="698"/>
      <c r="FA32" s="698"/>
      <c r="FB32" s="698"/>
      <c r="FC32" s="698"/>
      <c r="FD32" s="698"/>
      <c r="FE32" s="698"/>
      <c r="FF32" s="698"/>
      <c r="FG32" s="698"/>
      <c r="FH32" s="700"/>
      <c r="FI32" s="700"/>
      <c r="FJ32" s="700"/>
      <c r="FK32" s="700"/>
      <c r="FL32" s="700"/>
      <c r="FM32" s="700"/>
      <c r="FN32" s="700"/>
      <c r="FO32" s="700"/>
      <c r="FP32" s="700"/>
      <c r="FQ32" s="692"/>
      <c r="FR32" s="692"/>
      <c r="FS32" s="692"/>
      <c r="FT32" s="692"/>
      <c r="FU32" s="692"/>
      <c r="FV32" s="692"/>
      <c r="FW32" s="692"/>
      <c r="FX32" s="692"/>
      <c r="FY32" s="692"/>
      <c r="FZ32" s="694"/>
      <c r="GA32" s="694"/>
      <c r="GB32" s="694"/>
      <c r="GC32" s="694"/>
      <c r="GD32" s="694"/>
      <c r="GE32" s="694"/>
      <c r="GF32" s="694"/>
      <c r="GG32" s="694"/>
      <c r="GH32" s="694"/>
      <c r="GI32" s="685"/>
      <c r="GJ32" s="685"/>
      <c r="GK32" s="685"/>
      <c r="GL32" s="685"/>
      <c r="GM32" s="685"/>
      <c r="GN32" s="685"/>
      <c r="GO32" s="685"/>
      <c r="GP32" s="685"/>
      <c r="GQ32" s="686"/>
    </row>
    <row r="33" spans="1:205" ht="15" customHeight="1">
      <c r="A33" s="70"/>
      <c r="B33" s="74"/>
      <c r="C33" s="70"/>
      <c r="D33" s="70"/>
      <c r="E33" s="70"/>
      <c r="F33" s="70"/>
      <c r="G33" s="69"/>
      <c r="H33" s="70"/>
      <c r="I33" s="70"/>
      <c r="J33" s="70"/>
      <c r="K33" s="70"/>
      <c r="L33" s="70"/>
      <c r="M33" s="70"/>
      <c r="N33" s="70"/>
      <c r="O33" s="71"/>
      <c r="P33" s="71"/>
      <c r="Q33" s="71"/>
      <c r="R33" s="71"/>
      <c r="S33" s="71"/>
      <c r="T33" s="71"/>
      <c r="W33" s="4"/>
      <c r="EW33" s="1"/>
      <c r="EX33" s="1"/>
      <c r="EY33" s="701" t="s">
        <v>1666</v>
      </c>
      <c r="EZ33" s="702"/>
      <c r="FA33" s="703"/>
      <c r="FB33" s="707" t="s">
        <v>489</v>
      </c>
      <c r="FC33" s="702"/>
      <c r="FD33" s="703"/>
      <c r="FE33" s="707" t="s">
        <v>1667</v>
      </c>
      <c r="FF33" s="702"/>
      <c r="FG33" s="703"/>
      <c r="FH33" s="707" t="s">
        <v>1666</v>
      </c>
      <c r="FI33" s="702"/>
      <c r="FJ33" s="703"/>
      <c r="FK33" s="707" t="s">
        <v>489</v>
      </c>
      <c r="FL33" s="702"/>
      <c r="FM33" s="703"/>
      <c r="FN33" s="707" t="s">
        <v>1667</v>
      </c>
      <c r="FO33" s="702"/>
      <c r="FP33" s="703"/>
      <c r="FQ33" s="707" t="s">
        <v>1666</v>
      </c>
      <c r="FR33" s="702"/>
      <c r="FS33" s="703"/>
      <c r="FT33" s="707" t="s">
        <v>489</v>
      </c>
      <c r="FU33" s="702"/>
      <c r="FV33" s="703"/>
      <c r="FW33" s="707" t="s">
        <v>1667</v>
      </c>
      <c r="FX33" s="702"/>
      <c r="FY33" s="703"/>
      <c r="FZ33" s="707" t="s">
        <v>1666</v>
      </c>
      <c r="GA33" s="702"/>
      <c r="GB33" s="703"/>
      <c r="GC33" s="707" t="s">
        <v>489</v>
      </c>
      <c r="GD33" s="702"/>
      <c r="GE33" s="703"/>
      <c r="GF33" s="707" t="s">
        <v>1667</v>
      </c>
      <c r="GG33" s="702"/>
      <c r="GH33" s="703"/>
      <c r="GI33" s="707" t="s">
        <v>1666</v>
      </c>
      <c r="GJ33" s="702"/>
      <c r="GK33" s="703"/>
      <c r="GL33" s="707" t="s">
        <v>489</v>
      </c>
      <c r="GM33" s="702"/>
      <c r="GN33" s="703"/>
      <c r="GO33" s="707" t="s">
        <v>1667</v>
      </c>
      <c r="GP33" s="702"/>
      <c r="GQ33" s="709"/>
    </row>
    <row r="34" spans="1:205" ht="15" customHeight="1" thickBot="1">
      <c r="A34" s="100" t="str">
        <f>VLOOKUP(392,Sprachindex!$A:$Z,Info!$O$7,FALSE)</f>
        <v>Filter:</v>
      </c>
      <c r="B34" s="598"/>
      <c r="C34" s="598"/>
      <c r="D34" s="598"/>
      <c r="E34" s="598"/>
      <c r="F34" s="70"/>
      <c r="G34" s="70"/>
      <c r="H34" s="70"/>
      <c r="I34" s="70"/>
      <c r="J34" s="70"/>
      <c r="K34" s="70"/>
      <c r="L34" s="70"/>
      <c r="M34" s="70"/>
      <c r="N34" s="70"/>
      <c r="O34" s="71"/>
      <c r="P34" s="71"/>
      <c r="Q34" s="71"/>
      <c r="R34" s="71"/>
      <c r="S34" s="71"/>
      <c r="T34" s="71"/>
      <c r="V34" s="591" t="s">
        <v>25</v>
      </c>
      <c r="W34" s="591"/>
      <c r="X34" s="591" t="s">
        <v>421</v>
      </c>
      <c r="Y34" s="591"/>
      <c r="EW34" s="1"/>
      <c r="EX34" s="1"/>
      <c r="EY34" s="704"/>
      <c r="EZ34" s="705"/>
      <c r="FA34" s="706"/>
      <c r="FB34" s="708"/>
      <c r="FC34" s="705"/>
      <c r="FD34" s="706"/>
      <c r="FE34" s="708"/>
      <c r="FF34" s="705"/>
      <c r="FG34" s="706"/>
      <c r="FH34" s="708"/>
      <c r="FI34" s="705"/>
      <c r="FJ34" s="706"/>
      <c r="FK34" s="708"/>
      <c r="FL34" s="705"/>
      <c r="FM34" s="706"/>
      <c r="FN34" s="708"/>
      <c r="FO34" s="705"/>
      <c r="FP34" s="706"/>
      <c r="FQ34" s="708"/>
      <c r="FR34" s="705"/>
      <c r="FS34" s="706"/>
      <c r="FT34" s="708"/>
      <c r="FU34" s="705"/>
      <c r="FV34" s="706"/>
      <c r="FW34" s="708"/>
      <c r="FX34" s="705"/>
      <c r="FY34" s="706"/>
      <c r="FZ34" s="708"/>
      <c r="GA34" s="705"/>
      <c r="GB34" s="706"/>
      <c r="GC34" s="708"/>
      <c r="GD34" s="705"/>
      <c r="GE34" s="706"/>
      <c r="GF34" s="708"/>
      <c r="GG34" s="705"/>
      <c r="GH34" s="706"/>
      <c r="GI34" s="708"/>
      <c r="GJ34" s="705"/>
      <c r="GK34" s="706"/>
      <c r="GL34" s="708"/>
      <c r="GM34" s="705"/>
      <c r="GN34" s="706"/>
      <c r="GO34" s="708"/>
      <c r="GP34" s="705"/>
      <c r="GQ34" s="710"/>
    </row>
    <row r="35" spans="1:205" ht="35.1" customHeight="1" thickBot="1">
      <c r="A35" s="435" t="str">
        <f>VLOOKUP(598,Sprachindex!$A:$Z,Info!$O$7,FALSE)</f>
        <v>Menge</v>
      </c>
      <c r="B35" s="77" t="str">
        <f>VLOOKUP(332,Sprachindex!$A:$Z,Info!$O$7,FALSE)</f>
        <v>Einheit</v>
      </c>
      <c r="C35" s="77" t="str">
        <f>VLOOKUP(136,Sprachindex!$A:$Z,Info!$O$7,FALSE)</f>
        <v>Abbildung</v>
      </c>
      <c r="D35" s="77" t="str">
        <f>VLOOKUP(177,Sprachindex!$A:$Z,Info!$O$7,FALSE)</f>
        <v>Artikel-Nr.</v>
      </c>
      <c r="E35" s="607" t="str">
        <f>VLOOKUP(234,Sprachindex!$A:$Z,Info!$O$7,FALSE)</f>
        <v>Bezeichnung</v>
      </c>
      <c r="F35" s="608"/>
      <c r="G35" s="608"/>
      <c r="H35" s="608"/>
      <c r="I35" s="608"/>
      <c r="J35" s="608"/>
      <c r="K35" s="609"/>
      <c r="L35" s="77" t="str">
        <f>VLOOKUP(903,Sprachindex!$A:$Z,Info!$O$7,FALSE)</f>
        <v>Total</v>
      </c>
      <c r="M35" s="438" t="str">
        <f>VLOOKUP(332,Sprachindex!$A:$Z,Info!$O$7,FALSE)</f>
        <v>Einheit</v>
      </c>
      <c r="N35" s="75" t="str">
        <f>VLOOKUP(377,Sprachindex!$A:$Z,Info!$O$7,FALSE)</f>
        <v>Eventual</v>
      </c>
      <c r="O35" s="201" t="str">
        <f>VLOOKUP(1786,Sprachindex!$A:$Z,Info!$O$7,FALSE)</f>
        <v>Preis</v>
      </c>
      <c r="R35" s="195"/>
      <c r="S35" s="195"/>
      <c r="T35" s="195"/>
      <c r="U35" s="1"/>
      <c r="V35" s="162" t="s">
        <v>31</v>
      </c>
      <c r="W35" s="162" t="s">
        <v>32</v>
      </c>
      <c r="X35" s="162" t="s">
        <v>31</v>
      </c>
      <c r="Y35" s="162" t="s">
        <v>32</v>
      </c>
      <c r="Z35" s="47" t="s">
        <v>95</v>
      </c>
      <c r="AA35" s="47" t="s">
        <v>113</v>
      </c>
      <c r="AB35" s="47" t="s">
        <v>108</v>
      </c>
      <c r="AC35" s="47" t="s">
        <v>111</v>
      </c>
      <c r="AD35" s="47" t="s">
        <v>109</v>
      </c>
      <c r="AE35" s="47" t="s">
        <v>112</v>
      </c>
      <c r="AF35" s="47" t="s">
        <v>116</v>
      </c>
      <c r="AG35" s="47" t="s">
        <v>117</v>
      </c>
      <c r="AH35" s="47" t="s">
        <v>1483</v>
      </c>
      <c r="AI35" s="47"/>
      <c r="AJ35" s="47"/>
      <c r="AK35" s="61"/>
      <c r="AL35" s="47" t="s">
        <v>95</v>
      </c>
      <c r="AM35" s="47" t="s">
        <v>113</v>
      </c>
      <c r="AN35" s="47" t="s">
        <v>108</v>
      </c>
      <c r="AO35" s="47" t="s">
        <v>111</v>
      </c>
      <c r="AP35" s="47" t="s">
        <v>109</v>
      </c>
      <c r="AQ35" s="47" t="s">
        <v>112</v>
      </c>
      <c r="AR35" s="47" t="s">
        <v>116</v>
      </c>
      <c r="AS35" s="47" t="s">
        <v>117</v>
      </c>
      <c r="AT35" s="47" t="s">
        <v>1483</v>
      </c>
      <c r="AU35" s="47"/>
      <c r="AV35" s="47"/>
      <c r="AW35" s="61"/>
      <c r="AX35" s="47" t="s">
        <v>95</v>
      </c>
      <c r="AY35" s="47" t="s">
        <v>113</v>
      </c>
      <c r="AZ35" s="47" t="s">
        <v>108</v>
      </c>
      <c r="BA35" s="47" t="s">
        <v>111</v>
      </c>
      <c r="BB35" s="47" t="s">
        <v>109</v>
      </c>
      <c r="BC35" s="47" t="s">
        <v>112</v>
      </c>
      <c r="BD35" s="47" t="s">
        <v>116</v>
      </c>
      <c r="BE35" s="47" t="s">
        <v>117</v>
      </c>
      <c r="BF35" s="47" t="s">
        <v>1483</v>
      </c>
      <c r="BG35" s="47" t="s">
        <v>1668</v>
      </c>
      <c r="BH35" s="47"/>
      <c r="BI35" s="61"/>
      <c r="BJ35" s="47" t="s">
        <v>95</v>
      </c>
      <c r="BK35" s="47" t="s">
        <v>113</v>
      </c>
      <c r="BL35" s="47" t="s">
        <v>108</v>
      </c>
      <c r="BM35" s="47" t="s">
        <v>111</v>
      </c>
      <c r="BN35" s="47" t="s">
        <v>109</v>
      </c>
      <c r="BO35" s="47" t="s">
        <v>112</v>
      </c>
      <c r="BP35" s="47" t="s">
        <v>116</v>
      </c>
      <c r="BQ35" s="47" t="s">
        <v>117</v>
      </c>
      <c r="BR35" s="47" t="s">
        <v>1483</v>
      </c>
      <c r="BS35" s="47"/>
      <c r="BT35" s="47"/>
      <c r="BU35" s="61"/>
      <c r="BV35" s="20"/>
      <c r="BW35" s="20"/>
      <c r="BX35" s="20"/>
      <c r="BY35" s="20"/>
      <c r="BZ35" s="20"/>
      <c r="CA35" s="20"/>
      <c r="CB35" s="20"/>
      <c r="CC35" s="20"/>
      <c r="CD35" s="20"/>
      <c r="CE35" s="20"/>
      <c r="CF35" s="20"/>
      <c r="CG35" s="139"/>
      <c r="CH35" s="20"/>
      <c r="CI35" s="20"/>
      <c r="CJ35" s="20"/>
      <c r="CK35" s="20"/>
      <c r="CL35" s="20"/>
      <c r="CM35" s="20"/>
      <c r="CN35" s="20"/>
      <c r="CO35" s="20"/>
      <c r="CP35" s="20"/>
      <c r="CQ35" s="20"/>
      <c r="CR35" s="20"/>
      <c r="CS35" s="20"/>
      <c r="CT35" s="20"/>
      <c r="CU35" s="139"/>
      <c r="CV35" s="20"/>
      <c r="CW35" s="20"/>
      <c r="CX35" s="20"/>
      <c r="CY35" s="20"/>
      <c r="CZ35" s="20"/>
      <c r="DA35" s="20"/>
      <c r="DB35" s="20"/>
      <c r="DC35" s="20"/>
      <c r="DD35" s="20"/>
      <c r="DE35" s="20"/>
      <c r="DF35" s="20"/>
      <c r="DG35" s="20"/>
      <c r="DH35" s="20"/>
      <c r="DI35" s="139"/>
      <c r="DJ35" s="20"/>
      <c r="DK35" s="20"/>
      <c r="DL35" s="20"/>
      <c r="DM35" s="20"/>
      <c r="DN35" s="20"/>
      <c r="DO35" s="20"/>
      <c r="DP35" s="20"/>
      <c r="DQ35" s="20"/>
      <c r="DR35" s="20"/>
      <c r="DS35" s="20"/>
      <c r="DT35" s="20"/>
      <c r="DU35" s="20"/>
      <c r="DV35" s="20"/>
      <c r="DW35" s="139"/>
      <c r="DX35" s="20"/>
      <c r="DY35" s="20"/>
      <c r="DZ35" s="20"/>
      <c r="EA35" s="20"/>
      <c r="EB35" s="20"/>
      <c r="EC35" s="20"/>
      <c r="ED35" s="20"/>
      <c r="EE35" s="20"/>
      <c r="EF35" s="20"/>
      <c r="EG35" s="20"/>
      <c r="EH35" s="20"/>
      <c r="EI35" s="20"/>
      <c r="EJ35" s="139"/>
      <c r="EK35" s="139"/>
      <c r="EV35" s="345">
        <v>1</v>
      </c>
      <c r="EW35" s="335">
        <v>2</v>
      </c>
      <c r="EX35" s="335" t="s">
        <v>95</v>
      </c>
      <c r="EY35" s="335">
        <v>1</v>
      </c>
      <c r="EZ35" s="335">
        <v>2</v>
      </c>
      <c r="FA35" s="335" t="s">
        <v>95</v>
      </c>
      <c r="FB35" s="335">
        <v>1</v>
      </c>
      <c r="FC35" s="335">
        <v>2</v>
      </c>
      <c r="FD35" s="335" t="s">
        <v>95</v>
      </c>
      <c r="FE35" s="335">
        <v>1</v>
      </c>
      <c r="FF35" s="335">
        <v>2</v>
      </c>
      <c r="FG35" s="335" t="s">
        <v>95</v>
      </c>
      <c r="FH35" s="335">
        <v>1</v>
      </c>
      <c r="FI35" s="335">
        <v>2</v>
      </c>
      <c r="FJ35" s="335" t="s">
        <v>95</v>
      </c>
      <c r="FK35" s="335">
        <v>1</v>
      </c>
      <c r="FL35" s="335">
        <v>2</v>
      </c>
      <c r="FM35" s="335" t="s">
        <v>95</v>
      </c>
      <c r="FN35" s="335">
        <v>1</v>
      </c>
      <c r="FO35" s="335">
        <v>2</v>
      </c>
      <c r="FP35" s="335" t="s">
        <v>95</v>
      </c>
      <c r="FQ35" s="335">
        <v>1</v>
      </c>
      <c r="FR35" s="335">
        <v>2</v>
      </c>
      <c r="FS35" s="335" t="s">
        <v>95</v>
      </c>
      <c r="FT35" s="335">
        <v>1</v>
      </c>
      <c r="FU35" s="335">
        <v>2</v>
      </c>
      <c r="FV35" s="335" t="s">
        <v>95</v>
      </c>
      <c r="FW35" s="335">
        <v>1</v>
      </c>
      <c r="FX35" s="335">
        <v>2</v>
      </c>
      <c r="FY35" s="335" t="s">
        <v>95</v>
      </c>
      <c r="FZ35" s="335">
        <v>1</v>
      </c>
      <c r="GA35" s="335">
        <v>2</v>
      </c>
      <c r="GB35" s="335" t="s">
        <v>95</v>
      </c>
      <c r="GC35" s="335">
        <v>1</v>
      </c>
      <c r="GD35" s="335">
        <v>2</v>
      </c>
      <c r="GE35" s="347" t="s">
        <v>95</v>
      </c>
      <c r="GF35" s="345">
        <v>1</v>
      </c>
      <c r="GG35" s="335">
        <v>2</v>
      </c>
      <c r="GH35" s="335" t="s">
        <v>95</v>
      </c>
      <c r="GI35" s="335">
        <v>1</v>
      </c>
      <c r="GJ35" s="335">
        <v>2</v>
      </c>
      <c r="GK35" s="335" t="s">
        <v>95</v>
      </c>
      <c r="GL35" s="335">
        <v>1</v>
      </c>
      <c r="GM35" s="335">
        <v>2</v>
      </c>
      <c r="GN35" s="346" t="s">
        <v>95</v>
      </c>
    </row>
    <row r="36" spans="1:205" ht="31.5" customHeight="1">
      <c r="A36" s="97"/>
      <c r="B36" s="119" t="str">
        <f>VLOOKUP(1512,Sprachindex!$A:$Z,Info!$O$7,FALSE)</f>
        <v>lfm</v>
      </c>
      <c r="C36" s="76"/>
      <c r="D36" s="76" t="str">
        <f>IF($O$24=1,AJ36,IF($O$24=2,AV36,IF($O$24=3,BH36,IF($O$24=4,BT36,IF($O$24=5,"","")))))</f>
        <v/>
      </c>
      <c r="E36" s="595" t="str">
        <f>VLOOKUP(2227,Sprachindex!$A:$Z,Info!$O$7,FALSE)</f>
        <v>Dachrinne 3 m</v>
      </c>
      <c r="F36" s="596"/>
      <c r="G36" s="596"/>
      <c r="H36" s="596"/>
      <c r="I36" s="678"/>
      <c r="J36" s="680" t="str">
        <f>Formeln!B163</f>
        <v/>
      </c>
      <c r="K36" s="681"/>
      <c r="L36" s="119" t="str">
        <f t="shared" ref="L36:L49" si="0">IF(OR(A36="",X36="",Y36="")," ",IF($O$11=1,$V36,IF($O$11=2,W36,0)))</f>
        <v xml:space="preserve"> </v>
      </c>
      <c r="M36" s="441" t="str">
        <f>B36</f>
        <v>lfm</v>
      </c>
      <c r="N36" s="437"/>
      <c r="O36" s="202" t="str">
        <f>IF(ISNUMBER(L36),L36*GV36," ")</f>
        <v xml:space="preserve"> </v>
      </c>
      <c r="R36" s="195"/>
      <c r="S36" s="195"/>
      <c r="T36" s="195"/>
      <c r="U36" s="1"/>
      <c r="V36" s="160">
        <f>ROUNDUP($A36/$X36,0)*$X36</f>
        <v>0</v>
      </c>
      <c r="W36" s="160">
        <f>ROUNDUP($A36/$Y36,0)*$Y36</f>
        <v>0</v>
      </c>
      <c r="X36" s="160">
        <f>IF($O$24="","",IF($O$24=5,"",15))</f>
        <v>15</v>
      </c>
      <c r="Y36" s="160">
        <v>3</v>
      </c>
      <c r="Z36" s="58">
        <v>572213</v>
      </c>
      <c r="AA36" s="58">
        <v>572219</v>
      </c>
      <c r="AB36" s="58">
        <v>572212</v>
      </c>
      <c r="AC36" s="58">
        <v>572241</v>
      </c>
      <c r="AD36" s="58">
        <v>572216</v>
      </c>
      <c r="AE36" s="58">
        <v>572223</v>
      </c>
      <c r="AF36" s="58">
        <v>572240</v>
      </c>
      <c r="AG36" s="58">
        <v>572249</v>
      </c>
      <c r="AH36" s="58">
        <v>572254</v>
      </c>
      <c r="AI36" s="58"/>
      <c r="AJ36" s="61">
        <f>IF($O$21=1,AB36,IF($O$21=2,AD36,IF($O$21=3,AC36,IF($O$21=4,AE36,IF($O$21=5,AF36,IF($O$21=6,AA36,IF($O$21=7,AG36,IF($O$21=8,AH36,IF($O$21=9,Z36,0)))))))))</f>
        <v>0</v>
      </c>
      <c r="AK36" s="61" t="s">
        <v>432</v>
      </c>
      <c r="AL36">
        <v>572206</v>
      </c>
      <c r="AM36">
        <v>572203</v>
      </c>
      <c r="AN36">
        <v>572208</v>
      </c>
      <c r="AO36">
        <v>572215</v>
      </c>
      <c r="AP36">
        <v>572220</v>
      </c>
      <c r="AQ36">
        <v>572224</v>
      </c>
      <c r="AR36">
        <v>572227</v>
      </c>
      <c r="AS36">
        <v>572229</v>
      </c>
      <c r="AT36">
        <v>572255</v>
      </c>
      <c r="AU36"/>
      <c r="AV36" s="61">
        <f>IF($O$21=1,AN36,IF($O$21=2,AP36,IF($O$21=3,AO36,IF($O$21=4,AQ36,IF($O$21=5,AR36,IF($O$21=6,AM36,IF($O$21=7,AS36,IF($O$21=8,AT36,IF($O$21=9,AL36,0)))))))))</f>
        <v>0</v>
      </c>
      <c r="AW36" s="61" t="s">
        <v>440</v>
      </c>
      <c r="AX36">
        <v>572201</v>
      </c>
      <c r="AY36">
        <v>572202</v>
      </c>
      <c r="AZ36">
        <v>572207</v>
      </c>
      <c r="BA36">
        <v>572211</v>
      </c>
      <c r="BB36">
        <v>572218</v>
      </c>
      <c r="BC36">
        <v>572225</v>
      </c>
      <c r="BD36">
        <v>572228</v>
      </c>
      <c r="BE36">
        <v>572230</v>
      </c>
      <c r="BF36">
        <v>572250</v>
      </c>
      <c r="BG36">
        <v>572231</v>
      </c>
      <c r="BH36" s="61">
        <f>IF($O$21=1,AZ36,IF($O$21=2,BB36,IF($O$21=3,BA36,IF($O$21=4,BC36,IF($O$21=5,BD36,IF($O$21=6,AY36,IF($O$21=7,BE36,IF($O$21=8,BF36,IF($O$21=9,AX36,IF($O$21=10,BG36,0))))))))))</f>
        <v>0</v>
      </c>
      <c r="BI36" s="61" t="s">
        <v>447</v>
      </c>
      <c r="BJ36">
        <v>572205</v>
      </c>
      <c r="BK36">
        <v>572204</v>
      </c>
      <c r="BL36">
        <v>572209</v>
      </c>
      <c r="BM36" s="59"/>
      <c r="BN36">
        <v>572210</v>
      </c>
      <c r="BO36" s="59"/>
      <c r="BP36">
        <v>572260</v>
      </c>
      <c r="BQ36" s="59"/>
      <c r="BR36">
        <v>572263</v>
      </c>
      <c r="BS36"/>
      <c r="BT36" s="61">
        <f>IF($O$21=1,BL36,IF($O$21=2,BN36,IF($O$21=3,BM36,IF($O$21=4,BO36,IF($O$21=5,BP36,IF($O$21=6,BK36,IF($O$21=7,BQ36,IF($O$21=8,BR36,IF($O$21=9,BJ36,0)))))))))</f>
        <v>0</v>
      </c>
      <c r="BU36" s="61" t="s">
        <v>455</v>
      </c>
      <c r="BV36"/>
      <c r="BW36"/>
      <c r="BX36"/>
      <c r="BY36"/>
      <c r="BZ36"/>
      <c r="CA36"/>
      <c r="CB36"/>
      <c r="CC36"/>
      <c r="CD36"/>
      <c r="CE36"/>
      <c r="CF36" s="139"/>
      <c r="CG36" s="139"/>
      <c r="CH36"/>
      <c r="CI36"/>
      <c r="CJ36"/>
      <c r="CK36"/>
      <c r="CL36"/>
      <c r="CM36"/>
      <c r="CN36"/>
      <c r="CO36"/>
      <c r="CP36"/>
      <c r="CQ36"/>
      <c r="CR36"/>
      <c r="CT36" s="139"/>
      <c r="CU36" s="139"/>
      <c r="CV36"/>
      <c r="CW36"/>
      <c r="CX36"/>
      <c r="CY36"/>
      <c r="CZ36"/>
      <c r="DA36"/>
      <c r="DB36"/>
      <c r="DC36"/>
      <c r="DD36"/>
      <c r="DE36"/>
      <c r="DF36"/>
      <c r="DH36" s="139"/>
      <c r="DI36" s="139"/>
      <c r="DJ36"/>
      <c r="DK36"/>
      <c r="DL36"/>
      <c r="DN36"/>
      <c r="DV36" s="139"/>
      <c r="DW36" s="139"/>
      <c r="EJ36" s="139"/>
      <c r="EK36" s="139"/>
      <c r="ES36" s="595" t="str">
        <f>VLOOKUP(2227,Sprachindex!$A:$Z,Info!$O$7,FALSE)</f>
        <v>Dachrinne 3 m</v>
      </c>
      <c r="ET36" s="596"/>
      <c r="EU36" s="596"/>
      <c r="EV36" s="596"/>
      <c r="EW36" s="596"/>
      <c r="EX36" s="356">
        <v>13.76</v>
      </c>
      <c r="EY36" s="357">
        <v>14.18</v>
      </c>
      <c r="EZ36" s="358">
        <v>12.33</v>
      </c>
      <c r="FA36" s="362">
        <v>14.1</v>
      </c>
      <c r="FB36" s="363">
        <v>14.52</v>
      </c>
      <c r="FC36" s="364">
        <v>12.5</v>
      </c>
      <c r="FD36" s="368">
        <v>14.19</v>
      </c>
      <c r="FE36" s="369">
        <v>14.63</v>
      </c>
      <c r="FF36" s="370">
        <v>12.67</v>
      </c>
      <c r="FG36" s="374">
        <v>20.93</v>
      </c>
      <c r="FH36" s="375">
        <v>21.57</v>
      </c>
      <c r="FI36" s="376">
        <v>17.28</v>
      </c>
      <c r="FJ36" s="336"/>
      <c r="FK36" s="337"/>
      <c r="FL36" s="338"/>
      <c r="FM36" s="336"/>
      <c r="FN36" s="337"/>
      <c r="FO36" s="338"/>
      <c r="FP36" s="336"/>
      <c r="FQ36" s="337"/>
      <c r="FR36" s="338"/>
      <c r="FS36" s="336"/>
      <c r="FT36" s="337"/>
      <c r="FU36" s="338"/>
      <c r="FV36" s="336"/>
      <c r="FW36" s="337"/>
      <c r="FX36" s="338"/>
      <c r="FY36" s="336"/>
      <c r="FZ36" s="337"/>
      <c r="GA36" s="338"/>
      <c r="GB36" s="336"/>
      <c r="GC36" s="337"/>
      <c r="GD36" s="338"/>
      <c r="GE36" s="336"/>
      <c r="GF36" s="337"/>
      <c r="GG36" s="338"/>
      <c r="GH36" s="336"/>
      <c r="GI36" s="337"/>
      <c r="GJ36" s="338"/>
      <c r="GK36" s="336"/>
      <c r="GL36" s="337"/>
      <c r="GM36" s="338"/>
      <c r="GN36" s="336"/>
      <c r="GO36" s="337"/>
      <c r="GP36" s="351"/>
      <c r="GQ36" s="229" t="str">
        <f>IF(OR($O$21=1,$O$21=2,$O$21=6),EX36,IF(OR($O$21=3,$O$21=4,$O$21=5,$O$21=7,$O$21=8),EY36,IF($O$21=9,EZ36," ")))</f>
        <v xml:space="preserve"> </v>
      </c>
      <c r="GR36" s="230" t="str">
        <f>IF(OR($O$21=1,$O$21=2,$O$21=6),FA36,IF(OR($O$21=3,$O$21=4,$O$21=5,$O$21=7,$O$21=8),FB36,IF($O$21=9,FC36," ")))</f>
        <v xml:space="preserve"> </v>
      </c>
      <c r="GS36" s="339" t="str">
        <f>IF(OR($O$21=1,$O$21=2,$O$21=6),FD36,IF(OR($O$21=3,$O$21=4,$O$21=5,$O$21=7,$O$21=8),FE36,IF($O$21=9,FF36," ")))</f>
        <v xml:space="preserve"> </v>
      </c>
      <c r="GT36" s="340" t="str">
        <f>IF(OR($O$21=1,$O$21=2,$O$21=6),FG36,IF(OR($O$21=5,$O$21=8),FH36,IF($O$21=9,FI36," ")))</f>
        <v xml:space="preserve"> </v>
      </c>
      <c r="GU36" s="341"/>
      <c r="GV36" s="342" t="str">
        <f>IF($O$24=1,GQ36,IF($O$24=2,GR36,IF($O$24=3,GS36,IF($O$24=4,GT36," "))))</f>
        <v xml:space="preserve"> </v>
      </c>
    </row>
    <row r="37" spans="1:205" ht="31.5" customHeight="1">
      <c r="A37" s="109"/>
      <c r="B37" s="79" t="str">
        <f>VLOOKUP(1512,Sprachindex!$A:$Z,Info!$O$7,FALSE)</f>
        <v>lfm</v>
      </c>
      <c r="C37" s="107"/>
      <c r="D37" s="78" t="str">
        <f>IF($O$24=1,AJ37,IF($O$24=2,AV37,IF($O$24=3,BH37,IF($O$24=4,BT37,IF($O$24=5,"","")))))</f>
        <v/>
      </c>
      <c r="E37" s="639" t="str">
        <f>IF(Info!V7=2,VLOOKUP(2228,Sprachindex!$A:$Z,Info!$O$7,FALSE),VLOOKUP(2229,Sprachindex!$A:$Z,Info!$O$7,FALSE))</f>
        <v>Dachrinne 6 m</v>
      </c>
      <c r="F37" s="640"/>
      <c r="G37" s="640"/>
      <c r="H37" s="640"/>
      <c r="I37" s="679"/>
      <c r="J37" s="627" t="str">
        <f>Formeln!B164</f>
        <v/>
      </c>
      <c r="K37" s="628"/>
      <c r="L37" s="79" t="str">
        <f t="shared" si="0"/>
        <v xml:space="preserve"> </v>
      </c>
      <c r="M37" s="440" t="str">
        <f>B37</f>
        <v>lfm</v>
      </c>
      <c r="N37" s="80"/>
      <c r="O37" s="202" t="str">
        <f>IF(ISNUMBER(L37),L37*GV37," ")</f>
        <v xml:space="preserve"> </v>
      </c>
      <c r="R37" s="195"/>
      <c r="S37" s="195"/>
      <c r="T37" s="195"/>
      <c r="U37" s="1"/>
      <c r="V37" s="149">
        <f>ROUNDUP($A37/$X37,0)*$X37</f>
        <v>0</v>
      </c>
      <c r="W37" s="149">
        <f>ROUNDUP($A37/$Y37,0)*$Y37</f>
        <v>0</v>
      </c>
      <c r="X37" s="149">
        <f>IF($O$24="","",IF($O$24=5,"",30))</f>
        <v>30</v>
      </c>
      <c r="Y37" s="149">
        <f>IF(Info!V7=2,5,6)</f>
        <v>6</v>
      </c>
      <c r="Z37" s="58">
        <v>572013</v>
      </c>
      <c r="AA37" s="58">
        <v>572019</v>
      </c>
      <c r="AB37" s="58">
        <v>572012</v>
      </c>
      <c r="AC37" s="58">
        <v>572041</v>
      </c>
      <c r="AD37" s="58">
        <v>572016</v>
      </c>
      <c r="AE37" s="58">
        <v>572023</v>
      </c>
      <c r="AF37" s="58">
        <v>572040</v>
      </c>
      <c r="AG37" s="58">
        <v>572049</v>
      </c>
      <c r="AH37" s="58">
        <v>572055</v>
      </c>
      <c r="AI37" s="58"/>
      <c r="AJ37" s="61">
        <f>IF($O$21=1,AB37,IF($O$21=2,AD37,IF($O$21=3,AC37,IF($O$21=4,AE37,IF($O$21=5,AF37,IF($O$21=6,AA37,IF($O$21=7,AG37,IF($O$21=8,AH37,IF($O$21=9,Z37,0)))))))))</f>
        <v>0</v>
      </c>
      <c r="AK37" s="61" t="s">
        <v>464</v>
      </c>
      <c r="AL37">
        <v>572006</v>
      </c>
      <c r="AM37">
        <v>572003</v>
      </c>
      <c r="AN37">
        <v>572008</v>
      </c>
      <c r="AO37">
        <v>572015</v>
      </c>
      <c r="AP37">
        <v>572020</v>
      </c>
      <c r="AQ37">
        <v>572024</v>
      </c>
      <c r="AR37">
        <v>572027</v>
      </c>
      <c r="AS37">
        <v>572050</v>
      </c>
      <c r="AT37">
        <v>572056</v>
      </c>
      <c r="AU37"/>
      <c r="AV37" s="61">
        <f>IF($O$21=1,AN37,IF($O$21=2,AP37,IF($O$21=3,AO37,IF($O$21=4,AQ37,IF($O$21=5,AR37,IF($O$21=6,AM37,IF($O$21=7,AS37,IF($O$21=8,AT37,IF($O$21=9,AL37,0)))))))))</f>
        <v>0</v>
      </c>
      <c r="AW37" s="61" t="s">
        <v>472</v>
      </c>
      <c r="AX37">
        <v>572001</v>
      </c>
      <c r="AY37">
        <v>572002</v>
      </c>
      <c r="AZ37">
        <v>572007</v>
      </c>
      <c r="BA37">
        <v>572011</v>
      </c>
      <c r="BB37">
        <v>572018</v>
      </c>
      <c r="BC37">
        <v>572025</v>
      </c>
      <c r="BD37">
        <v>572028</v>
      </c>
      <c r="BE37">
        <v>572030</v>
      </c>
      <c r="BF37">
        <v>572051</v>
      </c>
      <c r="BG37">
        <v>572031</v>
      </c>
      <c r="BH37" s="61">
        <f>IF($O$21=1,AZ37,IF($O$21=2,BB37,IF($O$21=3,BA37,IF($O$21=4,BC37,IF($O$21=5,BD37,IF($O$21=6,AY37,IF($O$21=7,BE37,IF($O$21=8,BF37,IF($O$21=9,AX37,IF($O$21=10,BG37,0))))))))))</f>
        <v>0</v>
      </c>
      <c r="BI37" s="61" t="s">
        <v>480</v>
      </c>
      <c r="BJ37">
        <v>572005</v>
      </c>
      <c r="BK37">
        <v>572004</v>
      </c>
      <c r="BL37">
        <v>572009</v>
      </c>
      <c r="BM37" s="59"/>
      <c r="BN37">
        <v>572010</v>
      </c>
      <c r="BO37" s="59"/>
      <c r="BP37">
        <v>572060</v>
      </c>
      <c r="BQ37" s="59"/>
      <c r="BR37">
        <v>572063</v>
      </c>
      <c r="BS37"/>
      <c r="BT37" s="61">
        <f>IF($O$21=1,BL37,IF($O$21=2,BN37,IF($O$21=3,BM37,IF($O$21=4,BO37,IF($O$21=5,BP37,IF($O$21=6,BK37,IF($O$21=7,BQ37,IF($O$21=8,BR37,IF($O$21=9,BJ37,0)))))))))</f>
        <v>0</v>
      </c>
      <c r="BU37" s="61" t="s">
        <v>488</v>
      </c>
      <c r="BV37" s="47" t="s">
        <v>95</v>
      </c>
      <c r="BW37" s="47" t="s">
        <v>113</v>
      </c>
      <c r="BX37" s="47" t="s">
        <v>108</v>
      </c>
      <c r="BY37" s="47" t="s">
        <v>111</v>
      </c>
      <c r="BZ37" s="47" t="s">
        <v>109</v>
      </c>
      <c r="CA37" s="47" t="s">
        <v>112</v>
      </c>
      <c r="CB37" s="47" t="s">
        <v>116</v>
      </c>
      <c r="CC37" s="47" t="s">
        <v>117</v>
      </c>
      <c r="CD37" s="47" t="s">
        <v>1483</v>
      </c>
      <c r="CE37" s="20"/>
      <c r="CF37" s="139"/>
      <c r="CG37" s="139"/>
      <c r="CH37"/>
      <c r="CI37"/>
      <c r="CJ37"/>
      <c r="CK37"/>
      <c r="CL37"/>
      <c r="CM37"/>
      <c r="CN37"/>
      <c r="CO37"/>
      <c r="CP37"/>
      <c r="CQ37"/>
      <c r="CR37"/>
      <c r="CT37" s="139"/>
      <c r="CU37" s="139"/>
      <c r="CV37"/>
      <c r="CW37"/>
      <c r="CX37"/>
      <c r="CY37"/>
      <c r="CZ37"/>
      <c r="DA37"/>
      <c r="DB37"/>
      <c r="DC37"/>
      <c r="DD37"/>
      <c r="DE37"/>
      <c r="DF37"/>
      <c r="DH37" s="139"/>
      <c r="DI37" s="139"/>
      <c r="DJ37"/>
      <c r="DK37"/>
      <c r="DL37"/>
      <c r="DN37"/>
      <c r="DV37" s="139"/>
      <c r="DW37" s="139"/>
      <c r="EJ37" s="139"/>
      <c r="EK37" s="139"/>
      <c r="ES37" s="639" t="str">
        <f>IF(Info!FX7=1,VLOOKUP(2228,Sprachindex!$A:$Z,Info!$O$7,FALSE),VLOOKUP(2229,Sprachindex!$A:$Z,Info!$O$7,FALSE))</f>
        <v>Dachrinne 6 m</v>
      </c>
      <c r="ET37" s="640"/>
      <c r="EU37" s="640"/>
      <c r="EV37" s="640"/>
      <c r="EW37" s="640"/>
      <c r="EX37" s="359">
        <v>13.76</v>
      </c>
      <c r="EY37" s="360">
        <v>14.18</v>
      </c>
      <c r="EZ37" s="361">
        <v>12.33</v>
      </c>
      <c r="FA37" s="365">
        <v>14.1</v>
      </c>
      <c r="FB37" s="366">
        <v>14.52</v>
      </c>
      <c r="FC37" s="367">
        <v>12.5</v>
      </c>
      <c r="FD37" s="371">
        <v>14.19</v>
      </c>
      <c r="FE37" s="372">
        <v>14.63</v>
      </c>
      <c r="FF37" s="373">
        <v>12.67</v>
      </c>
      <c r="FG37" s="377">
        <v>20.93</v>
      </c>
      <c r="FH37" s="378">
        <v>21.57</v>
      </c>
      <c r="FI37" s="379">
        <v>17.28</v>
      </c>
      <c r="FJ37" s="343"/>
      <c r="FK37" s="326"/>
      <c r="FL37" s="344"/>
      <c r="FM37" s="343"/>
      <c r="FN37" s="326"/>
      <c r="FO37" s="344"/>
      <c r="FP37" s="343"/>
      <c r="FQ37" s="326"/>
      <c r="FR37" s="344"/>
      <c r="FS37" s="343"/>
      <c r="FT37" s="326"/>
      <c r="FU37" s="344"/>
      <c r="FV37" s="343"/>
      <c r="FW37" s="326"/>
      <c r="FX37" s="344"/>
      <c r="FY37" s="343"/>
      <c r="FZ37" s="326"/>
      <c r="GA37" s="344"/>
      <c r="GB37" s="343"/>
      <c r="GC37" s="326"/>
      <c r="GD37" s="344"/>
      <c r="GE37" s="343"/>
      <c r="GF37" s="326"/>
      <c r="GG37" s="344"/>
      <c r="GH37" s="343"/>
      <c r="GI37" s="326"/>
      <c r="GJ37" s="344"/>
      <c r="GK37" s="343"/>
      <c r="GL37" s="326"/>
      <c r="GM37" s="344"/>
      <c r="GN37" s="343"/>
      <c r="GO37" s="326"/>
      <c r="GP37" s="353"/>
      <c r="GQ37" s="229" t="str">
        <f>IF(OR($O$21=1,$O$21=2,$O$21=6),EX37,IF(OR($O$21=3,$O$21=4,$O$21=5,$O$21=7,$O$21=8),EY37,IF($O$21=9,EZ37," ")))</f>
        <v xml:space="preserve"> </v>
      </c>
      <c r="GR37" s="230" t="str">
        <f>IF(OR($O$21=1,$O$21=2,$O$21=6),FA37,IF(OR($O$21=3,$O$21=4,$O$21=5,$O$21=7,$O$21=8),FB37,IF($O$21=9,FC37," ")))</f>
        <v xml:space="preserve"> </v>
      </c>
      <c r="GS37" s="339" t="str">
        <f>IF(OR($O$21=1,$O$21=2,$O$21=6),FD37,IF(OR($O$21=3,$O$21=4,$O$21=5,$O$21=7,$O$21=8),FE37,IF($O$21=9,FF37," ")))</f>
        <v xml:space="preserve"> </v>
      </c>
      <c r="GT37" s="340" t="str">
        <f>IF(OR($O$21=1,$O$21=2,$O$21=6),FG37,IF(OR($O$21=5,$O$21=8),FH37,IF($O$21=9,FI37," ")))</f>
        <v xml:space="preserve"> </v>
      </c>
      <c r="GU37" s="341"/>
      <c r="GV37" s="342" t="str">
        <f t="shared" ref="GV37" si="1">IF($O$24=1,GQ37,IF($O$24=2,GR37,IF($O$24=3,GS37,IF($O$24=4,GT37," "))))</f>
        <v xml:space="preserve"> </v>
      </c>
    </row>
    <row r="38" spans="1:205" ht="32.1" customHeight="1">
      <c r="A38" s="109"/>
      <c r="B38" s="79" t="str">
        <f>VLOOKUP(878,Sprachindex!$A:$Z,Info!$O$7,FALSE)</f>
        <v>Stk.</v>
      </c>
      <c r="C38" s="107"/>
      <c r="D38" s="78">
        <f>IF(AND($O$24=1,J38=Formeln!E168),AJ38,IF(AND($O$24=2,J38=Formeln!E168),BH38,IF(AND($O$24=3,J38=Formeln!E168),CR38,IF(AND($O$24=4,J38=Formeln!E168),EH38,IF(AND($O$24=1,J38=Formeln!E169),AV38,IF(AND($O$24=2,J38=Formeln!E169),BT38,IF(AND($O$24=3,J38=Formeln!E169),DF38,IF(AND($O$24=2,J38=Formeln!E170),CF38,IF(AND($O$24=3,J38=Formeln!E170),DT38,0)))))))))</f>
        <v>0</v>
      </c>
      <c r="E38" s="561" t="str">
        <f>VLOOKUP(711,Sprachindex!$A:$Z,Info!$O$7,FALSE)</f>
        <v>Rinnenhaken</v>
      </c>
      <c r="F38" s="562"/>
      <c r="G38" s="562"/>
      <c r="H38" s="562"/>
      <c r="I38" s="84" t="str">
        <f>VLOOKUP(556,Sprachindex!$A:$Z,Info!$O$7,FALSE)</f>
        <v>Länge wählen:</v>
      </c>
      <c r="J38" s="614"/>
      <c r="K38" s="630"/>
      <c r="L38" s="79" t="str">
        <f t="shared" si="0"/>
        <v xml:space="preserve"> </v>
      </c>
      <c r="M38" s="440" t="str">
        <f t="shared" ref="M38:M102" si="2">B38</f>
        <v>Stk.</v>
      </c>
      <c r="N38" s="80"/>
      <c r="O38" s="202" t="str">
        <f>IF(ISNUMBER(L38),L38*GU38," ")</f>
        <v xml:space="preserve"> </v>
      </c>
      <c r="R38" s="195"/>
      <c r="S38" s="195"/>
      <c r="T38" s="195"/>
      <c r="U38" s="1"/>
      <c r="V38" s="149">
        <f>ROUNDUP($A38/X38,0)*X38</f>
        <v>0</v>
      </c>
      <c r="W38" s="149">
        <f>ROUNDUP($A38/Y38,0)*Y38</f>
        <v>0</v>
      </c>
      <c r="X38" s="149">
        <f>IF($O$24=4,20,IF($O$24=5," ",30))</f>
        <v>30</v>
      </c>
      <c r="Y38" s="149">
        <v>1</v>
      </c>
      <c r="Z38" s="58">
        <v>521019</v>
      </c>
      <c r="AA38" s="58">
        <v>521040</v>
      </c>
      <c r="AB38" s="58">
        <v>521020</v>
      </c>
      <c r="AC38" s="58">
        <v>521042</v>
      </c>
      <c r="AD38" s="58">
        <v>521030</v>
      </c>
      <c r="AE38" s="58">
        <v>521045</v>
      </c>
      <c r="AF38" s="58">
        <v>521041</v>
      </c>
      <c r="AG38" s="58">
        <v>521062</v>
      </c>
      <c r="AH38" s="58">
        <v>521068</v>
      </c>
      <c r="AI38" s="58"/>
      <c r="AJ38" s="61">
        <f>IF($O$21=1,AB38,IF($O$21=2,AD38,IF($O$21=3,AC38,IF($O$21=4,AE38,IF($O$21=5,AF38,IF($O$21=6,AA38,IF($O$21=7,AG38,IF($O$21=8,AH38,IF($O$21=9,Z38,0)))))))))</f>
        <v>0</v>
      </c>
      <c r="AK38" s="62" t="s">
        <v>497</v>
      </c>
      <c r="AL38">
        <v>521092</v>
      </c>
      <c r="AM38">
        <v>521242</v>
      </c>
      <c r="AN38">
        <v>521240</v>
      </c>
      <c r="AO38">
        <v>521245</v>
      </c>
      <c r="AP38">
        <v>521241</v>
      </c>
      <c r="AQ38">
        <v>521246</v>
      </c>
      <c r="AR38">
        <v>521244</v>
      </c>
      <c r="AS38">
        <v>521247</v>
      </c>
      <c r="AT38">
        <v>521250</v>
      </c>
      <c r="AU38"/>
      <c r="AV38" s="61">
        <f>IF($O$21=1,AN38,IF($O$21=2,AP38,IF($O$21=3,AO38,IF($O$21=4,AQ38,IF($O$21=5,AR38,IF($O$21=6,AM38,IF($O$21=7,AS38,IF($O$21=8,AT38,IF($O$21=9,AL38,0)))))))))</f>
        <v>0</v>
      </c>
      <c r="AW38" s="62" t="s">
        <v>505</v>
      </c>
      <c r="AX38">
        <v>521005</v>
      </c>
      <c r="AY38">
        <v>521006</v>
      </c>
      <c r="AZ38">
        <v>521010</v>
      </c>
      <c r="BA38">
        <v>521022</v>
      </c>
      <c r="BB38">
        <v>521014</v>
      </c>
      <c r="BC38">
        <v>521044</v>
      </c>
      <c r="BD38">
        <v>521023</v>
      </c>
      <c r="BE38">
        <v>521061</v>
      </c>
      <c r="BF38">
        <v>521069</v>
      </c>
      <c r="BG38"/>
      <c r="BH38" s="61">
        <f>IF($O$21=1,AZ38,IF($O$21=2,BB38,IF($O$21=3,BA38,IF($O$21=4,BC38,IF($O$21=5,BD38,IF($O$21=6,AY38,IF($O$21=7,BE38,IF($O$21=8,BF38,IF($O$21=9,AX38,0)))))))))</f>
        <v>0</v>
      </c>
      <c r="BI38" s="62" t="s">
        <v>513</v>
      </c>
      <c r="BJ38">
        <v>521091</v>
      </c>
      <c r="BK38">
        <v>521222</v>
      </c>
      <c r="BL38">
        <v>521220</v>
      </c>
      <c r="BM38">
        <v>521225</v>
      </c>
      <c r="BN38">
        <v>521221</v>
      </c>
      <c r="BO38">
        <v>521226</v>
      </c>
      <c r="BP38">
        <v>521224</v>
      </c>
      <c r="BQ38">
        <v>521227</v>
      </c>
      <c r="BR38">
        <v>521230</v>
      </c>
      <c r="BS38"/>
      <c r="BT38" s="61">
        <f>IF($O$21=1,BL38,IF($O$21=2,BN38,IF($O$21=3,BM38,IF($O$21=4,BO38,IF($O$21=5,BP38,IF($O$21=6,BK38,IF($O$21=7,BQ38,IF($O$21=8,BR38,IF($O$21=9,BJ38,0)))))))))</f>
        <v>0</v>
      </c>
      <c r="BU38" s="62" t="s">
        <v>521</v>
      </c>
      <c r="BV38">
        <v>521050</v>
      </c>
      <c r="BW38">
        <v>521053</v>
      </c>
      <c r="BX38">
        <v>521052</v>
      </c>
      <c r="BY38">
        <v>521056</v>
      </c>
      <c r="BZ38">
        <v>521051</v>
      </c>
      <c r="CA38">
        <v>521047</v>
      </c>
      <c r="CB38">
        <v>521055</v>
      </c>
      <c r="CC38">
        <v>521048</v>
      </c>
      <c r="CD38">
        <v>521070</v>
      </c>
      <c r="CE38"/>
      <c r="CF38" s="531">
        <f>IF($O$21=1,BX38,IF($O$21=2,BZ38,IF($O$21=3,BY38,IF($O$21=4,CA38,IF($O$21=5,CB38,IF($O$21=6,BW38,IF($O$21=7,CC38,IF($O$21=8,CD38,IF($O$21=9,BV38,0)))))))))</f>
        <v>0</v>
      </c>
      <c r="CG38" s="533" t="s">
        <v>529</v>
      </c>
      <c r="CH38">
        <v>521001</v>
      </c>
      <c r="CI38">
        <v>521002</v>
      </c>
      <c r="CJ38">
        <v>521009</v>
      </c>
      <c r="CK38">
        <v>521018</v>
      </c>
      <c r="CL38">
        <v>521012</v>
      </c>
      <c r="CM38">
        <v>521043</v>
      </c>
      <c r="CN38">
        <v>521024</v>
      </c>
      <c r="CO38">
        <v>521032</v>
      </c>
      <c r="CP38">
        <v>521211</v>
      </c>
      <c r="CQ38">
        <v>521034</v>
      </c>
      <c r="CR38" s="531">
        <f>IF($O$21=1,CJ38,IF($O$21=2,CL38,IF($O$21=3,CK38,IF($O$21=4,CM38,IF($O$21=5,CN38,IF($O$21=6,CI38,IF($O$21=7,CO38,IF($O$21=8,CP38,IF($O$21=9,CH38,IF($O$21=10,CQ38,0))))))))))</f>
        <v>0</v>
      </c>
      <c r="CS38" s="533" t="s">
        <v>537</v>
      </c>
      <c r="CT38">
        <v>521090</v>
      </c>
      <c r="CU38">
        <v>521202</v>
      </c>
      <c r="CV38">
        <v>521200</v>
      </c>
      <c r="CW38">
        <v>521205</v>
      </c>
      <c r="CX38">
        <v>521201</v>
      </c>
      <c r="CY38"/>
      <c r="CZ38">
        <v>521206</v>
      </c>
      <c r="DA38">
        <v>521204</v>
      </c>
      <c r="DB38">
        <v>521208</v>
      </c>
      <c r="DC38">
        <v>521213</v>
      </c>
      <c r="DD38">
        <v>521234</v>
      </c>
      <c r="DE38" s="535"/>
      <c r="DF38" s="534" t="e" cm="1">
        <f t="array" ref="DF38">IF($O$21=1,CV38,IF($O$21=2,CX38,IF($O$21=3,CW38,IF($O$21=4,CZ38,IF($O$21=5,DA38,IF($O$21=6,CU38,IF($O$21=7,DB38,IF($O$21=8,DC38,IF($O$21=9,CT38,IF($O$21=10,DD38,ß))))))))))</f>
        <v>#NAME?</v>
      </c>
      <c r="DG38" s="533" t="s">
        <v>538</v>
      </c>
      <c r="DH38">
        <v>521007</v>
      </c>
      <c r="DI38">
        <v>521008</v>
      </c>
      <c r="DJ38">
        <v>521011</v>
      </c>
      <c r="DK38">
        <v>521026</v>
      </c>
      <c r="DL38">
        <v>521013</v>
      </c>
      <c r="DM38"/>
      <c r="DN38">
        <v>521046</v>
      </c>
      <c r="DO38">
        <v>521025</v>
      </c>
      <c r="DP38">
        <v>521033</v>
      </c>
      <c r="DQ38">
        <v>521212</v>
      </c>
      <c r="DR38">
        <v>521134</v>
      </c>
      <c r="DS38" s="532"/>
      <c r="DT38" s="531">
        <f>IF($O$21=1,DJ38,IF($O$21=2,DL38,IF($O$21=3,DK38,IF($O$21=4,DN38,IF($O$21=5,DO38,IF($O$21=6,DI38,IF($O$21=7,DP38,IF($O$21=8,DQ38,IF($O$21=9,DH38,IF($O$21=10,DR38,0))))))))))</f>
        <v>0</v>
      </c>
      <c r="DU38" s="533" t="s">
        <v>546</v>
      </c>
      <c r="DV38">
        <v>521003</v>
      </c>
      <c r="DW38">
        <v>521004</v>
      </c>
      <c r="DX38">
        <v>521015</v>
      </c>
      <c r="DY38" s="532"/>
      <c r="DZ38">
        <v>521016</v>
      </c>
      <c r="EA38" s="532"/>
      <c r="EB38" s="532"/>
      <c r="EC38" s="532">
        <v>521080</v>
      </c>
      <c r="ED38" s="532"/>
      <c r="EE38" s="532">
        <v>521083</v>
      </c>
      <c r="EF38" s="532"/>
      <c r="EG38" s="532"/>
      <c r="EH38" s="531">
        <f>IF($O$21=1,DX38,IF($O$21=2,DZ38,IF($O$21=3,DY38,IF($O$21=4,EB38,IF($O$21=5,EC38,IF($O$21=6,DW38,IF($O$21=7,ED38,IF($O$21=8,EE38,IF($O$21=9,DV38,0)))))))))</f>
        <v>0</v>
      </c>
      <c r="EI38" s="533" t="s">
        <v>554</v>
      </c>
      <c r="ER38" s="561" t="str">
        <f>VLOOKUP(711,Sprachindex!$A:$Z,Info!$O$7,FALSE)</f>
        <v>Rinnenhaken</v>
      </c>
      <c r="ES38" s="562"/>
      <c r="ET38" s="562"/>
      <c r="EU38" s="562"/>
      <c r="EV38" s="309" t="str">
        <f>VLOOKUP(556,Sprachindex!$A:$Z,Info!$O$7,FALSE)</f>
        <v>Länge wählen:</v>
      </c>
      <c r="EW38" s="359">
        <v>7.1</v>
      </c>
      <c r="EX38" s="360">
        <v>7.31</v>
      </c>
      <c r="EY38" s="361">
        <v>6.26</v>
      </c>
      <c r="EZ38" s="380">
        <v>8.57</v>
      </c>
      <c r="FA38" s="360">
        <v>8.81</v>
      </c>
      <c r="FB38" s="361">
        <v>7.27</v>
      </c>
      <c r="FC38" s="343"/>
      <c r="FD38" s="326"/>
      <c r="FE38" s="344"/>
      <c r="FF38" s="365">
        <v>7.22</v>
      </c>
      <c r="FG38" s="366">
        <v>7.43</v>
      </c>
      <c r="FH38" s="367">
        <v>6.4</v>
      </c>
      <c r="FI38" s="365">
        <v>8.6999999999999993</v>
      </c>
      <c r="FJ38" s="366">
        <v>8.9600000000000009</v>
      </c>
      <c r="FK38" s="367">
        <v>7.43</v>
      </c>
      <c r="FL38" s="365">
        <v>9.9600000000000009</v>
      </c>
      <c r="FM38" s="366">
        <v>10.25</v>
      </c>
      <c r="FN38" s="367">
        <v>8.57</v>
      </c>
      <c r="FO38" s="371">
        <v>7.34</v>
      </c>
      <c r="FP38" s="372">
        <v>7.64</v>
      </c>
      <c r="FQ38" s="373">
        <v>6.47</v>
      </c>
      <c r="FR38" s="371">
        <v>8.7899999999999991</v>
      </c>
      <c r="FS38" s="372">
        <v>9.16</v>
      </c>
      <c r="FT38" s="373">
        <v>7.59</v>
      </c>
      <c r="FU38" s="371">
        <v>10.11</v>
      </c>
      <c r="FV38" s="372">
        <v>10.43</v>
      </c>
      <c r="FW38" s="373">
        <v>8.6999999999999993</v>
      </c>
      <c r="FX38" s="343"/>
      <c r="FY38" s="326"/>
      <c r="FZ38" s="344"/>
      <c r="GA38" s="377">
        <v>11.22</v>
      </c>
      <c r="GB38" s="378">
        <v>11.54</v>
      </c>
      <c r="GC38" s="379">
        <v>9.64</v>
      </c>
      <c r="GD38" s="343"/>
      <c r="GE38" s="326"/>
      <c r="GF38" s="344"/>
      <c r="GG38" s="380" t="str">
        <f>IF(OR($O$21=1,$O$21=2,$O$21=6),EW38,IF(OR($O$21=3,$O$21=4,$O$21=5,$O$21=7,$O$21=8),EX38,IF($O$21=9,EY38," ")))</f>
        <v xml:space="preserve"> </v>
      </c>
      <c r="GH38" s="384" t="str">
        <f>IF(OR($O$21=1,$O$21=2,$O$21=6),EZ38,IF(OR($O$21=3,$O$21=4,$O$21=5,$O$21=7,$O$21=8),FA38,IF($O$21=9,FB38," ")))</f>
        <v xml:space="preserve"> </v>
      </c>
      <c r="GI38" s="367" t="str">
        <f>IF(OR($O$21=1,$O$21=2,$O$21=6),FF38,IF(OR($O$21=3,$O$21=4,$O$21=5,$O$21=7,$O$21=8),FG38,IF($O$21=9,FH38," ")))</f>
        <v xml:space="preserve"> </v>
      </c>
      <c r="GJ38" s="365" t="str">
        <f>IF(OR($O$21=1,$O$21=2,$O$21=6),FI38,IF(OR($O$21=3,$O$21=4,$O$21=5,$O$21=7,$O$21=8),FJ38,IF($O$21=9,FK38," ")))</f>
        <v xml:space="preserve"> </v>
      </c>
      <c r="GK38" s="366" t="str">
        <f>IF(OR($O$21=1,$O$21=2,$O$21=6),FL38,IF(OR($O$21=3,$O$21=4,$O$21=5,$O$21=7,$O$21=8),FM38,IF($O$21=9,FN38," ")))</f>
        <v xml:space="preserve"> </v>
      </c>
      <c r="GL38" s="373" t="str">
        <f>IF(OR($O$21=1,$O$21=2,$O$21=6),FO38,IF(OR($O$21=3,$O$21=4,$O$21=5,$O$21=7,$O$21=8),FP38,IF($O$21=9,FQ38," ")))</f>
        <v xml:space="preserve"> </v>
      </c>
      <c r="GM38" s="371" t="str">
        <f>IF(OR($O$21=1,$O$21=2,$O$21=6),FR38,IF(OR($O$21=3,$O$21=4,$O$21=5,$O$21=7,$O$21=8),FS38,IF($O$21=9,FT38," ")))</f>
        <v xml:space="preserve"> </v>
      </c>
      <c r="GN38" s="372" t="str">
        <f>IF(OR($O$21=1,$O$21=2,$O$21=6),FU38,IF(OR($O$21=3,$O$21=4,$O$21=5,$O$21=7,$O$21=8),FV38,IF($O$21=9,FW38," ")))</f>
        <v xml:space="preserve"> </v>
      </c>
      <c r="GO38" s="385" t="str">
        <f>IF(OR($O$21=1,$O$21=2,$O$21=6),GA38,IF(OR($O$21=3,$O$21=4,$O$21=5,$O$21=7,$O$21=8),GB38,IF($O$21=9,GC38," ")))</f>
        <v xml:space="preserve"> </v>
      </c>
      <c r="GP38" s="229" t="str">
        <f>IF(J38=EY33,GG38,IF(J38=FB33,GH38," "))</f>
        <v xml:space="preserve"> </v>
      </c>
      <c r="GQ38" s="230" t="str">
        <f>IF(K38=EZ33,GI38,IF(K38=FC33,GJ38,IF(K38=FE33,GK38," ")))</f>
        <v xml:space="preserve"> </v>
      </c>
      <c r="GR38" s="339" t="str">
        <f>IF(K38=EZ33,GL38,IF(K38=FC33,GM38,IF(K38=FE33,GN38," ")))</f>
        <v xml:space="preserve"> </v>
      </c>
      <c r="GS38" s="340" t="str">
        <f>GO38</f>
        <v xml:space="preserve"> </v>
      </c>
      <c r="GT38" s="341"/>
      <c r="GU38" s="342" t="str">
        <f>IF($O$24=1,GP38,IF($O$24=2,GQ38,IF($O$24=3,GR38,IF($O$24=4,GS38," "))))</f>
        <v xml:space="preserve"> </v>
      </c>
    </row>
    <row r="39" spans="1:205" ht="32.1" customHeight="1">
      <c r="A39" s="109"/>
      <c r="B39" s="121" t="str">
        <f>VLOOKUP(878,Sprachindex!$A:$Z,Info!$O$7,FALSE)</f>
        <v>Stk.</v>
      </c>
      <c r="C39" s="112"/>
      <c r="D39" s="112">
        <f>IF(O24=2,AV39,IF(O24=3,BH39,IF(O24=1,AJ39,0)))</f>
        <v>0</v>
      </c>
      <c r="E39" s="635" t="str">
        <f>VLOOKUP(876,Sprachindex!$A:$Z,Info!$O$7,FALSE)</f>
        <v>Stirnbretthaken für Dachrinnen</v>
      </c>
      <c r="F39" s="636"/>
      <c r="G39" s="636"/>
      <c r="H39" s="636"/>
      <c r="I39" s="636"/>
      <c r="J39" s="637" t="str">
        <f>IF(O24=0,"",IF(O24=1,G25,IF(O24=2,G26,IF(O24=3,G27,Formeln!A177))))</f>
        <v/>
      </c>
      <c r="K39" s="638"/>
      <c r="L39" s="79" t="str">
        <f t="shared" si="0"/>
        <v xml:space="preserve"> </v>
      </c>
      <c r="M39" s="440" t="str">
        <f t="shared" si="2"/>
        <v>Stk.</v>
      </c>
      <c r="N39" s="80"/>
      <c r="O39" s="202" t="str">
        <f>IF(ISNUMBER(L39),L39*GV39," ")</f>
        <v xml:space="preserve"> </v>
      </c>
      <c r="R39" s="195"/>
      <c r="S39" s="195"/>
      <c r="T39" s="195"/>
      <c r="U39" s="1"/>
      <c r="V39" s="149">
        <f>ROUNDUP($A39/20,0)*20</f>
        <v>0</v>
      </c>
      <c r="W39" s="149">
        <f>ROUNDUP($A39/Y39,0)*Y39</f>
        <v>0</v>
      </c>
      <c r="X39" s="149" t="str">
        <f>IF($O$24=1,20,IF($O$24=2,20,IF($O$24=3,20,"")))</f>
        <v/>
      </c>
      <c r="Y39" s="149">
        <v>1</v>
      </c>
      <c r="Z39" s="117" t="s">
        <v>1669</v>
      </c>
      <c r="AA39" s="117" t="s">
        <v>1670</v>
      </c>
      <c r="AB39" s="117" t="s">
        <v>1671</v>
      </c>
      <c r="AC39" s="117"/>
      <c r="AD39" s="117" t="s">
        <v>1672</v>
      </c>
      <c r="AE39" s="58"/>
      <c r="AF39" s="58"/>
      <c r="AG39" s="58"/>
      <c r="AH39" s="58"/>
      <c r="AI39" s="58"/>
      <c r="AJ39" s="61">
        <f>IF($O$21=1,AB39,IF($O$21=2,AD39,IF($O$21=3,AC39,IF($O$21=4,AE39,IF($O$21=5,AF39,IF($O$21=6,AA39,IF($O$21=7,AG39,IF($O$21=8,AH39,IF($O$21=9,Z39,0)))))))))</f>
        <v>0</v>
      </c>
      <c r="AK39" s="62" t="s">
        <v>562</v>
      </c>
      <c r="AL39">
        <v>521501</v>
      </c>
      <c r="AM39">
        <v>521522</v>
      </c>
      <c r="AN39">
        <v>521520</v>
      </c>
      <c r="AO39">
        <v>521525</v>
      </c>
      <c r="AP39">
        <v>521521</v>
      </c>
      <c r="AQ39">
        <v>521526</v>
      </c>
      <c r="AR39">
        <v>521524</v>
      </c>
      <c r="AS39">
        <v>521528</v>
      </c>
      <c r="AT39">
        <v>521530</v>
      </c>
      <c r="AU39"/>
      <c r="AV39" s="61">
        <f>IF($O$21=1,AN39,IF($O$21=2,AP39,IF($O$21=3,AO39,IF($O$21=4,AQ39,IF($O$21=5,AR39,IF($O$21=6,AM39,IF($O$21=7,AS39,IF($O$21=8,AT39,IF($O$21=9,AL39,0)))))))))</f>
        <v>0</v>
      </c>
      <c r="AW39" s="62" t="s">
        <v>570</v>
      </c>
      <c r="AX39">
        <v>521502</v>
      </c>
      <c r="AY39">
        <v>521537</v>
      </c>
      <c r="AZ39">
        <v>521535</v>
      </c>
      <c r="BA39">
        <v>521540</v>
      </c>
      <c r="BB39">
        <v>521536</v>
      </c>
      <c r="BC39">
        <v>521541</v>
      </c>
      <c r="BD39">
        <v>521539</v>
      </c>
      <c r="BE39">
        <v>521544</v>
      </c>
      <c r="BF39">
        <v>521546</v>
      </c>
      <c r="BG39">
        <v>521542</v>
      </c>
      <c r="BH39" s="61">
        <f>IF($O$21=1,AZ39,IF($O$21=2,BB39,IF($O$21=3,BA39,IF($O$21=4,BC39,IF($O$21=5,BD39,IF($O$21=6,AY39,IF($O$21=7,BE39,IF($O$21=8,BF39,IF($O$21=9,AX39,IF($O$21=10,BG39,0))))))))))</f>
        <v>0</v>
      </c>
      <c r="BI39" s="62" t="s">
        <v>577</v>
      </c>
      <c r="ES39" s="635" t="str">
        <f>VLOOKUP(876,Sprachindex!$A:$Z,Info!$O$7,FALSE)</f>
        <v>Stirnbretthaken für Dachrinnen</v>
      </c>
      <c r="ET39" s="636"/>
      <c r="EU39" s="636"/>
      <c r="EV39" s="636"/>
      <c r="EW39" s="636"/>
      <c r="EX39" s="352"/>
      <c r="EY39" s="326"/>
      <c r="EZ39" s="344"/>
      <c r="FA39" s="380">
        <v>8.6999999999999993</v>
      </c>
      <c r="FB39" s="326"/>
      <c r="FC39" s="361">
        <v>7.74</v>
      </c>
      <c r="FD39" s="343"/>
      <c r="FE39" s="326"/>
      <c r="FF39" s="344"/>
      <c r="FG39" s="343"/>
      <c r="FH39" s="326"/>
      <c r="FI39" s="344"/>
      <c r="FJ39" s="365">
        <v>6.57</v>
      </c>
      <c r="FK39" s="326"/>
      <c r="FL39" s="367">
        <v>5.66</v>
      </c>
      <c r="FM39" s="343"/>
      <c r="FN39" s="326"/>
      <c r="FO39" s="344"/>
      <c r="FP39" s="343"/>
      <c r="FQ39" s="326"/>
      <c r="FR39" s="344"/>
      <c r="FS39" s="371">
        <v>8.26</v>
      </c>
      <c r="FT39" s="326"/>
      <c r="FU39" s="373">
        <v>6.2</v>
      </c>
      <c r="FV39" s="343"/>
      <c r="FW39" s="326"/>
      <c r="FX39" s="344"/>
      <c r="FY39" s="343"/>
      <c r="FZ39" s="326"/>
      <c r="GA39" s="344"/>
      <c r="GB39" s="343"/>
      <c r="GC39" s="326"/>
      <c r="GD39" s="344"/>
      <c r="GE39" s="343"/>
      <c r="GF39" s="326"/>
      <c r="GG39" s="344"/>
      <c r="GH39" s="343"/>
      <c r="GI39" s="326"/>
      <c r="GJ39" s="344"/>
      <c r="GK39" s="343"/>
      <c r="GL39" s="326"/>
      <c r="GM39" s="344"/>
      <c r="GN39" s="343"/>
      <c r="GO39" s="326"/>
      <c r="GP39" s="353"/>
      <c r="GQ39" s="229" t="str">
        <f>IF(OR(O21=1,O21=2,O21=6),FA39,IF(O21=9,FC39," "))</f>
        <v xml:space="preserve"> </v>
      </c>
      <c r="GR39" s="332">
        <f>IF($O$21=9,FL39,FJ39)</f>
        <v>6.57</v>
      </c>
      <c r="GS39" s="331">
        <f>IF(O21=9,FU39,FS39)</f>
        <v>8.26</v>
      </c>
      <c r="GV39" s="342" t="str">
        <f>IF($O$24=1,GQ39,IF($O$24=2,GR39,IF($O$24=3,GS39," ")))</f>
        <v xml:space="preserve"> </v>
      </c>
    </row>
    <row r="40" spans="1:205" ht="32.1" customHeight="1">
      <c r="A40" s="109"/>
      <c r="B40" s="121" t="str">
        <f>VLOOKUP(878,Sprachindex!$A:$Z,Info!$O$7,FALSE)</f>
        <v>Stk.</v>
      </c>
      <c r="C40" s="111"/>
      <c r="D40" s="111" t="str">
        <f>IF(AND(O24=3,J40=Formeln!E179),AJ40,IF(AND(O24=3,J40=Formeln!E180),AV40,IF(AND(O24=4,J40=Formeln!E179),BH40,IF(AND(O24=2,J40=Formeln!E179),BT40,""))))</f>
        <v/>
      </c>
      <c r="E40" s="635" t="str">
        <f>VLOOKUP(714,Sprachindex!$A:$Z,Info!$O$7,FALSE)</f>
        <v>Rinnenhaken hochkant</v>
      </c>
      <c r="F40" s="636"/>
      <c r="G40" s="636"/>
      <c r="H40" s="636"/>
      <c r="I40" s="113" t="str">
        <f>VLOOKUP(556,Sprachindex!$A:$Z,Info!$O$7,FALSE)</f>
        <v>Länge wählen:</v>
      </c>
      <c r="J40" s="614"/>
      <c r="K40" s="630"/>
      <c r="L40" s="79" t="str">
        <f t="shared" si="0"/>
        <v xml:space="preserve"> </v>
      </c>
      <c r="M40" s="440" t="str">
        <f t="shared" si="2"/>
        <v>Stk.</v>
      </c>
      <c r="N40" s="80"/>
      <c r="O40" s="202" t="str">
        <f>IF(ISNUMBER(L40),L40*GV40," ")</f>
        <v xml:space="preserve"> </v>
      </c>
      <c r="R40" s="195"/>
      <c r="S40" s="195"/>
      <c r="T40" s="195"/>
      <c r="U40" s="1"/>
      <c r="V40" s="149" t="str">
        <f>IF(ISNUMBER(X40),ROUNDUP($A40/X40,0)*X40," ")</f>
        <v xml:space="preserve"> </v>
      </c>
      <c r="W40" s="149">
        <f>ROUNDUP($A40/Y40,0)*Y40</f>
        <v>0</v>
      </c>
      <c r="X40" s="149" t="str">
        <f>IF($O$24=2,10,IF(OR($O$24=3,$O$24=4),20," "))</f>
        <v xml:space="preserve"> </v>
      </c>
      <c r="Y40" s="149">
        <v>1</v>
      </c>
      <c r="Z40" s="58">
        <v>522001</v>
      </c>
      <c r="AA40" s="58">
        <v>522002</v>
      </c>
      <c r="AB40" s="58">
        <v>522003</v>
      </c>
      <c r="AC40" s="58">
        <v>522008</v>
      </c>
      <c r="AD40" s="58">
        <v>522004</v>
      </c>
      <c r="AE40" s="58">
        <v>522005</v>
      </c>
      <c r="AF40" s="58">
        <v>522009</v>
      </c>
      <c r="AG40" s="58">
        <v>522010</v>
      </c>
      <c r="AH40" s="58">
        <v>522014</v>
      </c>
      <c r="AI40" s="58">
        <v>522015</v>
      </c>
      <c r="AJ40" s="61">
        <f>IF($O$21=1,AB40,IF($O$21=2,AD40,IF($O$21=3,AC40,IF($O$21=4,AE40,IF($O$21=5,AF40,IF($O$21=6,AA40,IF($O$21=7,AG40,IF($O$21=8,AH40,IF($O$21=9,Z40,IF($O$21=10,AI40,0))))))))))</f>
        <v>0</v>
      </c>
      <c r="AK40" s="62" t="s">
        <v>585</v>
      </c>
      <c r="AL40">
        <v>522020</v>
      </c>
      <c r="AM40" s="59"/>
      <c r="AN40">
        <v>522022</v>
      </c>
      <c r="AO40" s="59"/>
      <c r="AP40">
        <v>522021</v>
      </c>
      <c r="AQ40" s="59"/>
      <c r="AR40" s="59"/>
      <c r="AS40" s="59"/>
      <c r="AT40" s="59"/>
      <c r="AU40" s="59">
        <v>522025</v>
      </c>
      <c r="AV40" s="61">
        <f>IF($O$21=1,AN40,IF($O$21=2,AP40,IF($O$21=3,AO40,IF($O$21=4,AQ40,IF($O$21=5,AR40,IF($O$21=6,AM40,IF($O$21=7,AS40,IF($O$21=8,AT40,IF($O$21=9,AL40,IF($O$21=10,AU40,0))))))))))</f>
        <v>0</v>
      </c>
      <c r="AW40" s="62" t="s">
        <v>593</v>
      </c>
      <c r="AX40" s="42" t="s">
        <v>1673</v>
      </c>
      <c r="AY40" s="42" t="s">
        <v>1674</v>
      </c>
      <c r="AZ40" s="42" t="s">
        <v>1675</v>
      </c>
      <c r="BA40" s="42"/>
      <c r="BB40" s="42" t="s">
        <v>1676</v>
      </c>
      <c r="BC40" s="42"/>
      <c r="BD40" s="42" t="s">
        <v>1677</v>
      </c>
      <c r="BE40" s="42"/>
      <c r="BF40" s="42" t="s">
        <v>1678</v>
      </c>
      <c r="BG40" s="42"/>
      <c r="BH40" s="61">
        <f>IF($O$21=1,AZ40,IF($O$21=2,BB40,IF($O$21=3,BA40,IF($O$21=4,BC40,IF($O$21=5,BD40,IF($O$21=6,AY40,IF($O$21=7,BE40,IF($O$21=8,BF40,IF($O$21=9,AX40,0)))))))))</f>
        <v>0</v>
      </c>
      <c r="BI40" s="62" t="s">
        <v>601</v>
      </c>
      <c r="BJ40" t="s">
        <v>1679</v>
      </c>
      <c r="BK40"/>
      <c r="BL40"/>
      <c r="BM40"/>
      <c r="BN40"/>
      <c r="BO40"/>
      <c r="BP40"/>
      <c r="BQ40"/>
      <c r="BR40"/>
      <c r="BS40"/>
      <c r="BT40" s="61">
        <f>IF($O$21=1,BL40,IF($O$21=2,BN40,IF($O$21=3,BM40,IF($O$21=4,BO40,IF($O$21=5,BP40,IF($O$21=6,BK40,IF($O$21=7,BQ40,IF($O$21=8,BR40,IF($O$21=9,BJ40,0)))))))))</f>
        <v>0</v>
      </c>
      <c r="BU40" s="62" t="s">
        <v>602</v>
      </c>
      <c r="ES40" s="635" t="str">
        <f>VLOOKUP(714,Sprachindex!$A:$Z,Info!$O$7,FALSE)</f>
        <v>Rinnenhaken hochkant</v>
      </c>
      <c r="ET40" s="636"/>
      <c r="EU40" s="636"/>
      <c r="EV40" s="636"/>
      <c r="EW40" s="328" t="str">
        <f>VLOOKUP(556,Sprachindex!$A:$Z,Info!$O$7,FALSE)</f>
        <v>Länge wählen:</v>
      </c>
      <c r="EX40" s="352"/>
      <c r="EY40" s="326"/>
      <c r="EZ40" s="344"/>
      <c r="FA40" s="343"/>
      <c r="FB40" s="326"/>
      <c r="FC40" s="344"/>
      <c r="FD40" s="343"/>
      <c r="FE40" s="326"/>
      <c r="FF40" s="344"/>
      <c r="FG40" s="343"/>
      <c r="FH40" s="326"/>
      <c r="FI40" s="344"/>
      <c r="FJ40" s="365">
        <v>16.55</v>
      </c>
      <c r="FK40" s="326"/>
      <c r="FL40" s="367">
        <v>15.63</v>
      </c>
      <c r="FM40" s="343"/>
      <c r="FN40" s="326"/>
      <c r="FO40" s="344"/>
      <c r="FP40" s="371">
        <v>11.24</v>
      </c>
      <c r="FQ40" s="326"/>
      <c r="FR40" s="373">
        <v>9.43</v>
      </c>
      <c r="FS40" s="371">
        <v>12.51</v>
      </c>
      <c r="FT40" s="326"/>
      <c r="FU40" s="373">
        <v>10.72</v>
      </c>
      <c r="FV40" s="343"/>
      <c r="FW40" s="326"/>
      <c r="FX40" s="344"/>
      <c r="FY40" s="343"/>
      <c r="FZ40" s="326"/>
      <c r="GA40" s="344"/>
      <c r="GB40" s="377">
        <v>12.78</v>
      </c>
      <c r="GC40" s="326"/>
      <c r="GD40" s="379">
        <v>12.05</v>
      </c>
      <c r="GE40" s="343"/>
      <c r="GF40" s="326"/>
      <c r="GG40" s="344"/>
      <c r="GH40" s="343"/>
      <c r="GI40" s="326"/>
      <c r="GJ40" s="344"/>
      <c r="GK40" s="343"/>
      <c r="GL40" s="326"/>
      <c r="GM40" s="344"/>
      <c r="GN40" s="343"/>
      <c r="GO40" s="326"/>
      <c r="GP40" s="353"/>
      <c r="GR40" s="332">
        <f>IF($O$21=9,FL40,FJ40)</f>
        <v>16.55</v>
      </c>
      <c r="GS40" s="331" t="str">
        <f>IF(J40=FQ33,IF(O21=9,FR40,FP40),IF(J40=FT33,IF(O21=9,FU40,FS40)," "))</f>
        <v xml:space="preserve"> </v>
      </c>
      <c r="GT40" s="330">
        <f>IF($O$21=9,GD40,GB40)</f>
        <v>12.78</v>
      </c>
      <c r="GV40" s="342" t="str">
        <f>IF($O$24=2,GR40,IF($O$24=3,GS40,IF($O$24=4,GT40," ")))</f>
        <v xml:space="preserve"> </v>
      </c>
    </row>
    <row r="41" spans="1:205" ht="32.1" customHeight="1">
      <c r="A41" s="109"/>
      <c r="B41" s="121" t="str">
        <f>VLOOKUP(878,Sprachindex!$A:$Z,Info!$O$7,FALSE)</f>
        <v>Stk.</v>
      </c>
      <c r="C41" s="111"/>
      <c r="D41" s="111">
        <f>IF(O24=3,AJ41,0)</f>
        <v>0</v>
      </c>
      <c r="E41" s="635" t="str">
        <f>VLOOKUP(715,Sprachindex!$A:$Z,Info!$O$7,FALSE)</f>
        <v>Rinnenhaken Schweiz</v>
      </c>
      <c r="F41" s="636"/>
      <c r="G41" s="636"/>
      <c r="H41" s="636"/>
      <c r="I41" s="113"/>
      <c r="J41" s="637" t="str">
        <f>IF(O24=0,"",IF(O24=3,G27,Formeln!A177))</f>
        <v/>
      </c>
      <c r="K41" s="638"/>
      <c r="L41" s="79" t="str">
        <f t="shared" si="0"/>
        <v xml:space="preserve"> </v>
      </c>
      <c r="M41" s="440" t="str">
        <f t="shared" si="2"/>
        <v>Stk.</v>
      </c>
      <c r="N41" s="80"/>
      <c r="O41" s="202" t="str">
        <f>IF(ISNUMBER(L41),L41*GV41," ")</f>
        <v xml:space="preserve"> </v>
      </c>
      <c r="R41" s="195"/>
      <c r="S41" s="195"/>
      <c r="T41" s="195"/>
      <c r="U41" s="1"/>
      <c r="V41" s="149">
        <f>ROUNDUP($A41/20,0)*20</f>
        <v>0</v>
      </c>
      <c r="W41" s="149">
        <f>ROUNDUP($A41/Y41,0)*Y41</f>
        <v>0</v>
      </c>
      <c r="X41" s="149" t="str">
        <f>IF($O$24=3,"20","")</f>
        <v/>
      </c>
      <c r="Y41" s="149">
        <v>1</v>
      </c>
      <c r="Z41" s="58">
        <v>522050</v>
      </c>
      <c r="AA41" s="58">
        <v>522053</v>
      </c>
      <c r="AB41" s="58">
        <v>522051</v>
      </c>
      <c r="AC41" s="59"/>
      <c r="AD41" s="58">
        <v>522052</v>
      </c>
      <c r="AE41" s="59"/>
      <c r="AF41" s="59"/>
      <c r="AG41" s="59"/>
      <c r="AH41" s="59"/>
      <c r="AI41" s="59">
        <v>522055</v>
      </c>
      <c r="AJ41" s="61">
        <f>IF($O$21=1,AB41,IF($O$21=2,AD41,IF($O$21=3,AC41,IF($O$21=4,AE41,IF($O$21=5,AF41,IF($O$21=6,AA41,IF($O$21=7,AG41,IF($O$21=8,AH41,IF($O$21=9,Z41,IF($O$21=10,AI41,0))))))))))</f>
        <v>0</v>
      </c>
      <c r="AK41" s="62" t="s">
        <v>585</v>
      </c>
      <c r="ES41" s="635" t="str">
        <f>VLOOKUP(715,Sprachindex!$A:$Z,Info!$O$7,FALSE)</f>
        <v>Rinnenhaken Schweiz</v>
      </c>
      <c r="ET41" s="636"/>
      <c r="EU41" s="636"/>
      <c r="EV41" s="636"/>
      <c r="EW41" s="328"/>
      <c r="EX41" s="352"/>
      <c r="EY41" s="326"/>
      <c r="EZ41" s="344"/>
      <c r="FA41" s="343"/>
      <c r="FB41" s="326"/>
      <c r="FC41" s="344"/>
      <c r="FD41" s="343"/>
      <c r="FE41" s="326"/>
      <c r="FF41" s="344"/>
      <c r="FG41" s="343"/>
      <c r="FH41" s="326"/>
      <c r="FI41" s="344"/>
      <c r="FJ41" s="343"/>
      <c r="FK41" s="326"/>
      <c r="FL41" s="344"/>
      <c r="FM41" s="343"/>
      <c r="FN41" s="326"/>
      <c r="FO41" s="344"/>
      <c r="FP41" s="343"/>
      <c r="FQ41" s="326"/>
      <c r="FR41" s="344"/>
      <c r="FS41" s="371">
        <v>12.51</v>
      </c>
      <c r="FT41" s="326"/>
      <c r="FU41" s="373">
        <v>10.72</v>
      </c>
      <c r="FV41" s="343"/>
      <c r="FW41" s="326"/>
      <c r="FX41" s="344"/>
      <c r="FY41" s="343"/>
      <c r="FZ41" s="326"/>
      <c r="GA41" s="344"/>
      <c r="GB41" s="343"/>
      <c r="GC41" s="326"/>
      <c r="GD41" s="344"/>
      <c r="GE41" s="343"/>
      <c r="GF41" s="326"/>
      <c r="GG41" s="344"/>
      <c r="GH41" s="343"/>
      <c r="GI41" s="326"/>
      <c r="GJ41" s="344"/>
      <c r="GK41" s="343"/>
      <c r="GL41" s="326"/>
      <c r="GM41" s="344"/>
      <c r="GN41" s="343"/>
      <c r="GO41" s="326"/>
      <c r="GP41" s="353"/>
      <c r="GR41" s="332" t="str">
        <f>IF(O21=9,GD40,IF(OR(O21=1,O21=2,O21=6),GB40," "))</f>
        <v xml:space="preserve"> </v>
      </c>
      <c r="GV41" s="334" t="str">
        <f>GR41</f>
        <v xml:space="preserve"> </v>
      </c>
    </row>
    <row r="42" spans="1:205" ht="32.1" customHeight="1">
      <c r="A42" s="109"/>
      <c r="B42" s="79" t="str">
        <f>VLOOKUP(531,Sprachindex!$A:$Z,Info!$O$7,FALSE)</f>
        <v>kg</v>
      </c>
      <c r="C42" s="78"/>
      <c r="D42" s="78">
        <v>350670</v>
      </c>
      <c r="E42" s="561" t="str">
        <f>VLOOKUP(716,Sprachindex!$A:$Z,Info!$O$7,FALSE)</f>
        <v>Rinnenhakennagel (5,0 × 80)</v>
      </c>
      <c r="F42" s="562"/>
      <c r="G42" s="562"/>
      <c r="H42" s="562"/>
      <c r="I42" s="562"/>
      <c r="J42" s="627"/>
      <c r="K42" s="628"/>
      <c r="L42" s="79" t="str">
        <f t="shared" si="0"/>
        <v xml:space="preserve"> </v>
      </c>
      <c r="M42" s="440" t="str">
        <f t="shared" si="2"/>
        <v>kg</v>
      </c>
      <c r="N42" s="80"/>
      <c r="O42" s="202" t="str">
        <f>IF(ISNUMBER(A42),L42*GV42," ")</f>
        <v xml:space="preserve"> </v>
      </c>
      <c r="R42" s="195"/>
      <c r="S42" s="195"/>
      <c r="T42" s="195"/>
      <c r="U42" s="1"/>
      <c r="V42" s="149">
        <f>ROUNDUP($A42/$X42,0)*$X42</f>
        <v>0</v>
      </c>
      <c r="W42" s="149">
        <f>ROUNDUP($A42/$Y42,0)*$Y42</f>
        <v>0</v>
      </c>
      <c r="X42" s="149">
        <v>5</v>
      </c>
      <c r="Y42" s="149">
        <v>1</v>
      </c>
      <c r="Z42" s="159" t="s">
        <v>95</v>
      </c>
      <c r="AA42" s="47" t="s">
        <v>113</v>
      </c>
      <c r="AB42" s="47" t="s">
        <v>108</v>
      </c>
      <c r="AC42" s="47" t="s">
        <v>111</v>
      </c>
      <c r="AD42" s="47" t="s">
        <v>109</v>
      </c>
      <c r="AE42" s="47" t="s">
        <v>112</v>
      </c>
      <c r="AF42" s="47" t="s">
        <v>116</v>
      </c>
      <c r="AG42" s="47" t="s">
        <v>117</v>
      </c>
      <c r="AH42" s="47" t="s">
        <v>1483</v>
      </c>
      <c r="AI42" s="47"/>
      <c r="AJ42" s="47"/>
      <c r="AK42" s="61"/>
      <c r="AL42" s="47" t="s">
        <v>95</v>
      </c>
      <c r="AM42" s="47" t="s">
        <v>113</v>
      </c>
      <c r="AN42" s="47" t="s">
        <v>108</v>
      </c>
      <c r="AO42" s="47" t="s">
        <v>111</v>
      </c>
      <c r="AP42" s="47" t="s">
        <v>109</v>
      </c>
      <c r="AQ42" s="47" t="s">
        <v>112</v>
      </c>
      <c r="AR42" s="47" t="s">
        <v>116</v>
      </c>
      <c r="AS42" s="47" t="s">
        <v>117</v>
      </c>
      <c r="AT42" s="47" t="s">
        <v>1483</v>
      </c>
      <c r="AU42" s="47"/>
      <c r="AV42" s="47"/>
      <c r="AW42" s="61"/>
      <c r="AX42" s="47" t="s">
        <v>95</v>
      </c>
      <c r="AY42" s="47" t="s">
        <v>113</v>
      </c>
      <c r="AZ42" s="47" t="s">
        <v>108</v>
      </c>
      <c r="BA42" s="47" t="s">
        <v>111</v>
      </c>
      <c r="BB42" s="47" t="s">
        <v>109</v>
      </c>
      <c r="BC42" s="47" t="s">
        <v>112</v>
      </c>
      <c r="BD42" s="47" t="s">
        <v>116</v>
      </c>
      <c r="BE42" s="47" t="s">
        <v>117</v>
      </c>
      <c r="BF42" s="47" t="s">
        <v>1483</v>
      </c>
      <c r="BG42" s="47"/>
      <c r="BH42" s="47"/>
      <c r="BI42" s="61"/>
      <c r="BJ42" s="47" t="s">
        <v>95</v>
      </c>
      <c r="BK42" s="47" t="s">
        <v>113</v>
      </c>
      <c r="BL42" s="47" t="s">
        <v>108</v>
      </c>
      <c r="BM42" s="47" t="s">
        <v>111</v>
      </c>
      <c r="BN42" s="47" t="s">
        <v>109</v>
      </c>
      <c r="BO42" s="47" t="s">
        <v>112</v>
      </c>
      <c r="BP42" s="47" t="s">
        <v>116</v>
      </c>
      <c r="BQ42" s="47" t="s">
        <v>117</v>
      </c>
      <c r="BR42" s="47" t="s">
        <v>1483</v>
      </c>
      <c r="BS42" s="47"/>
      <c r="BT42" s="47"/>
      <c r="BU42" s="61"/>
      <c r="BV42" s="47" t="s">
        <v>95</v>
      </c>
      <c r="BW42" s="47" t="s">
        <v>113</v>
      </c>
      <c r="BX42" s="47" t="s">
        <v>108</v>
      </c>
      <c r="BY42" s="47" t="s">
        <v>111</v>
      </c>
      <c r="BZ42" s="47" t="s">
        <v>109</v>
      </c>
      <c r="CA42" s="47" t="s">
        <v>112</v>
      </c>
      <c r="CB42" s="47" t="s">
        <v>116</v>
      </c>
      <c r="CC42" s="47" t="s">
        <v>117</v>
      </c>
      <c r="CD42" s="47" t="s">
        <v>1483</v>
      </c>
      <c r="CE42" s="47"/>
      <c r="CF42" s="47"/>
      <c r="CG42" s="61"/>
      <c r="CH42" s="47" t="s">
        <v>95</v>
      </c>
      <c r="CI42" s="47" t="s">
        <v>113</v>
      </c>
      <c r="CJ42" s="47" t="s">
        <v>108</v>
      </c>
      <c r="CK42" s="47" t="s">
        <v>111</v>
      </c>
      <c r="CL42" s="47" t="s">
        <v>109</v>
      </c>
      <c r="CM42" s="47" t="s">
        <v>112</v>
      </c>
      <c r="CN42" s="47" t="s">
        <v>116</v>
      </c>
      <c r="CO42" s="47" t="s">
        <v>117</v>
      </c>
      <c r="CP42" s="47" t="s">
        <v>1483</v>
      </c>
      <c r="CQ42" s="61"/>
      <c r="CR42" s="47" t="s">
        <v>95</v>
      </c>
      <c r="CS42" s="47" t="s">
        <v>113</v>
      </c>
      <c r="CT42" s="47" t="s">
        <v>108</v>
      </c>
      <c r="CU42" s="47" t="s">
        <v>111</v>
      </c>
      <c r="CV42" s="47" t="s">
        <v>109</v>
      </c>
      <c r="CW42" s="47" t="s">
        <v>118</v>
      </c>
      <c r="CX42" s="47" t="s">
        <v>112</v>
      </c>
      <c r="CY42" s="47" t="s">
        <v>116</v>
      </c>
      <c r="CZ42" s="47" t="s">
        <v>117</v>
      </c>
      <c r="DA42" s="47" t="s">
        <v>1483</v>
      </c>
      <c r="DB42" s="47"/>
      <c r="DC42" s="61"/>
      <c r="DD42" s="47" t="s">
        <v>95</v>
      </c>
      <c r="DE42" s="47" t="s">
        <v>113</v>
      </c>
      <c r="DF42" s="47" t="s">
        <v>108</v>
      </c>
      <c r="DG42" s="47" t="s">
        <v>111</v>
      </c>
      <c r="DH42" s="47" t="s">
        <v>109</v>
      </c>
      <c r="DI42" s="47" t="s">
        <v>112</v>
      </c>
      <c r="DJ42" s="47" t="s">
        <v>116</v>
      </c>
      <c r="DK42" s="47" t="s">
        <v>117</v>
      </c>
      <c r="DL42" s="47" t="s">
        <v>1483</v>
      </c>
      <c r="DM42" s="47"/>
      <c r="DN42" s="47"/>
      <c r="DO42" s="47"/>
      <c r="DP42" s="61"/>
      <c r="DQ42" s="47" t="s">
        <v>95</v>
      </c>
      <c r="DR42" s="47" t="s">
        <v>113</v>
      </c>
      <c r="DS42" s="47" t="s">
        <v>108</v>
      </c>
      <c r="DT42" s="47" t="s">
        <v>111</v>
      </c>
      <c r="DU42" s="47" t="s">
        <v>109</v>
      </c>
      <c r="DV42" s="47"/>
      <c r="DW42" s="47" t="s">
        <v>112</v>
      </c>
      <c r="DX42" s="47" t="s">
        <v>116</v>
      </c>
      <c r="DY42" s="47" t="s">
        <v>117</v>
      </c>
      <c r="DZ42" s="47" t="s">
        <v>1483</v>
      </c>
      <c r="ES42" s="561" t="str">
        <f>VLOOKUP(716,Sprachindex!$A:$Z,Info!$O$7,FALSE)</f>
        <v>Rinnenhakennagel (5,0 × 80)</v>
      </c>
      <c r="ET42" s="562"/>
      <c r="EU42" s="562"/>
      <c r="EV42" s="562"/>
      <c r="EW42" s="562"/>
      <c r="EX42" s="381">
        <v>7.8</v>
      </c>
      <c r="EY42" s="326"/>
      <c r="EZ42" s="344"/>
      <c r="FA42" s="343"/>
      <c r="FB42" s="326"/>
      <c r="FC42" s="344"/>
      <c r="FD42" s="343"/>
      <c r="FE42" s="326"/>
      <c r="FF42" s="344"/>
      <c r="FG42" s="343"/>
      <c r="FH42" s="326"/>
      <c r="FI42" s="344"/>
      <c r="FJ42" s="343"/>
      <c r="FK42" s="326"/>
      <c r="FL42" s="344"/>
      <c r="FM42" s="343"/>
      <c r="FN42" s="326"/>
      <c r="FO42" s="344"/>
      <c r="FP42" s="343"/>
      <c r="FQ42" s="326"/>
      <c r="FR42" s="344"/>
      <c r="FS42" s="343"/>
      <c r="FT42" s="326"/>
      <c r="FU42" s="344"/>
      <c r="FV42" s="343"/>
      <c r="FW42" s="326"/>
      <c r="FX42" s="344"/>
      <c r="FY42" s="343"/>
      <c r="FZ42" s="326"/>
      <c r="GA42" s="344"/>
      <c r="GB42" s="343"/>
      <c r="GC42" s="326"/>
      <c r="GD42" s="344"/>
      <c r="GE42" s="343"/>
      <c r="GF42" s="326"/>
      <c r="GG42" s="344"/>
      <c r="GH42" s="343"/>
      <c r="GI42" s="326"/>
      <c r="GJ42" s="344"/>
      <c r="GK42" s="343"/>
      <c r="GL42" s="326"/>
      <c r="GM42" s="344"/>
      <c r="GN42" s="343"/>
      <c r="GO42" s="326"/>
      <c r="GP42" s="353"/>
      <c r="GV42" s="334">
        <f>EX42</f>
        <v>7.8</v>
      </c>
    </row>
    <row r="43" spans="1:205" ht="32.1" customHeight="1">
      <c r="A43" s="109"/>
      <c r="B43" s="79" t="str">
        <f>VLOOKUP(878,Sprachindex!$A:$Z,Info!$O$7,FALSE)</f>
        <v>Stk.</v>
      </c>
      <c r="C43" s="78"/>
      <c r="D43" s="78">
        <f>IF($O$24=1,AJ43,IF($O$24=2,AV43,IF($O$24=3,BH43,IF($O$24=4,BT43,0))))</f>
        <v>0</v>
      </c>
      <c r="E43" s="561" t="str">
        <f>VLOOKUP(710,Sprachindex!$A:$Z,Info!$O$7,FALSE)</f>
        <v>Rinnenendboden</v>
      </c>
      <c r="F43" s="562"/>
      <c r="G43" s="562"/>
      <c r="H43" s="562"/>
      <c r="I43" s="562"/>
      <c r="J43" s="627" t="str">
        <f>IF(O24=5,Formeln!A177,Formeln!A183)</f>
        <v/>
      </c>
      <c r="K43" s="628"/>
      <c r="L43" s="79" t="str">
        <f t="shared" si="0"/>
        <v xml:space="preserve"> </v>
      </c>
      <c r="M43" s="440" t="str">
        <f t="shared" si="2"/>
        <v>Stk.</v>
      </c>
      <c r="N43" s="80"/>
      <c r="O43" s="202" t="str">
        <f>IF(ISNUMBER(L43),L43*GV43," ")</f>
        <v xml:space="preserve"> </v>
      </c>
      <c r="R43" s="195"/>
      <c r="S43" s="195"/>
      <c r="T43" s="195"/>
      <c r="U43" s="1"/>
      <c r="V43" s="149">
        <f t="shared" ref="V43:W49" si="3">ROUNDUP($A43/X43,0)*X43</f>
        <v>0</v>
      </c>
      <c r="W43" s="149">
        <f t="shared" si="3"/>
        <v>0</v>
      </c>
      <c r="X43" s="149">
        <f>IF($O$24="","",IF($O$24=5,"",50))</f>
        <v>50</v>
      </c>
      <c r="Y43" s="149">
        <v>1</v>
      </c>
      <c r="Z43" s="58">
        <v>517022</v>
      </c>
      <c r="AA43" s="58">
        <v>517025</v>
      </c>
      <c r="AB43" s="58">
        <v>517015</v>
      </c>
      <c r="AC43" s="58">
        <v>517026</v>
      </c>
      <c r="AD43" s="58">
        <v>517020</v>
      </c>
      <c r="AE43" s="58">
        <v>517027</v>
      </c>
      <c r="AF43" s="58">
        <v>517024</v>
      </c>
      <c r="AG43" s="58">
        <v>517037</v>
      </c>
      <c r="AH43" s="58">
        <v>517043</v>
      </c>
      <c r="AI43" s="58"/>
      <c r="AJ43" s="61">
        <f t="shared" ref="AJ43:AJ49" si="4">IF($O$21=1,AB43,IF($O$21=2,AD43,IF($O$21=3,AC43,IF($O$21=4,AE43,IF($O$21=5,AF43,IF($O$21=6,AA43,IF($O$21=7,AG43,IF($O$21=8,AH43,IF($O$21=9,Z43,0)))))))))</f>
        <v>0</v>
      </c>
      <c r="AK43" s="61" t="s">
        <v>619</v>
      </c>
      <c r="AL43">
        <v>517001</v>
      </c>
      <c r="AM43">
        <v>517004</v>
      </c>
      <c r="AN43">
        <v>517003</v>
      </c>
      <c r="AO43">
        <v>517017</v>
      </c>
      <c r="AP43">
        <v>517005</v>
      </c>
      <c r="AQ43">
        <v>517028</v>
      </c>
      <c r="AR43">
        <v>517018</v>
      </c>
      <c r="AS43">
        <v>517038</v>
      </c>
      <c r="AT43">
        <v>517044</v>
      </c>
      <c r="AU43"/>
      <c r="AV43" s="61">
        <f>IF($O$21=1,AN43,IF($O$21=2,AP43,IF($O$21=3,AO43,IF($O$21=4,AQ43,IF($O$21=5,AR43,IF($O$21=6,AM43,IF($O$21=7,AS43,IF($O$21=8,AT43,IF($O$21=9,AL43,0)))))))))</f>
        <v>0</v>
      </c>
      <c r="AW43" s="61" t="s">
        <v>626</v>
      </c>
      <c r="AX43">
        <v>517006</v>
      </c>
      <c r="AY43">
        <v>517007</v>
      </c>
      <c r="AZ43">
        <v>517002</v>
      </c>
      <c r="BA43">
        <v>517014</v>
      </c>
      <c r="BB43">
        <v>517008</v>
      </c>
      <c r="BC43">
        <v>517029</v>
      </c>
      <c r="BD43">
        <v>517019</v>
      </c>
      <c r="BE43">
        <v>517030</v>
      </c>
      <c r="BF43">
        <v>517039</v>
      </c>
      <c r="BG43">
        <v>517031</v>
      </c>
      <c r="BH43" s="61">
        <f>IF($O$21=1,AZ43,IF($O$21=2,BB43,IF($O$21=3,BA43,IF($O$21=4,BC43,IF($O$21=5,BD43,IF($O$21=6,AY43,IF($O$21=7,BE43,IF($O$21=8,BF43,IF($O$21=9,AX43,IF($O$21=10,BG43,0))))))))))</f>
        <v>0</v>
      </c>
      <c r="BI43" s="61" t="s">
        <v>634</v>
      </c>
      <c r="BJ43">
        <v>517009</v>
      </c>
      <c r="BK43">
        <v>517010</v>
      </c>
      <c r="BL43">
        <v>517011</v>
      </c>
      <c r="BM43" s="59"/>
      <c r="BN43">
        <v>517012</v>
      </c>
      <c r="BO43" s="59"/>
      <c r="BP43">
        <v>517050</v>
      </c>
      <c r="BQ43" s="59"/>
      <c r="BR43">
        <v>517053</v>
      </c>
      <c r="BS43"/>
      <c r="BT43" s="61">
        <f>IF($O$21=1,BL43,IF($O$21=2,BN43,IF($O$21=3,BM43,IF($O$21=4,BO43,IF($O$21=5,BP43,IF($O$21=6,BK43,IF($O$21=7,BQ43,IF($O$21=8,BR43,IF($O$21=9,BJ43,0)))))))))</f>
        <v>0</v>
      </c>
      <c r="BU43" s="61" t="s">
        <v>642</v>
      </c>
      <c r="ES43" s="561" t="str">
        <f>VLOOKUP(710,Sprachindex!$A:$Z,Info!$O$7,FALSE)</f>
        <v>Rinnenendboden</v>
      </c>
      <c r="ET43" s="562"/>
      <c r="EU43" s="562"/>
      <c r="EV43" s="562"/>
      <c r="EW43" s="562"/>
      <c r="EX43" s="359">
        <v>2.5099999999999998</v>
      </c>
      <c r="EY43" s="360">
        <v>2.64</v>
      </c>
      <c r="EZ43" s="361">
        <v>2.4</v>
      </c>
      <c r="FA43" s="365">
        <v>2.67</v>
      </c>
      <c r="FB43" s="366">
        <v>2.77</v>
      </c>
      <c r="FC43" s="367">
        <v>2.52</v>
      </c>
      <c r="FD43" s="371">
        <v>2.85</v>
      </c>
      <c r="FE43" s="372">
        <v>2.91</v>
      </c>
      <c r="FF43" s="373">
        <v>2.67</v>
      </c>
      <c r="FG43" s="377">
        <v>3.98</v>
      </c>
      <c r="FH43" s="378">
        <v>4.07</v>
      </c>
      <c r="FI43" s="379">
        <v>3.85</v>
      </c>
      <c r="FJ43" s="343"/>
      <c r="FK43" s="326"/>
      <c r="FL43" s="344"/>
      <c r="FM43" s="343"/>
      <c r="FN43" s="326"/>
      <c r="FO43" s="344"/>
      <c r="FP43" s="343"/>
      <c r="FQ43" s="326"/>
      <c r="FR43" s="344"/>
      <c r="FS43" s="343"/>
      <c r="FT43" s="326"/>
      <c r="FU43" s="344"/>
      <c r="FV43" s="343"/>
      <c r="FW43" s="326"/>
      <c r="FX43" s="344"/>
      <c r="FY43" s="343"/>
      <c r="FZ43" s="326"/>
      <c r="GA43" s="344"/>
      <c r="GB43" s="343"/>
      <c r="GC43" s="326"/>
      <c r="GD43" s="344"/>
      <c r="GE43" s="343"/>
      <c r="GF43" s="326"/>
      <c r="GG43" s="344"/>
      <c r="GH43" s="343"/>
      <c r="GI43" s="326"/>
      <c r="GJ43" s="344"/>
      <c r="GK43" s="343"/>
      <c r="GL43" s="326"/>
      <c r="GM43" s="344"/>
      <c r="GN43" s="343"/>
      <c r="GO43" s="326"/>
      <c r="GP43" s="353"/>
      <c r="GQ43" s="333" t="str">
        <f>IF(OR($O$21=1,$O$21=2,$O$21=6),EX43,IF(OR($O$21=3,$O$21=4,$O$21=5,$O$21=7,$O$21=8),EY43,IF($O$21=9,EZ43," ")))</f>
        <v xml:space="preserve"> </v>
      </c>
      <c r="GR43" s="332" t="str">
        <f>IF(OR($O$21=1,$O$21=2,$O$21=6),FA43,IF(OR($O$21=3,$O$21=4,$O$21=5,$O$21=7,$O$21=8),FB43,IF($O$21=9,FC43," ")))</f>
        <v xml:space="preserve"> </v>
      </c>
      <c r="GS43" s="331" t="str">
        <f>IF(OR($O$21=1,$O$21=2,$O$21=6),FD43,IF(OR($O$21=3,$O$21=4,$O$21=5,$O$21=7,$O$21=8),FE43,IF($O$21=9,FF43," ")))</f>
        <v xml:space="preserve"> </v>
      </c>
      <c r="GT43" s="330" t="str">
        <f>IF(OR($O$21=1,$O$21=2,$O$21=6),FG43,IF(OR($O$21=5,$O$21=8),FH43,IF($O$21=9,FI43," ")))</f>
        <v xml:space="preserve"> </v>
      </c>
      <c r="GV43" s="342" t="str">
        <f>IF($O$24=1,GQ43,IF($O$24=2,GR43,IF($O$24=3,GS43,IF($O$24=4,GT43," "))))</f>
        <v xml:space="preserve"> </v>
      </c>
    </row>
    <row r="44" spans="1:205" ht="32.1" customHeight="1">
      <c r="A44" s="109"/>
      <c r="B44" s="79" t="str">
        <f>VLOOKUP(878,Sprachindex!$A:$Z,Info!$O$7,FALSE)</f>
        <v>Stk.</v>
      </c>
      <c r="C44" s="78"/>
      <c r="D44" s="78" t="str">
        <f>IF($O$24=3,AJ44,"")</f>
        <v/>
      </c>
      <c r="E44" s="561" t="str">
        <f>VLOOKUP(546,Sprachindex!$A:$Z,Info!$O$7,FALSE)</f>
        <v>Kugelendboden</v>
      </c>
      <c r="F44" s="562"/>
      <c r="G44" s="562"/>
      <c r="H44" s="562"/>
      <c r="I44" s="562"/>
      <c r="J44" s="627" t="str">
        <f>IF(O24=0,"",IF(O24=3,G27,Formeln!A177))</f>
        <v/>
      </c>
      <c r="K44" s="628"/>
      <c r="L44" s="79" t="str">
        <f t="shared" si="0"/>
        <v xml:space="preserve"> </v>
      </c>
      <c r="M44" s="440" t="str">
        <f t="shared" si="2"/>
        <v>Stk.</v>
      </c>
      <c r="N44" s="80"/>
      <c r="O44" s="202" t="str">
        <f>IF(ISNUMBER(L44),L44*GV44," ")</f>
        <v xml:space="preserve"> </v>
      </c>
      <c r="R44" s="195"/>
      <c r="S44" s="195"/>
      <c r="T44" s="195"/>
      <c r="U44" s="1"/>
      <c r="V44" s="149" t="e">
        <f t="shared" si="3"/>
        <v>#VALUE!</v>
      </c>
      <c r="W44" s="149">
        <f t="shared" si="3"/>
        <v>0</v>
      </c>
      <c r="X44" s="149" t="str">
        <f>IF($O$24=3,4,"")</f>
        <v/>
      </c>
      <c r="Y44" s="149">
        <v>1</v>
      </c>
      <c r="Z44" s="58">
        <v>617004</v>
      </c>
      <c r="AA44" s="58">
        <v>617006</v>
      </c>
      <c r="AB44" s="58">
        <v>617007</v>
      </c>
      <c r="AC44" s="59"/>
      <c r="AD44" s="58">
        <v>617005</v>
      </c>
      <c r="AE44" s="59"/>
      <c r="AF44" s="59"/>
      <c r="AG44" s="59"/>
      <c r="AH44" s="59"/>
      <c r="AI44" s="59"/>
      <c r="AJ44" s="61">
        <f t="shared" si="4"/>
        <v>0</v>
      </c>
      <c r="AK44" s="61" t="s">
        <v>634</v>
      </c>
      <c r="BR44"/>
      <c r="BS44"/>
      <c r="ES44" s="561" t="str">
        <f>VLOOKUP(546,Sprachindex!$A:$Z,Info!$O$7,FALSE)</f>
        <v>Kugelendboden</v>
      </c>
      <c r="ET44" s="562"/>
      <c r="EU44" s="562"/>
      <c r="EV44" s="562"/>
      <c r="EW44" s="562"/>
      <c r="EX44" s="382">
        <v>17.02</v>
      </c>
      <c r="EY44" s="326"/>
      <c r="EZ44" s="344"/>
      <c r="FA44" s="343"/>
      <c r="FB44" s="326"/>
      <c r="FC44" s="344"/>
      <c r="FD44" s="343"/>
      <c r="FE44" s="326"/>
      <c r="FF44" s="344"/>
      <c r="FG44" s="343"/>
      <c r="FH44" s="326"/>
      <c r="FI44" s="344"/>
      <c r="FJ44" s="343"/>
      <c r="FK44" s="326"/>
      <c r="FL44" s="344"/>
      <c r="FM44" s="343"/>
      <c r="FN44" s="326"/>
      <c r="FO44" s="344"/>
      <c r="FP44" s="343"/>
      <c r="FQ44" s="326"/>
      <c r="FR44" s="344"/>
      <c r="FT44" s="326"/>
      <c r="FV44" s="343"/>
      <c r="FW44" s="326"/>
      <c r="FX44" s="344"/>
      <c r="FY44" s="343"/>
      <c r="FZ44" s="326"/>
      <c r="GA44" s="344"/>
      <c r="GB44" s="343"/>
      <c r="GC44" s="326"/>
      <c r="GD44" s="344"/>
      <c r="GE44" s="343"/>
      <c r="GF44" s="326"/>
      <c r="GG44" s="344"/>
      <c r="GH44" s="343"/>
      <c r="GI44" s="326"/>
      <c r="GJ44" s="344"/>
      <c r="GK44" s="343"/>
      <c r="GL44" s="326"/>
      <c r="GM44" s="344"/>
      <c r="GN44" s="343"/>
      <c r="GO44" s="326"/>
      <c r="GP44" s="353"/>
      <c r="GV44" s="334" t="str">
        <f>IF(O24=3,EX44," ")</f>
        <v xml:space="preserve"> </v>
      </c>
    </row>
    <row r="45" spans="1:205" ht="32.1" customHeight="1">
      <c r="A45" s="109"/>
      <c r="B45" s="79" t="str">
        <f>VLOOKUP(878,Sprachindex!$A:$Z,Info!$O$7,FALSE)</f>
        <v>Stk.</v>
      </c>
      <c r="C45" s="78"/>
      <c r="D45" s="78">
        <f>IF($O$24=1,AJ45,IF($O$24=2,AV45,IF($O$24=3,BH45,IF($O$24=4,BT45,0))))</f>
        <v>0</v>
      </c>
      <c r="E45" s="561" t="str">
        <f>VLOOKUP(1426,Sprachindex!$A:$Z,Info!$O$7,FALSE)</f>
        <v>Klebeendboden</v>
      </c>
      <c r="F45" s="562"/>
      <c r="G45" s="562"/>
      <c r="H45" s="562"/>
      <c r="I45" s="562"/>
      <c r="J45" s="627" t="str">
        <f>IF(O24=0,"",IF(O24=3,G27,Formeln!A177))</f>
        <v/>
      </c>
      <c r="K45" s="628"/>
      <c r="L45" s="79" t="str">
        <f t="shared" si="0"/>
        <v xml:space="preserve"> </v>
      </c>
      <c r="M45" s="440" t="str">
        <f t="shared" si="2"/>
        <v>Stk.</v>
      </c>
      <c r="N45" s="80"/>
      <c r="O45" s="202" t="str">
        <f>IF(ISNUMBER(L45),L45*GV45," ")</f>
        <v xml:space="preserve"> </v>
      </c>
      <c r="R45" s="195"/>
      <c r="S45" s="195"/>
      <c r="T45" s="195"/>
      <c r="U45" s="1"/>
      <c r="V45" s="149" t="e">
        <f t="shared" si="3"/>
        <v>#VALUE!</v>
      </c>
      <c r="W45" s="149">
        <f t="shared" si="3"/>
        <v>0</v>
      </c>
      <c r="X45" s="149" t="str">
        <f>IF($O$24=3,2,"")</f>
        <v/>
      </c>
      <c r="Y45" s="149">
        <v>1</v>
      </c>
      <c r="Z45" s="58">
        <v>517500</v>
      </c>
      <c r="AA45" s="58"/>
      <c r="AB45" s="58"/>
      <c r="AC45" s="528"/>
      <c r="AD45" s="58"/>
      <c r="AE45" s="528"/>
      <c r="AF45" s="528"/>
      <c r="AG45" s="528"/>
      <c r="AH45" s="528"/>
      <c r="AI45" s="528"/>
      <c r="AJ45" s="61">
        <f t="shared" si="4"/>
        <v>0</v>
      </c>
      <c r="AK45" s="61"/>
      <c r="BR45"/>
      <c r="BS45"/>
      <c r="ES45" s="561" t="str">
        <f>VLOOKUP(1426,Sprachindex!$A:$Z,Info!$O$7,FALSE)</f>
        <v>Klebeendboden</v>
      </c>
      <c r="ET45" s="562"/>
      <c r="EU45" s="562"/>
      <c r="EV45" s="562"/>
      <c r="EW45" s="562"/>
      <c r="EX45" s="352"/>
      <c r="EY45" s="326"/>
      <c r="EZ45" s="344"/>
      <c r="FA45" s="343"/>
      <c r="FB45" s="326"/>
      <c r="FC45" s="344"/>
      <c r="FD45" s="343"/>
      <c r="FE45" s="326"/>
      <c r="FF45" s="344"/>
      <c r="FG45" s="343"/>
      <c r="FH45" s="326"/>
      <c r="FI45" s="344"/>
      <c r="FJ45" s="343"/>
      <c r="FK45" s="326"/>
      <c r="FL45" s="344"/>
      <c r="FM45" s="343"/>
      <c r="FN45" s="326"/>
      <c r="FO45" s="344"/>
      <c r="FP45" s="343"/>
      <c r="FQ45" s="326"/>
      <c r="FR45" s="344"/>
      <c r="FS45" s="371">
        <v>25.41</v>
      </c>
      <c r="FT45" s="326"/>
      <c r="FU45" s="373">
        <v>23.95</v>
      </c>
      <c r="FV45" s="343"/>
      <c r="FW45" s="326"/>
      <c r="FX45" s="344"/>
      <c r="FY45" s="343"/>
      <c r="FZ45" s="326"/>
      <c r="GA45" s="344"/>
      <c r="GB45" s="343"/>
      <c r="GC45" s="326"/>
      <c r="GD45" s="344"/>
      <c r="GE45" s="343"/>
      <c r="GF45" s="326"/>
      <c r="GG45" s="344"/>
      <c r="GH45" s="343"/>
      <c r="GI45" s="326"/>
      <c r="GJ45" s="344"/>
      <c r="GK45" s="343"/>
      <c r="GL45" s="326"/>
      <c r="GM45" s="344"/>
      <c r="GN45" s="343"/>
      <c r="GO45" s="326"/>
      <c r="GP45" s="353"/>
      <c r="GS45" s="331" t="str">
        <f>IF(OR($O$21=1,$O$21=2,$O$21=6),FS45,IF($O$21=9,FU45," "))</f>
        <v xml:space="preserve"> </v>
      </c>
      <c r="GV45" s="334" t="str">
        <f>GS45</f>
        <v xml:space="preserve"> </v>
      </c>
    </row>
    <row r="46" spans="1:205" ht="32.1" customHeight="1">
      <c r="A46" s="109"/>
      <c r="B46" s="79" t="str">
        <f>VLOOKUP(878,Sprachindex!$A:$Z,Info!$O$7,FALSE)</f>
        <v>Stk.</v>
      </c>
      <c r="C46" s="78"/>
      <c r="D46" s="78">
        <f>IF($O$24=1,AJ46,IF($O$24=2,AV46,IF($O$24=3,BH46,IF($O$24=4,BT46,0))))</f>
        <v>0</v>
      </c>
      <c r="E46" s="561" t="str">
        <f>VLOOKUP(721,Sprachindex!$A:$Z,Info!$O$7,FALSE)</f>
        <v>Rinnenwinkel 90° (außen)</v>
      </c>
      <c r="F46" s="562"/>
      <c r="G46" s="562"/>
      <c r="H46" s="562"/>
      <c r="I46" s="562"/>
      <c r="J46" s="627" t="str">
        <f>Formeln!A183</f>
        <v/>
      </c>
      <c r="K46" s="628"/>
      <c r="L46" s="79" t="str">
        <f t="shared" si="0"/>
        <v xml:space="preserve"> </v>
      </c>
      <c r="M46" s="440" t="str">
        <f t="shared" si="2"/>
        <v>Stk.</v>
      </c>
      <c r="N46" s="80"/>
      <c r="O46" s="202" t="str">
        <f>IF(ISNUMBER(L46),L46*GV46," ")</f>
        <v xml:space="preserve"> </v>
      </c>
      <c r="R46" s="195"/>
      <c r="S46" s="195"/>
      <c r="T46" s="195"/>
      <c r="U46" s="1"/>
      <c r="V46" s="149" t="e">
        <f t="shared" si="3"/>
        <v>#VALUE!</v>
      </c>
      <c r="W46" s="149">
        <f t="shared" si="3"/>
        <v>0</v>
      </c>
      <c r="X46" s="149" t="str">
        <f>IF($O$24=1,4,IF($O$24=2,4,IF($O$24=3,4,IF($O$24=4,2,""))))</f>
        <v/>
      </c>
      <c r="Y46" s="149">
        <v>1</v>
      </c>
      <c r="Z46" s="58">
        <v>518033</v>
      </c>
      <c r="AA46" s="58">
        <v>518070</v>
      </c>
      <c r="AB46" s="58">
        <v>518035</v>
      </c>
      <c r="AC46" s="58">
        <v>518072</v>
      </c>
      <c r="AD46" s="58">
        <v>518047</v>
      </c>
      <c r="AE46" s="58">
        <v>518064</v>
      </c>
      <c r="AF46" s="58">
        <v>518071</v>
      </c>
      <c r="AG46" s="58">
        <v>518067</v>
      </c>
      <c r="AH46" s="58">
        <v>518088</v>
      </c>
      <c r="AI46" s="58"/>
      <c r="AJ46" s="61">
        <f t="shared" si="4"/>
        <v>0</v>
      </c>
      <c r="AK46" s="61" t="s">
        <v>619</v>
      </c>
      <c r="AL46">
        <v>518010</v>
      </c>
      <c r="AM46">
        <v>518011</v>
      </c>
      <c r="AN46">
        <v>518012</v>
      </c>
      <c r="AO46">
        <v>518039</v>
      </c>
      <c r="AP46">
        <v>518025</v>
      </c>
      <c r="AQ46">
        <v>518059</v>
      </c>
      <c r="AR46">
        <v>518041</v>
      </c>
      <c r="AS46">
        <v>518065</v>
      </c>
      <c r="AT46">
        <v>518090</v>
      </c>
      <c r="AU46"/>
      <c r="AV46" s="61">
        <f>IF($O$21=1,AN46,IF($O$21=2,AP46,IF($O$21=3,AO46,IF($O$21=4,AQ46,IF($O$21=5,AR46,IF($O$21=6,AM46,IF($O$21=7,AS46,IF($O$21=8,AT46,IF($O$21=9,AL46,0)))))))))</f>
        <v>0</v>
      </c>
      <c r="AW46" s="61" t="s">
        <v>626</v>
      </c>
      <c r="AX46">
        <v>518013</v>
      </c>
      <c r="AY46">
        <v>518014</v>
      </c>
      <c r="AZ46">
        <v>518015</v>
      </c>
      <c r="BA46">
        <v>518031</v>
      </c>
      <c r="BB46">
        <v>518016</v>
      </c>
      <c r="BC46">
        <v>518045</v>
      </c>
      <c r="BD46">
        <v>518043</v>
      </c>
      <c r="BE46">
        <v>518050</v>
      </c>
      <c r="BF46">
        <v>518079</v>
      </c>
      <c r="BG46">
        <v>518029</v>
      </c>
      <c r="BH46" s="61">
        <f>IF($O$21=1,AZ46,IF($O$21=2,BB46,IF($O$21=3,BA46,IF($O$21=4,BC46,IF($O$21=5,BD46,IF($O$21=6,AY46,IF($O$21=7,BE46,IF($O$21=8,BF46,IF($O$21=9,AX46,IF($O$21=10,BG46,0))))))))))</f>
        <v>0</v>
      </c>
      <c r="BI46" s="61" t="s">
        <v>634</v>
      </c>
      <c r="BJ46" s="58">
        <v>518017</v>
      </c>
      <c r="BK46" s="58">
        <v>518018</v>
      </c>
      <c r="BL46" s="58">
        <v>518022</v>
      </c>
      <c r="BM46" s="59"/>
      <c r="BN46" s="58">
        <v>518027</v>
      </c>
      <c r="BO46" s="59"/>
      <c r="BP46" s="58">
        <v>518200</v>
      </c>
      <c r="BQ46" s="59"/>
      <c r="BR46" s="58">
        <v>518203</v>
      </c>
      <c r="BS46" s="58"/>
      <c r="BT46" s="61">
        <f>IF($O$21=1,BL46,IF($O$21=2,BN46,IF($O$21=3,BM46,IF($O$21=4,BO46,IF($O$21=5,BP46,IF($O$21=6,BK46,IF($O$21=7,BQ46,IF($O$21=8,BR46,IF($O$21=9,BJ46,0)))))))))</f>
        <v>0</v>
      </c>
      <c r="BU46" s="61" t="s">
        <v>642</v>
      </c>
      <c r="ES46" s="561" t="str">
        <f>VLOOKUP(721,Sprachindex!$A:$Z,Info!$O$7,FALSE)</f>
        <v>Rinnenwinkel 90° (außen)</v>
      </c>
      <c r="ET46" s="562"/>
      <c r="EU46" s="562"/>
      <c r="EV46" s="562"/>
      <c r="EW46" s="562"/>
      <c r="EX46" s="352"/>
      <c r="EY46" s="326"/>
      <c r="EZ46" s="344"/>
      <c r="FA46" s="380">
        <v>33.39</v>
      </c>
      <c r="FB46" s="326"/>
      <c r="FC46" s="361">
        <v>27.1</v>
      </c>
      <c r="FD46" s="343"/>
      <c r="FE46" s="326"/>
      <c r="FF46" s="344"/>
      <c r="FG46" s="343"/>
      <c r="FH46" s="326"/>
      <c r="FI46" s="344"/>
      <c r="FJ46" s="365">
        <v>33.799999999999997</v>
      </c>
      <c r="FK46" s="326"/>
      <c r="FL46" s="367">
        <v>26.88</v>
      </c>
      <c r="FM46" s="343"/>
      <c r="FN46" s="326"/>
      <c r="FO46" s="344"/>
      <c r="FP46" s="343"/>
      <c r="FQ46" s="326"/>
      <c r="FR46" s="344"/>
      <c r="FS46" s="371">
        <v>34.25</v>
      </c>
      <c r="FT46" s="326"/>
      <c r="FU46" s="373">
        <v>27.97</v>
      </c>
      <c r="FV46" s="343"/>
      <c r="FW46" s="326"/>
      <c r="FX46" s="344"/>
      <c r="FY46" s="343"/>
      <c r="FZ46" s="326"/>
      <c r="GA46" s="344"/>
      <c r="GB46" s="377">
        <v>51.87</v>
      </c>
      <c r="GC46" s="326"/>
      <c r="GD46" s="379">
        <v>44.48</v>
      </c>
      <c r="GE46" s="343"/>
      <c r="GF46" s="326"/>
      <c r="GG46" s="344"/>
      <c r="GH46" s="343"/>
      <c r="GI46" s="326"/>
      <c r="GJ46" s="344"/>
      <c r="GK46" s="343"/>
      <c r="GL46" s="326"/>
      <c r="GM46" s="344"/>
      <c r="GN46" s="343"/>
      <c r="GO46" s="326"/>
      <c r="GP46" s="353"/>
      <c r="GQ46" s="333">
        <f>IF($O$21=9,FC46,FA46)</f>
        <v>33.39</v>
      </c>
      <c r="GR46" s="332">
        <f>IF($O$21=9,FL46,FJ46)</f>
        <v>33.799999999999997</v>
      </c>
      <c r="GS46" s="331">
        <f>IF($O$21=9,FU46,FS46)</f>
        <v>34.25</v>
      </c>
      <c r="GT46" s="330" t="str">
        <f>IF($O$21=9,GD46,IF(OR($O$21=1,$O$21=2,$O$21=6,$O$21=5,$O$21=8),GB46," "))</f>
        <v xml:space="preserve"> </v>
      </c>
      <c r="GV46" s="342" t="str">
        <f>IF($O$24=1,GQ46,IF($O$24=2,GR46,IF($O$24=3,GS46,IF($O$24=4,GT46," "))))</f>
        <v xml:space="preserve"> </v>
      </c>
    </row>
    <row r="47" spans="1:205" ht="32.1" customHeight="1">
      <c r="A47" s="109"/>
      <c r="B47" s="79" t="str">
        <f>VLOOKUP(878,Sprachindex!$A:$Z,Info!$O$7,FALSE)</f>
        <v>Stk.</v>
      </c>
      <c r="C47" s="78"/>
      <c r="D47" s="78">
        <f>IF($O$24=1,AJ47,IF($O$24=2,AV47,IF($O$24=3,BH47,IF($O$24=4,BT47,0))))</f>
        <v>0</v>
      </c>
      <c r="E47" s="561" t="str">
        <f>VLOOKUP(722,Sprachindex!$A:$Z,Info!$O$7,FALSE)</f>
        <v>Rinnenwinkel 90° (innen)</v>
      </c>
      <c r="F47" s="562"/>
      <c r="G47" s="562"/>
      <c r="H47" s="562"/>
      <c r="I47" s="562"/>
      <c r="J47" s="627" t="str">
        <f>Formeln!A183</f>
        <v/>
      </c>
      <c r="K47" s="628"/>
      <c r="L47" s="79" t="str">
        <f t="shared" si="0"/>
        <v xml:space="preserve"> </v>
      </c>
      <c r="M47" s="440" t="str">
        <f t="shared" si="2"/>
        <v>Stk.</v>
      </c>
      <c r="N47" s="80"/>
      <c r="O47" s="202" t="str">
        <f>IF(ISNUMBER(L47),L47*GW47," ")</f>
        <v xml:space="preserve"> </v>
      </c>
      <c r="R47" s="195"/>
      <c r="S47" s="195"/>
      <c r="T47" s="195"/>
      <c r="U47" s="1"/>
      <c r="V47" s="149" t="e">
        <f t="shared" si="3"/>
        <v>#VALUE!</v>
      </c>
      <c r="W47" s="149">
        <f t="shared" si="3"/>
        <v>0</v>
      </c>
      <c r="X47" s="149" t="str">
        <f>IF($O$24=1,4,IF($O$24=2,4,IF($O$24=3,4,IF($O$24=4,2,""))))</f>
        <v/>
      </c>
      <c r="Y47" s="149">
        <v>1</v>
      </c>
      <c r="Z47" s="58">
        <v>518032</v>
      </c>
      <c r="AA47" s="58">
        <v>518060</v>
      </c>
      <c r="AB47" s="58">
        <v>518034</v>
      </c>
      <c r="AC47" s="58">
        <v>518062</v>
      </c>
      <c r="AD47" s="58">
        <v>518046</v>
      </c>
      <c r="AE47" s="58">
        <v>518063</v>
      </c>
      <c r="AF47" s="58">
        <v>518061</v>
      </c>
      <c r="AG47" s="58">
        <v>518068</v>
      </c>
      <c r="AH47" s="58">
        <v>518087</v>
      </c>
      <c r="AI47" s="58"/>
      <c r="AJ47" s="61">
        <f t="shared" si="4"/>
        <v>0</v>
      </c>
      <c r="AK47" s="61" t="s">
        <v>619</v>
      </c>
      <c r="AL47">
        <v>518007</v>
      </c>
      <c r="AM47">
        <v>518006</v>
      </c>
      <c r="AN47">
        <v>518002</v>
      </c>
      <c r="AO47">
        <v>518038</v>
      </c>
      <c r="AP47">
        <v>518024</v>
      </c>
      <c r="AQ47">
        <v>518058</v>
      </c>
      <c r="AR47">
        <v>518040</v>
      </c>
      <c r="AS47">
        <v>518066</v>
      </c>
      <c r="AT47">
        <v>518089</v>
      </c>
      <c r="AU47"/>
      <c r="AV47" s="61">
        <f>IF($O$21=1,AN47,IF($O$21=2,AP47,IF($O$21=3,AO47,IF($O$21=4,AQ47,IF($O$21=5,AR47,IF($O$21=6,AM47,IF($O$21=7,AS47,IF($O$21=8,AT47,IF($O$21=9,AL47,0)))))))))</f>
        <v>0</v>
      </c>
      <c r="AW47" s="61" t="s">
        <v>626</v>
      </c>
      <c r="AX47">
        <v>518004</v>
      </c>
      <c r="AY47">
        <v>518005</v>
      </c>
      <c r="AZ47">
        <v>518001</v>
      </c>
      <c r="BA47">
        <v>518030</v>
      </c>
      <c r="BB47">
        <v>518009</v>
      </c>
      <c r="BC47">
        <v>518044</v>
      </c>
      <c r="BD47">
        <v>518042</v>
      </c>
      <c r="BE47">
        <v>518051</v>
      </c>
      <c r="BF47">
        <v>518080</v>
      </c>
      <c r="BG47">
        <v>518028</v>
      </c>
      <c r="BH47" s="61">
        <f>IF($O$21=1,AZ47,IF($O$21=2,BB47,IF($O$21=3,BA47,IF($O$21=4,BC47,IF($O$21=5,BD47,IF($O$21=6,AY47,IF($O$21=7,BE47,IF($O$21=8,BF47,IF($O$21=9,AX47,IF($O$21=10,BG47,0))))))))))</f>
        <v>0</v>
      </c>
      <c r="BI47" s="61" t="s">
        <v>634</v>
      </c>
      <c r="BJ47" s="58">
        <v>518003</v>
      </c>
      <c r="BK47" s="58">
        <v>518008</v>
      </c>
      <c r="BL47" s="58">
        <v>518023</v>
      </c>
      <c r="BM47" s="59"/>
      <c r="BN47" s="58">
        <v>518026</v>
      </c>
      <c r="BO47" s="59"/>
      <c r="BP47" s="58">
        <v>518204</v>
      </c>
      <c r="BQ47" s="59"/>
      <c r="BR47" s="58">
        <v>518207</v>
      </c>
      <c r="BS47" s="58"/>
      <c r="BT47" s="61">
        <f>IF($O$21=1,BL47,IF($O$21=2,BN47,IF($O$21=3,BM47,IF($O$21=4,BO47,IF($O$21=5,BP47,IF($O$21=6,BK47,IF($O$21=7,BQ47,IF($O$21=8,BR47,IF($O$21=9,BJ47,0)))))))))</f>
        <v>0</v>
      </c>
      <c r="BU47" s="61" t="s">
        <v>642</v>
      </c>
      <c r="CT47" s="47" t="s">
        <v>95</v>
      </c>
      <c r="CU47" s="47" t="s">
        <v>113</v>
      </c>
      <c r="CV47" s="47" t="s">
        <v>108</v>
      </c>
      <c r="CW47" s="47" t="s">
        <v>111</v>
      </c>
      <c r="CX47" s="47" t="s">
        <v>109</v>
      </c>
      <c r="CY47" s="47" t="s">
        <v>112</v>
      </c>
      <c r="CZ47" s="47" t="s">
        <v>116</v>
      </c>
      <c r="DA47" s="47" t="s">
        <v>117</v>
      </c>
      <c r="DB47" s="47" t="s">
        <v>1483</v>
      </c>
      <c r="DC47" s="47"/>
      <c r="DD47" s="61"/>
      <c r="DE47" s="47" t="s">
        <v>95</v>
      </c>
      <c r="DF47" s="47" t="s">
        <v>113</v>
      </c>
      <c r="DG47" s="47" t="s">
        <v>108</v>
      </c>
      <c r="DH47" s="47" t="s">
        <v>111</v>
      </c>
      <c r="DI47" s="47" t="s">
        <v>109</v>
      </c>
      <c r="DJ47" s="47" t="s">
        <v>112</v>
      </c>
      <c r="DK47" s="47" t="s">
        <v>116</v>
      </c>
      <c r="DL47" s="47" t="s">
        <v>117</v>
      </c>
      <c r="DM47" s="47" t="s">
        <v>1483</v>
      </c>
      <c r="DN47" s="47"/>
      <c r="DO47" s="61"/>
      <c r="DP47" s="47" t="s">
        <v>95</v>
      </c>
      <c r="DQ47" s="47" t="s">
        <v>113</v>
      </c>
      <c r="DR47" s="47" t="s">
        <v>108</v>
      </c>
      <c r="DS47" s="47" t="s">
        <v>111</v>
      </c>
      <c r="DT47" s="47" t="s">
        <v>109</v>
      </c>
      <c r="DU47" s="47" t="s">
        <v>112</v>
      </c>
      <c r="DV47" s="47" t="s">
        <v>116</v>
      </c>
      <c r="DW47" s="47" t="s">
        <v>117</v>
      </c>
      <c r="DX47" s="47" t="s">
        <v>1483</v>
      </c>
      <c r="ET47" s="561" t="str">
        <f>VLOOKUP(722,Sprachindex!$A:$Z,Info!$O$7,FALSE)</f>
        <v>Rinnenwinkel 90° (innen)</v>
      </c>
      <c r="EU47" s="562"/>
      <c r="EV47" s="562"/>
      <c r="EW47" s="562"/>
      <c r="EX47" s="562"/>
      <c r="EY47" s="352"/>
      <c r="EZ47" s="326"/>
      <c r="FA47" s="344"/>
      <c r="FB47" s="380">
        <v>33.39</v>
      </c>
      <c r="FC47" s="326"/>
      <c r="FD47" s="361">
        <v>27.1</v>
      </c>
      <c r="FE47" s="343"/>
      <c r="FF47" s="326"/>
      <c r="FG47" s="344"/>
      <c r="FH47" s="343"/>
      <c r="FI47" s="326"/>
      <c r="FJ47" s="344"/>
      <c r="FK47" s="365">
        <v>33.799999999999997</v>
      </c>
      <c r="FL47" s="326"/>
      <c r="FM47" s="367">
        <v>26.88</v>
      </c>
      <c r="FN47" s="343"/>
      <c r="FO47" s="326"/>
      <c r="FP47" s="344"/>
      <c r="FQ47" s="343"/>
      <c r="FR47" s="326"/>
      <c r="FS47" s="344"/>
      <c r="FT47" s="371">
        <v>34.25</v>
      </c>
      <c r="FU47" s="326"/>
      <c r="FV47" s="373">
        <v>27.97</v>
      </c>
      <c r="FW47" s="343"/>
      <c r="FX47" s="326"/>
      <c r="FY47" s="344"/>
      <c r="FZ47" s="343"/>
      <c r="GA47" s="326"/>
      <c r="GB47" s="344"/>
      <c r="GC47" s="377">
        <v>51.87</v>
      </c>
      <c r="GD47" s="326"/>
      <c r="GE47" s="379">
        <v>44.48</v>
      </c>
      <c r="GF47" s="343"/>
      <c r="GG47" s="326"/>
      <c r="GH47" s="344"/>
      <c r="GI47" s="343"/>
      <c r="GJ47" s="326"/>
      <c r="GK47" s="344"/>
      <c r="GL47" s="343"/>
      <c r="GM47" s="326"/>
      <c r="GN47" s="344"/>
      <c r="GO47" s="343"/>
      <c r="GP47" s="326"/>
      <c r="GQ47" s="353"/>
      <c r="GR47" s="333">
        <f>IF($O$21=9,FD47,FB47)</f>
        <v>33.39</v>
      </c>
      <c r="GS47" s="332">
        <f>IF($O$21=9,FM47,FK47)</f>
        <v>33.799999999999997</v>
      </c>
      <c r="GT47" s="331">
        <f>IF($O$21=9,FV47,FT47)</f>
        <v>34.25</v>
      </c>
      <c r="GU47" s="330" t="str">
        <f>IF($O$21=9,GE47,IF(OR($O$21=1,$O$21=2,$O$21=6,$O$21=5,$O$21=8),GC47," "))</f>
        <v xml:space="preserve"> </v>
      </c>
      <c r="GW47" s="342" t="str">
        <f>IF($O$24=1,GR47,IF($O$24=2,GS47,IF($O$24=3,GT47,IF($O$24=4,GU47," "))))</f>
        <v xml:space="preserve"> </v>
      </c>
    </row>
    <row r="48" spans="1:205" ht="32.1" customHeight="1">
      <c r="A48" s="109"/>
      <c r="B48" s="79" t="str">
        <f>VLOOKUP(878,Sprachindex!$A:$Z,Info!$O$7,FALSE)</f>
        <v>Stk.</v>
      </c>
      <c r="C48" s="82"/>
      <c r="D48" s="82">
        <f>IF(AND($O$24=1,$O$25=2),AV48,IF(AND($O$24=2,$O$25=2),BH48,IF(AND($O$24=2,$O$25=3),BT48,IF(AND($O$24=3,$O$25=2),CF48,IF(AND($O$24=3,$O$25=3),CR48,IF(AND($O$24=3,$O$25=4),DC48,IF(AND($O$24=4,$O$25=4),DN48,IF(AND($O$24=4,$O$25=5),DY48,IF(AND($O$24=1,$O$25=1),AJ48,0)))))))))</f>
        <v>0</v>
      </c>
      <c r="E48" s="561" t="str">
        <f>VLOOKUP(718,Sprachindex!$A:$Z,Info!$O$7,FALSE)</f>
        <v>Rinnenkessel</v>
      </c>
      <c r="F48" s="562"/>
      <c r="G48" s="562"/>
      <c r="H48" s="562"/>
      <c r="I48" s="562"/>
      <c r="J48" s="627" t="str">
        <f>Formeln!A183</f>
        <v/>
      </c>
      <c r="K48" s="628"/>
      <c r="L48" s="79" t="str">
        <f t="shared" si="0"/>
        <v xml:space="preserve"> </v>
      </c>
      <c r="M48" s="440" t="str">
        <f t="shared" si="2"/>
        <v>Stk.</v>
      </c>
      <c r="N48" s="80"/>
      <c r="O48" s="202" t="str">
        <f>IF(ISNUMBER(L48),L48*GW48," ")</f>
        <v xml:space="preserve"> </v>
      </c>
      <c r="R48" s="195"/>
      <c r="S48" s="195"/>
      <c r="T48" s="195"/>
      <c r="U48" s="1"/>
      <c r="V48" s="149" t="e">
        <f t="shared" si="3"/>
        <v>#VALUE!</v>
      </c>
      <c r="W48" s="149">
        <f t="shared" si="3"/>
        <v>0</v>
      </c>
      <c r="X48" s="149" t="str">
        <f>IF(AND($O$24=1,$O$25=1),4,IF(AND($O$24=1,$O$25=2),5,IF(AND($O$24=2,$O$25=2),10,IF(AND($O$24=2,$O$25=3),10,IF(AND($O$24=3,$O$25=2),10,IF(AND($O$24=3,$O$25=3),10,IF(AND($O$24=3,$O$25=4),5,IF(AND($O$24=4,$O$25=4),3,IF(AND($O$24=4,$O$25=5),1,IF(AND($O$24=4,$O$25=3),1,""))))))))))</f>
        <v/>
      </c>
      <c r="Y48" s="149">
        <v>1</v>
      </c>
      <c r="Z48" s="117" t="s">
        <v>1680</v>
      </c>
      <c r="AA48" s="117" t="s">
        <v>1681</v>
      </c>
      <c r="AB48" s="117" t="s">
        <v>1682</v>
      </c>
      <c r="AC48" s="117"/>
      <c r="AD48" s="117" t="s">
        <v>1683</v>
      </c>
      <c r="AE48" s="117"/>
      <c r="AF48" s="117"/>
      <c r="AG48" s="117"/>
      <c r="AH48" s="117"/>
      <c r="AI48" s="117"/>
      <c r="AJ48" s="61">
        <f t="shared" si="4"/>
        <v>0</v>
      </c>
      <c r="AK48" s="61" t="s">
        <v>713</v>
      </c>
      <c r="AL48">
        <v>519027</v>
      </c>
      <c r="AM48">
        <v>519046</v>
      </c>
      <c r="AN48">
        <v>519028</v>
      </c>
      <c r="AO48">
        <v>519048</v>
      </c>
      <c r="AP48">
        <v>519040</v>
      </c>
      <c r="AQ48">
        <v>519053</v>
      </c>
      <c r="AR48">
        <v>519047</v>
      </c>
      <c r="AS48">
        <v>519058</v>
      </c>
      <c r="AT48">
        <v>519079</v>
      </c>
      <c r="AU48"/>
      <c r="AV48" s="61">
        <f>IF($O$21=1,AN48,IF($O$21=2,AP48,IF($O$21=3,AO48,IF($O$21=4,AQ48,IF($O$21=5,AR48,IF($O$21=6,AM48,IF($O$21=7,AS48,IF($O$21=8,AT48,IF($O$21=9,AL48,0)))))))))</f>
        <v>0</v>
      </c>
      <c r="AW48" s="61" t="s">
        <v>721</v>
      </c>
      <c r="AX48">
        <v>519010</v>
      </c>
      <c r="AY48">
        <v>519021</v>
      </c>
      <c r="AZ48">
        <v>519020</v>
      </c>
      <c r="BA48">
        <v>519031</v>
      </c>
      <c r="BB48">
        <v>519022</v>
      </c>
      <c r="BC48">
        <v>519050</v>
      </c>
      <c r="BD48">
        <v>519035</v>
      </c>
      <c r="BE48">
        <v>519059</v>
      </c>
      <c r="BF48">
        <v>519080</v>
      </c>
      <c r="BG48"/>
      <c r="BH48" s="61">
        <f>IF($O$21=1,AZ48,IF($O$21=2,BB48,IF($O$21=3,BA48,IF($O$21=4,BC48,IF($O$21=5,BD48,IF($O$21=6,AY48,IF($O$21=7,BE48,IF($O$21=8,BF48,IF($O$21=9,AX48,0)))))))))</f>
        <v>0</v>
      </c>
      <c r="BI48" s="61" t="s">
        <v>729</v>
      </c>
      <c r="BJ48" s="58">
        <v>519011</v>
      </c>
      <c r="BK48" s="58">
        <v>519001</v>
      </c>
      <c r="BL48" s="58">
        <v>519015</v>
      </c>
      <c r="BM48" s="58">
        <v>519032</v>
      </c>
      <c r="BN48" s="58">
        <v>519017</v>
      </c>
      <c r="BO48" s="58">
        <v>519051</v>
      </c>
      <c r="BP48" s="58">
        <v>519036</v>
      </c>
      <c r="BQ48" s="58">
        <v>519060</v>
      </c>
      <c r="BR48" s="58">
        <v>519081</v>
      </c>
      <c r="BS48" s="58"/>
      <c r="BT48" s="61">
        <f>IF($O$21=1,BL48,IF($O$21=2,BN48,IF($O$21=3,BM48,IF($O$21=4,BO48,IF($O$21=5,BP48,IF($O$21=6,BK48,IF($O$21=7,BQ48,IF($O$21=8,BR48,IF($O$21=9,BJ48,0)))))))))</f>
        <v>0</v>
      </c>
      <c r="BU48" s="61" t="s">
        <v>737</v>
      </c>
      <c r="BV48">
        <v>519063</v>
      </c>
      <c r="BW48">
        <v>519066</v>
      </c>
      <c r="BX48">
        <v>519064</v>
      </c>
      <c r="BY48">
        <v>519069</v>
      </c>
      <c r="BZ48">
        <v>519065</v>
      </c>
      <c r="CA48">
        <v>519070</v>
      </c>
      <c r="CB48">
        <v>519068</v>
      </c>
      <c r="CC48">
        <v>519071</v>
      </c>
      <c r="CD48">
        <v>519082</v>
      </c>
      <c r="CE48"/>
      <c r="CF48" s="61">
        <f>IF($O$21=1,BX48,IF($O$21=2,BZ48,IF($O$21=3,BY48,IF($O$21=4,CA48,IF($O$21=5,CB48,IF($O$21=6,BW48,IF($O$21=7,CC48,IF($O$21=8,CD48,IF($O$21=9,BV48,0)))))))))</f>
        <v>0</v>
      </c>
      <c r="CG48" s="61" t="s">
        <v>745</v>
      </c>
      <c r="CH48">
        <v>519012</v>
      </c>
      <c r="CI48">
        <v>519004</v>
      </c>
      <c r="CJ48">
        <v>519013</v>
      </c>
      <c r="CK48">
        <v>519026</v>
      </c>
      <c r="CL48">
        <v>519002</v>
      </c>
      <c r="CM48">
        <v>519049</v>
      </c>
      <c r="CN48">
        <v>519037</v>
      </c>
      <c r="CO48">
        <v>519042</v>
      </c>
      <c r="CP48">
        <v>519062</v>
      </c>
      <c r="CQ48">
        <v>519043</v>
      </c>
      <c r="CR48" s="61">
        <f>IF($O$21=1,CJ48,IF($O$21=2,CL48,IF($O$21=3,CK48,IF($O$21=4,CM48,IF($O$21=5,CN48,IF($O$21=6,CI48,IF($O$21=7,CO48,IF($O$21=8,CP48,IF($O$21=9,CH48,IF($O$21=10,CQ48,0))))))))))</f>
        <v>0</v>
      </c>
      <c r="CS48" s="61" t="s">
        <v>753</v>
      </c>
      <c r="CT48">
        <v>519007</v>
      </c>
      <c r="CU48">
        <v>519006</v>
      </c>
      <c r="CV48">
        <v>519014</v>
      </c>
      <c r="CW48">
        <v>519034</v>
      </c>
      <c r="CX48">
        <v>519016</v>
      </c>
      <c r="CY48">
        <v>519052</v>
      </c>
      <c r="CZ48">
        <v>519038</v>
      </c>
      <c r="DA48">
        <v>519061</v>
      </c>
      <c r="DB48">
        <v>519083</v>
      </c>
      <c r="DC48" s="61">
        <f>IF($O$21=1,CV48,IF($O$21=2,CX48,IF($O$21=3,CW48,IF($O$21=4,CY48,IF($O$21=5,CZ48,IF($O$21=6,CU48,IF($O$21=7,DA48,IF($O$21=8,DB48,IF($O$21=9,CT48,0)))))))))</f>
        <v>0</v>
      </c>
      <c r="DD48" s="61" t="s">
        <v>761</v>
      </c>
      <c r="DE48">
        <v>519008</v>
      </c>
      <c r="DF48">
        <v>519005</v>
      </c>
      <c r="DG48">
        <v>519018</v>
      </c>
      <c r="DH48" s="59"/>
      <c r="DI48">
        <v>519023</v>
      </c>
      <c r="DJ48" s="59"/>
      <c r="DK48">
        <v>519084</v>
      </c>
      <c r="DL48" s="59"/>
      <c r="DM48">
        <v>519087</v>
      </c>
      <c r="DN48" s="61">
        <f>IF($O$21=1,DG48,IF($O$21=2,DI48,IF($O$21=3,DH48,IF($O$21=4,DJ48,IF($O$21=5,DK48,IF($O$21=6,DF48,IF($O$21=7,DL48,IF($O$21=8,DM48,IF($O$21=9,DE48,0)))))))))</f>
        <v>0</v>
      </c>
      <c r="DO48" s="61" t="s">
        <v>769</v>
      </c>
      <c r="DP48">
        <v>519009</v>
      </c>
      <c r="DQ48">
        <v>519003</v>
      </c>
      <c r="DR48">
        <v>519019</v>
      </c>
      <c r="DS48" s="59"/>
      <c r="DT48">
        <v>519024</v>
      </c>
      <c r="DU48" s="59"/>
      <c r="DV48" s="59"/>
      <c r="DW48" s="59"/>
      <c r="DX48" s="59"/>
      <c r="DY48" s="61">
        <f>IF($O$21=1,DR48,IF($O$21=2,DT48,IF($O$21=3,DS48,IF($O$21=4,DU48,IF($O$21=5,DV48,IF($O$21=6,DQ48,IF($O$21=7,DW48,IF($O$21=8,DX48,IF($O$21=9,DP48,0)))))))))</f>
        <v>0</v>
      </c>
      <c r="DZ48" s="61" t="s">
        <v>770</v>
      </c>
      <c r="ET48" s="561" t="str">
        <f>VLOOKUP(718,Sprachindex!$A:$Z,Info!$O$7,FALSE)</f>
        <v>Rinnenkessel</v>
      </c>
      <c r="EU48" s="562"/>
      <c r="EV48" s="562"/>
      <c r="EW48" s="562"/>
      <c r="EX48" s="562"/>
      <c r="EY48" s="359">
        <v>35.67</v>
      </c>
      <c r="EZ48" s="383" t="s">
        <v>1684</v>
      </c>
      <c r="FA48" s="361">
        <v>33.659999999999997</v>
      </c>
      <c r="FB48" s="380">
        <v>23.75</v>
      </c>
      <c r="FC48" s="383" t="s">
        <v>1685</v>
      </c>
      <c r="FD48" s="361">
        <v>20.51</v>
      </c>
      <c r="FE48" s="386" t="str">
        <f>IF(OR($O$21=1,$O$21=2,$O$21=6),EY48,IF($O$21=9,FA48," "))</f>
        <v xml:space="preserve"> </v>
      </c>
      <c r="FF48" s="387">
        <f>IF($O$21=9,FD48,FB48)</f>
        <v>23.75</v>
      </c>
      <c r="FG48" s="344"/>
      <c r="FH48" s="365">
        <v>24.63</v>
      </c>
      <c r="FI48" s="383" t="s">
        <v>1685</v>
      </c>
      <c r="FJ48" s="367">
        <v>21.54</v>
      </c>
      <c r="FK48" s="365">
        <v>25.1</v>
      </c>
      <c r="FL48" s="383" t="s">
        <v>1686</v>
      </c>
      <c r="FM48" s="367">
        <v>22.14</v>
      </c>
      <c r="FN48" s="388">
        <f>IF($O$21=9,FJ48,FH48)</f>
        <v>24.63</v>
      </c>
      <c r="FO48" s="388">
        <f>IF($O$21=9,FM48,FK48)</f>
        <v>25.1</v>
      </c>
      <c r="FP48" s="344"/>
      <c r="FQ48" s="371">
        <v>29.06</v>
      </c>
      <c r="FR48" s="383" t="s">
        <v>1685</v>
      </c>
      <c r="FS48" s="373">
        <v>26.49</v>
      </c>
      <c r="FT48" s="371">
        <v>25.41</v>
      </c>
      <c r="FU48" s="383" t="s">
        <v>1686</v>
      </c>
      <c r="FV48" s="373">
        <v>22.29</v>
      </c>
      <c r="FW48" s="371">
        <v>31.14</v>
      </c>
      <c r="FX48" s="383" t="s">
        <v>1687</v>
      </c>
      <c r="FY48" s="373">
        <v>27.61</v>
      </c>
      <c r="FZ48" s="377">
        <v>39.54</v>
      </c>
      <c r="GA48" s="383" t="s">
        <v>1686</v>
      </c>
      <c r="GB48" s="379">
        <v>35.44</v>
      </c>
      <c r="GC48" s="377">
        <v>37.32</v>
      </c>
      <c r="GD48" s="383" t="s">
        <v>1687</v>
      </c>
      <c r="GE48" s="379">
        <v>33.46</v>
      </c>
      <c r="GF48" s="377">
        <v>56.49</v>
      </c>
      <c r="GG48" s="383" t="s">
        <v>1688</v>
      </c>
      <c r="GH48" s="379">
        <v>53.7</v>
      </c>
      <c r="GI48" s="343"/>
      <c r="GJ48" s="326"/>
      <c r="GK48" s="344"/>
      <c r="GL48" s="394">
        <f>IF($O$21=9,FS48,FQ48)</f>
        <v>29.06</v>
      </c>
      <c r="GM48" s="393">
        <f>IF($O$21=9,FV48,FT48)</f>
        <v>25.41</v>
      </c>
      <c r="GN48" s="392">
        <f>IF($O$21=9,FY48,FW48)</f>
        <v>31.14</v>
      </c>
      <c r="GO48" s="391" t="str">
        <f>IF(OR($O$21=1,$O$21=2,$O$21=6,$O$21=5,$O$21=8),FZ48,IF($O$21=9,GB48," "))</f>
        <v xml:space="preserve"> </v>
      </c>
      <c r="GP48" s="390" t="str">
        <f>IF(OR($O$21=1,$O$21=2,$O$21=6,$O$21=5,$O$21=8),GC48,IF($O$21=9,GE48," "))</f>
        <v xml:space="preserve"> </v>
      </c>
      <c r="GQ48" s="389" t="str">
        <f>IF(OR($O$21=1,$O$21=2,$O$21=6),GF48,IF($O$21=9,GH48," "))</f>
        <v xml:space="preserve"> </v>
      </c>
      <c r="GR48" s="333" t="str">
        <f>IF($O$25=1,FE48,IF($O$25=2,FF48," "))</f>
        <v xml:space="preserve"> </v>
      </c>
      <c r="GS48" s="332" t="str">
        <f>IF($O$25=2,FN48,IF($O$25=3,FO48," "))</f>
        <v xml:space="preserve"> </v>
      </c>
      <c r="GT48" s="331" t="str">
        <f>IF($O$25=2,GL48,IF($O$25=3,GM48,IF($O$25=4,GN48," ")))</f>
        <v xml:space="preserve"> </v>
      </c>
      <c r="GU48" s="330" t="str">
        <f>IF($O$25=3,GO48,IF($O$25=4,GP48,IF($O$25=5,GQ48," ")))</f>
        <v xml:space="preserve"> </v>
      </c>
      <c r="GW48" s="342" t="str">
        <f>IF($O$24=1,GR48,IF($O$24=2,GS48,IF($O$24=3,GT48,IF($O$24=4,GU48," "))))</f>
        <v xml:space="preserve"> </v>
      </c>
    </row>
    <row r="49" spans="1:204" ht="32.1" customHeight="1">
      <c r="A49" s="109"/>
      <c r="B49" s="79" t="str">
        <f>VLOOKUP(878,Sprachindex!$A:$Z,Info!$O$7,FALSE)</f>
        <v>Stk.</v>
      </c>
      <c r="C49" s="78"/>
      <c r="D49" s="78">
        <f>IF(OR(AND(O24=1,O25=2),AND(O24=2,O25=2),AND(O24=3,O25=2)),AJ49,IF(OR(AND(O24=2,O25=3),AND(O24=3,O25=3)),AV49,IF(OR(AND(O24=3,O25=4),AND(O24=4,O25=4)),BH49,0)))</f>
        <v>0</v>
      </c>
      <c r="E49" s="561" t="str">
        <f>VLOOKUP(814,Sprachindex!$A:$Z,Info!$O$7,FALSE)</f>
        <v>Schrägstutzen</v>
      </c>
      <c r="F49" s="562"/>
      <c r="G49" s="562"/>
      <c r="H49" s="562"/>
      <c r="I49" s="562"/>
      <c r="J49" s="627" t="str">
        <f>Formeln!A202</f>
        <v/>
      </c>
      <c r="K49" s="628"/>
      <c r="L49" s="79" t="str">
        <f t="shared" si="0"/>
        <v xml:space="preserve"> </v>
      </c>
      <c r="M49" s="440" t="str">
        <f t="shared" si="2"/>
        <v>Stk.</v>
      </c>
      <c r="N49" s="80"/>
      <c r="O49" s="202" t="str">
        <f>IF(ISNUMBER(L49),L49*GV49," ")</f>
        <v xml:space="preserve"> </v>
      </c>
      <c r="R49" s="195"/>
      <c r="S49" s="195"/>
      <c r="T49" s="195"/>
      <c r="U49" s="1"/>
      <c r="V49" s="149" t="e">
        <f t="shared" si="3"/>
        <v>#VALUE!</v>
      </c>
      <c r="W49" s="149">
        <f t="shared" si="3"/>
        <v>0</v>
      </c>
      <c r="X49" s="149" t="str">
        <f>IF(AND(OR($O$24=1,$O$24=2,$O$24=3),$O$25=2),2,IF(AND(OR($O$24=2,$O$24=3),$O$25=3),2,IF(AND(OR($O$24=3,$O$24=4),$O$25=4),2,"")))</f>
        <v/>
      </c>
      <c r="Y49" s="149">
        <v>1</v>
      </c>
      <c r="Z49" s="58">
        <v>520010</v>
      </c>
      <c r="AA49" s="58">
        <v>520011</v>
      </c>
      <c r="AB49" s="58">
        <v>520012</v>
      </c>
      <c r="AC49" s="58">
        <v>520016</v>
      </c>
      <c r="AD49" s="58">
        <v>520006</v>
      </c>
      <c r="AE49" s="58">
        <v>520023</v>
      </c>
      <c r="AF49" s="58">
        <v>520017</v>
      </c>
      <c r="AG49" s="58">
        <v>520025</v>
      </c>
      <c r="AH49" s="58">
        <v>520040</v>
      </c>
      <c r="AI49" s="58"/>
      <c r="AJ49" s="61">
        <f t="shared" si="4"/>
        <v>0</v>
      </c>
      <c r="AK49" s="61">
        <v>80</v>
      </c>
      <c r="AL49">
        <v>520004</v>
      </c>
      <c r="AM49">
        <v>520003</v>
      </c>
      <c r="AN49">
        <v>520007</v>
      </c>
      <c r="AO49">
        <v>520014</v>
      </c>
      <c r="AP49">
        <v>520001</v>
      </c>
      <c r="AQ49">
        <v>520022</v>
      </c>
      <c r="AR49">
        <v>520018</v>
      </c>
      <c r="AS49">
        <v>520030</v>
      </c>
      <c r="AT49">
        <v>520036</v>
      </c>
      <c r="AU49">
        <v>520042</v>
      </c>
      <c r="AV49" s="61" t="e" cm="1">
        <f t="array" ref="AV49">IF($O$21=1,AN49,IF($O$21=2,AP49,IF($O$21=3,AO49,IF($O$21=4,AQ49,IF($O$21=5,AR49,IF($O$21=6,AM49,IF($O$21=7,AS49,IF($O$21=8,AT49,IF($O$21=9,AL49,IF($O$21=10,AU49,ß))))))))))</f>
        <v>#NAME?</v>
      </c>
      <c r="AW49" s="61">
        <v>100</v>
      </c>
      <c r="AX49">
        <v>520005</v>
      </c>
      <c r="AY49">
        <v>520002</v>
      </c>
      <c r="AZ49">
        <v>520008</v>
      </c>
      <c r="BA49">
        <v>520019</v>
      </c>
      <c r="BB49">
        <v>520009</v>
      </c>
      <c r="BC49">
        <v>520024</v>
      </c>
      <c r="BD49">
        <v>520021</v>
      </c>
      <c r="BE49">
        <v>520026</v>
      </c>
      <c r="BF49">
        <v>520041</v>
      </c>
      <c r="BG49"/>
      <c r="BH49" s="61">
        <f>IF($O$21=1,AZ49,IF($O$21=2,BB49,IF($O$21=3,BA49,IF($O$21=4,BC49,IF($O$21=5,BD49,IF($O$21=6,AY49,IF($O$21=7,BE49,IF($O$21=8,BF49,IF($O$21=9,AX49,0)))))))))</f>
        <v>0</v>
      </c>
      <c r="BI49" s="61">
        <v>120</v>
      </c>
      <c r="ES49" s="561" t="str">
        <f>VLOOKUP(814,Sprachindex!$A:$Z,Info!$O$7,FALSE)</f>
        <v>Schrägstutzen</v>
      </c>
      <c r="ET49" s="562"/>
      <c r="EU49" s="562"/>
      <c r="EV49" s="562"/>
      <c r="EW49" s="562"/>
      <c r="EX49" s="352"/>
      <c r="EY49" s="326"/>
      <c r="EZ49" s="344"/>
      <c r="FA49" s="380">
        <v>30.86</v>
      </c>
      <c r="FB49" s="383" t="s">
        <v>1685</v>
      </c>
      <c r="FC49" s="361">
        <v>26.11</v>
      </c>
      <c r="FD49" s="343"/>
      <c r="FE49" s="326"/>
      <c r="FF49" s="344"/>
      <c r="FG49" s="365">
        <v>30.86</v>
      </c>
      <c r="FH49" s="383" t="s">
        <v>1685</v>
      </c>
      <c r="FI49" s="367">
        <v>26.11</v>
      </c>
      <c r="FJ49" s="365">
        <v>31.69</v>
      </c>
      <c r="FK49" s="383" t="s">
        <v>1686</v>
      </c>
      <c r="FL49" s="367">
        <v>26.88</v>
      </c>
      <c r="FM49" s="343"/>
      <c r="FN49" s="326"/>
      <c r="FO49" s="344"/>
      <c r="FP49" s="371">
        <v>30.86</v>
      </c>
      <c r="FQ49" s="383" t="s">
        <v>1685</v>
      </c>
      <c r="FR49" s="373">
        <v>26.11</v>
      </c>
      <c r="FS49" s="371">
        <v>31.69</v>
      </c>
      <c r="FT49" s="383" t="s">
        <v>1686</v>
      </c>
      <c r="FU49" s="373">
        <v>26.88</v>
      </c>
      <c r="FV49" s="371">
        <v>38.79</v>
      </c>
      <c r="FW49" s="383" t="s">
        <v>1687</v>
      </c>
      <c r="FX49" s="373">
        <v>33.21</v>
      </c>
      <c r="FY49" s="343"/>
      <c r="FZ49" s="326"/>
      <c r="GA49" s="344"/>
      <c r="GB49" s="377">
        <v>38.79</v>
      </c>
      <c r="GC49" s="383" t="s">
        <v>1687</v>
      </c>
      <c r="GD49" s="379">
        <v>33.21</v>
      </c>
      <c r="GE49" s="343"/>
      <c r="GF49" s="326"/>
      <c r="GG49" s="344"/>
      <c r="GH49" s="397">
        <f>IF($O$21=9,FC49,FA49)</f>
        <v>30.86</v>
      </c>
      <c r="GI49" s="396">
        <f>IF($O$21=9,FI49,FG49)</f>
        <v>30.86</v>
      </c>
      <c r="GJ49" s="395">
        <f>IF($O$21=9,FL49,FJ49)</f>
        <v>31.69</v>
      </c>
      <c r="GK49" s="394">
        <f>IF($O$21=9,FR49,FP49)</f>
        <v>30.86</v>
      </c>
      <c r="GL49" s="393">
        <f>IF($O$21=9,FU49,FS49)</f>
        <v>31.69</v>
      </c>
      <c r="GM49" s="392">
        <f>IF($O$21=9,FX49,FV49)</f>
        <v>38.79</v>
      </c>
      <c r="GN49" s="343"/>
      <c r="GO49" s="390">
        <f>IF($O$21=9,GD49,GB49)</f>
        <v>38.79</v>
      </c>
      <c r="GP49" s="353"/>
      <c r="GQ49" s="333" t="str">
        <f>IF($O$25=2,GH49," ")</f>
        <v xml:space="preserve"> </v>
      </c>
      <c r="GR49" s="332" t="str">
        <f>IF($O$25=2,GI49,IF($O$25=3,GJ49," "))</f>
        <v xml:space="preserve"> </v>
      </c>
      <c r="GS49" s="331" t="str">
        <f>IF($O$25=2,GK49,IF($O$25=3,GL49,IF($O$25=4,GM49," ")))</f>
        <v xml:space="preserve"> </v>
      </c>
      <c r="GT49" s="330" t="str">
        <f>IF($O$25=4,GO49," ")</f>
        <v xml:space="preserve"> </v>
      </c>
      <c r="GV49" s="342" t="str">
        <f>IF($O$24=1,GQ49,IF($O$24=2,GR49,IF($O$24=3,GS49,IF($O$24=4,GT49," "))))</f>
        <v xml:space="preserve"> </v>
      </c>
    </row>
    <row r="50" spans="1:204" ht="32.1" customHeight="1">
      <c r="A50" s="109"/>
      <c r="B50" s="79" t="str">
        <f>VLOOKUP(1512,Sprachindex!$A:$Z,Info!$O$7,FALSE)</f>
        <v>lfm</v>
      </c>
      <c r="C50" s="78"/>
      <c r="D50" s="78">
        <f>AJ50</f>
        <v>0</v>
      </c>
      <c r="E50" s="561" t="str">
        <f>VLOOKUP(334,Sprachindex!$A:$Z,Info!$O$7,FALSE)</f>
        <v>Einlaufblech (230 × 2.000 × 0,7 mm)</v>
      </c>
      <c r="F50" s="562"/>
      <c r="G50" s="562"/>
      <c r="H50" s="562"/>
      <c r="I50" s="562"/>
      <c r="J50" s="627"/>
      <c r="K50" s="628"/>
      <c r="L50" s="79" t="str">
        <f>IF(A50=""," ",IF($O$11=1,$V50,IF($O$11=2,W50,0)))</f>
        <v xml:space="preserve"> </v>
      </c>
      <c r="M50" s="440" t="str">
        <f t="shared" si="2"/>
        <v>lfm</v>
      </c>
      <c r="N50" s="80"/>
      <c r="O50" s="202" t="str">
        <f>IF(ISNUMBER(A50),L50*GV50," ")</f>
        <v xml:space="preserve"> </v>
      </c>
      <c r="R50" s="195"/>
      <c r="S50" s="195"/>
      <c r="T50" s="195"/>
      <c r="U50" s="1"/>
      <c r="V50" s="149">
        <f>ROUNDUP($A50/2,0)*2</f>
        <v>0</v>
      </c>
      <c r="W50" s="149">
        <f>ROUNDUP($A50/2,0)*2</f>
        <v>0</v>
      </c>
      <c r="X50" s="149"/>
      <c r="Y50" s="149"/>
      <c r="Z50" s="58"/>
      <c r="AA50" s="58">
        <v>212102</v>
      </c>
      <c r="AB50" s="58">
        <v>212101</v>
      </c>
      <c r="AC50" s="58"/>
      <c r="AD50" s="58">
        <v>212100</v>
      </c>
      <c r="AE50" s="58"/>
      <c r="AF50" s="58"/>
      <c r="AG50" s="58"/>
      <c r="AH50" s="58"/>
      <c r="AI50" s="549">
        <v>563018</v>
      </c>
      <c r="AJ50" s="530">
        <f>IF($O$21=1,AB50,IF($O$21=2,AD50,IF($O$21=3,AC50,IF($O$21=4,AE50,IF($O$21=5,AF50,IF($O$21=6,AA50,IF($O$21=7,AG50,IF($O$21=8,AH50,IF($O$21=9,Z50,IF($O$21=10,AI50,0))))))))))</f>
        <v>0</v>
      </c>
      <c r="AK50" s="530"/>
      <c r="ES50" s="561" t="str">
        <f>VLOOKUP(334,Sprachindex!$A:$Z,Info!$O$7,FALSE)</f>
        <v>Einlaufblech (230 × 2.000 × 0,7 mm)</v>
      </c>
      <c r="ET50" s="562"/>
      <c r="EU50" s="562"/>
      <c r="EV50" s="562"/>
      <c r="EW50" s="562"/>
      <c r="EX50" s="381">
        <v>8.65</v>
      </c>
      <c r="EY50" s="326"/>
      <c r="EZ50" s="344"/>
      <c r="FA50" s="343"/>
      <c r="FB50" s="326"/>
      <c r="FC50" s="344"/>
      <c r="FD50" s="343"/>
      <c r="FE50" s="326"/>
      <c r="FF50" s="344"/>
      <c r="FG50" s="343"/>
      <c r="FH50" s="326"/>
      <c r="FI50" s="344"/>
      <c r="FJ50" s="343"/>
      <c r="FK50" s="326"/>
      <c r="FL50" s="344"/>
      <c r="FM50" s="343"/>
      <c r="FN50" s="326"/>
      <c r="FO50" s="344"/>
      <c r="FP50" s="343"/>
      <c r="FQ50" s="326"/>
      <c r="FR50" s="344"/>
      <c r="FS50" s="343"/>
      <c r="FT50" s="326"/>
      <c r="FU50" s="344"/>
      <c r="FV50" s="343"/>
      <c r="FW50" s="326"/>
      <c r="FX50" s="344"/>
      <c r="FY50" s="343"/>
      <c r="FZ50" s="326"/>
      <c r="GA50" s="344"/>
      <c r="GB50" s="343"/>
      <c r="GC50" s="326"/>
      <c r="GD50" s="344"/>
      <c r="GE50" s="343"/>
      <c r="GF50" s="326"/>
      <c r="GG50" s="344"/>
      <c r="GH50" s="343"/>
      <c r="GI50" s="326"/>
      <c r="GJ50" s="344"/>
      <c r="GK50" s="343"/>
      <c r="GL50" s="326"/>
      <c r="GM50" s="344"/>
      <c r="GN50" s="343"/>
      <c r="GO50" s="326"/>
      <c r="GP50" s="353"/>
      <c r="GV50" s="334">
        <f>EX50</f>
        <v>8.65</v>
      </c>
    </row>
    <row r="51" spans="1:204" ht="32.1" customHeight="1">
      <c r="A51" s="109"/>
      <c r="B51" s="79" t="str">
        <f>VLOOKUP(1512,Sprachindex!$A:$Z,Info!$O$7,FALSE)</f>
        <v>lfm</v>
      </c>
      <c r="C51" s="78"/>
      <c r="D51" s="78">
        <v>507300</v>
      </c>
      <c r="E51" s="561" t="str">
        <f>VLOOKUP(986,Sprachindex!$A:$Z,Info!$O$7,FALSE)</f>
        <v>Vogelschutzgitter (Braun/Anthrazit; 125 × 2.000 × 0,7 mm)</v>
      </c>
      <c r="F51" s="562"/>
      <c r="G51" s="562"/>
      <c r="H51" s="562"/>
      <c r="I51" s="562"/>
      <c r="J51" s="627"/>
      <c r="K51" s="628"/>
      <c r="L51" s="79" t="str">
        <f>IF(A51=""," ",IF($O$11=1,$V51,IF($O$11=2,W51,0)))</f>
        <v xml:space="preserve"> </v>
      </c>
      <c r="M51" s="440" t="str">
        <f t="shared" si="2"/>
        <v>lfm</v>
      </c>
      <c r="N51" s="80"/>
      <c r="O51" s="202" t="str">
        <f>IF(ISNUMBER(A51),L51*GV51," ")</f>
        <v xml:space="preserve"> </v>
      </c>
      <c r="R51" s="195"/>
      <c r="S51" s="195"/>
      <c r="T51" s="195"/>
      <c r="U51" s="1"/>
      <c r="V51" s="149">
        <f>ROUNDUP($A51/2,0)*2</f>
        <v>0</v>
      </c>
      <c r="W51" s="149">
        <f>ROUNDUP($A51/2,0)*2</f>
        <v>0</v>
      </c>
      <c r="X51" s="149"/>
      <c r="Y51" s="151"/>
      <c r="Z51" s="47" t="s">
        <v>95</v>
      </c>
      <c r="AA51" s="47" t="s">
        <v>113</v>
      </c>
      <c r="AB51" s="47" t="s">
        <v>108</v>
      </c>
      <c r="AC51" s="47" t="s">
        <v>111</v>
      </c>
      <c r="AD51" s="47" t="s">
        <v>109</v>
      </c>
      <c r="AE51" s="47" t="s">
        <v>112</v>
      </c>
      <c r="AF51" s="47" t="s">
        <v>116</v>
      </c>
      <c r="AG51" s="47" t="s">
        <v>117</v>
      </c>
      <c r="AH51" s="47" t="s">
        <v>1483</v>
      </c>
      <c r="AI51" s="47"/>
      <c r="AJ51" s="47"/>
      <c r="AK51" s="20"/>
      <c r="AL51" s="20"/>
      <c r="AM51" s="20"/>
      <c r="AN51" s="20"/>
      <c r="AO51" s="20"/>
      <c r="AP51" s="20"/>
      <c r="ES51" s="561" t="str">
        <f>VLOOKUP(986,Sprachindex!$A:$Z,Info!$O$7,FALSE)</f>
        <v>Vogelschutzgitter (Braun/Anthrazit; 125 × 2.000 × 0,7 mm)</v>
      </c>
      <c r="ET51" s="562"/>
      <c r="EU51" s="562"/>
      <c r="EV51" s="562"/>
      <c r="EW51" s="562"/>
      <c r="EX51" s="381">
        <v>4.01</v>
      </c>
      <c r="EY51" s="326"/>
      <c r="EZ51" s="344"/>
      <c r="FA51" s="343"/>
      <c r="FB51" s="326"/>
      <c r="FC51" s="344"/>
      <c r="FD51" s="343"/>
      <c r="FE51" s="326"/>
      <c r="FF51" s="344"/>
      <c r="FG51" s="343"/>
      <c r="FH51" s="326"/>
      <c r="FI51" s="344"/>
      <c r="FJ51" s="343"/>
      <c r="FK51" s="326"/>
      <c r="FL51" s="344"/>
      <c r="FM51" s="343"/>
      <c r="FN51" s="326"/>
      <c r="FO51" s="344"/>
      <c r="FP51" s="343"/>
      <c r="FQ51" s="326"/>
      <c r="FR51" s="344"/>
      <c r="FS51" s="343"/>
      <c r="FT51" s="326"/>
      <c r="FU51" s="344"/>
      <c r="FV51" s="343"/>
      <c r="FW51" s="326"/>
      <c r="FX51" s="344"/>
      <c r="FY51" s="343"/>
      <c r="FZ51" s="326"/>
      <c r="GA51" s="344"/>
      <c r="GB51" s="343"/>
      <c r="GC51" s="326"/>
      <c r="GD51" s="344"/>
      <c r="GE51" s="343"/>
      <c r="GF51" s="326"/>
      <c r="GG51" s="344"/>
      <c r="GH51" s="343"/>
      <c r="GI51" s="326"/>
      <c r="GJ51" s="344"/>
      <c r="GK51" s="343"/>
      <c r="GL51" s="326"/>
      <c r="GM51" s="344"/>
      <c r="GN51" s="343"/>
      <c r="GO51" s="326"/>
      <c r="GP51" s="353"/>
      <c r="GV51" s="334">
        <f>EX51</f>
        <v>4.01</v>
      </c>
    </row>
    <row r="52" spans="1:204" ht="32.1" customHeight="1">
      <c r="A52" s="109"/>
      <c r="B52" s="79" t="str">
        <f>VLOOKUP(878,Sprachindex!$A:$Z,Info!$O$7,FALSE)</f>
        <v>Stk.</v>
      </c>
      <c r="C52" s="78"/>
      <c r="D52" s="78">
        <f>AJ52</f>
        <v>0</v>
      </c>
      <c r="E52" s="561" t="str">
        <f>VLOOKUP(921,Sprachindex!$A:$Z,Info!$O$7,FALSE)</f>
        <v>Überbügel</v>
      </c>
      <c r="F52" s="562"/>
      <c r="G52" s="562"/>
      <c r="H52" s="562"/>
      <c r="I52" s="562"/>
      <c r="J52" s="627" t="str">
        <f>VLOOKUP(2233,Sprachindex!$A:$Z,Info!$O$7,FALSE)</f>
        <v>4 × 25 × 427 mm</v>
      </c>
      <c r="K52" s="628"/>
      <c r="L52" s="79" t="str">
        <f t="shared" ref="L52:L84" si="5">IF(OR(A52="",X52="",Y52="")," ",IF($O$11=1,$V52,IF($O$11=2,W52,0)))</f>
        <v xml:space="preserve"> </v>
      </c>
      <c r="M52" s="440" t="str">
        <f t="shared" si="2"/>
        <v>Stk.</v>
      </c>
      <c r="N52" s="80"/>
      <c r="O52" s="202" t="str">
        <f t="shared" ref="O52:O62" si="6">IF(ISNUMBER(L52),L52*GV52," ")</f>
        <v xml:space="preserve"> </v>
      </c>
      <c r="R52" s="195"/>
      <c r="S52" s="195"/>
      <c r="T52" s="195"/>
      <c r="U52" s="1"/>
      <c r="V52" s="149">
        <f>ROUNDUP($A52/X52,0)*X52</f>
        <v>0</v>
      </c>
      <c r="W52" s="149">
        <f>ROUNDUP($A52/Y52,0)*Y52</f>
        <v>0</v>
      </c>
      <c r="X52" s="149">
        <f>IF(O24=5,"",10)</f>
        <v>10</v>
      </c>
      <c r="Y52" s="149">
        <v>1</v>
      </c>
      <c r="Z52" s="58" t="s">
        <v>1689</v>
      </c>
      <c r="AA52" s="58" t="s">
        <v>1690</v>
      </c>
      <c r="AB52" s="58" t="s">
        <v>1691</v>
      </c>
      <c r="AC52" s="58"/>
      <c r="AD52" s="58" t="s">
        <v>1692</v>
      </c>
      <c r="AE52" s="58"/>
      <c r="AF52" s="58"/>
      <c r="AG52" s="58"/>
      <c r="AH52" s="58"/>
      <c r="AI52" s="191">
        <v>537049</v>
      </c>
      <c r="AJ52" s="531">
        <f>IF($O$21=1,AB52,IF($O$21=2,AD52,IF($O$21=3,AC52,IF($O$21=4,AE52,IF($O$21=5,AF52,IF($O$21=6,AA52,IF($O$21=7,AG52,IF($O$21=8,AH52,IF($O$21=9,Z52,IF($O$21=10,AI52,0))))))))))</f>
        <v>0</v>
      </c>
      <c r="AK52" s="531"/>
      <c r="AL52" s="47" t="s">
        <v>95</v>
      </c>
      <c r="AM52" s="47" t="s">
        <v>113</v>
      </c>
      <c r="AN52" s="47" t="s">
        <v>108</v>
      </c>
      <c r="AO52" s="47" t="s">
        <v>111</v>
      </c>
      <c r="AP52" s="47" t="s">
        <v>109</v>
      </c>
      <c r="AQ52" s="47" t="s">
        <v>112</v>
      </c>
      <c r="AR52" s="47" t="s">
        <v>116</v>
      </c>
      <c r="AS52" s="47" t="s">
        <v>117</v>
      </c>
      <c r="AT52" s="47" t="s">
        <v>1483</v>
      </c>
      <c r="AU52" s="47"/>
      <c r="AV52" s="47"/>
      <c r="AX52" s="47" t="s">
        <v>95</v>
      </c>
      <c r="AY52" s="47" t="s">
        <v>113</v>
      </c>
      <c r="AZ52" s="47" t="s">
        <v>108</v>
      </c>
      <c r="BA52" s="47" t="s">
        <v>111</v>
      </c>
      <c r="BB52" s="47" t="s">
        <v>109</v>
      </c>
      <c r="BC52" s="47" t="s">
        <v>112</v>
      </c>
      <c r="BD52" s="47" t="s">
        <v>116</v>
      </c>
      <c r="BE52" s="47" t="s">
        <v>117</v>
      </c>
      <c r="BF52" s="47" t="s">
        <v>1483</v>
      </c>
      <c r="BG52" s="47"/>
      <c r="BH52" s="47"/>
      <c r="BJ52" s="47" t="s">
        <v>95</v>
      </c>
      <c r="BK52" s="47" t="s">
        <v>113</v>
      </c>
      <c r="BL52" s="47" t="s">
        <v>108</v>
      </c>
      <c r="BM52" s="47" t="s">
        <v>111</v>
      </c>
      <c r="BN52" s="47" t="s">
        <v>109</v>
      </c>
      <c r="BO52" s="47" t="s">
        <v>112</v>
      </c>
      <c r="BP52" s="47" t="s">
        <v>116</v>
      </c>
      <c r="BQ52" s="47" t="s">
        <v>117</v>
      </c>
      <c r="BR52" s="47" t="s">
        <v>1483</v>
      </c>
      <c r="BS52" s="47"/>
      <c r="BT52" s="47"/>
      <c r="ES52" s="561" t="str">
        <f>VLOOKUP(921,Sprachindex!$A:$Z,Info!$O$7,FALSE)</f>
        <v>Überbügel</v>
      </c>
      <c r="ET52" s="562"/>
      <c r="EU52" s="562"/>
      <c r="EV52" s="562"/>
      <c r="EW52" s="562"/>
      <c r="EX52" s="352">
        <v>5.46</v>
      </c>
      <c r="EY52" s="326"/>
      <c r="EZ52" s="344">
        <v>4.74</v>
      </c>
      <c r="FA52" s="343"/>
      <c r="FB52" s="326"/>
      <c r="FC52" s="344"/>
      <c r="FD52" s="343"/>
      <c r="FE52" s="326"/>
      <c r="FF52" s="344"/>
      <c r="FG52" s="343"/>
      <c r="FH52" s="326"/>
      <c r="FI52" s="344"/>
      <c r="FJ52" s="343"/>
      <c r="FK52" s="326"/>
      <c r="FL52" s="344"/>
      <c r="FM52" s="343"/>
      <c r="FN52" s="326"/>
      <c r="FO52" s="344"/>
      <c r="FP52" s="343"/>
      <c r="FQ52" s="326"/>
      <c r="FR52" s="344"/>
      <c r="FS52" s="343"/>
      <c r="FT52" s="326"/>
      <c r="FU52" s="344"/>
      <c r="FV52" s="343"/>
      <c r="FW52" s="326"/>
      <c r="FX52" s="344"/>
      <c r="FY52" s="343"/>
      <c r="FZ52" s="326"/>
      <c r="GA52" s="344"/>
      <c r="GB52" s="343"/>
      <c r="GC52" s="326"/>
      <c r="GD52" s="344"/>
      <c r="GE52" s="343"/>
      <c r="GF52" s="326"/>
      <c r="GG52" s="344"/>
      <c r="GH52" s="343"/>
      <c r="GI52" s="326"/>
      <c r="GJ52" s="344"/>
      <c r="GK52" s="343"/>
      <c r="GL52" s="326"/>
      <c r="GM52" s="344"/>
      <c r="GN52" s="343"/>
      <c r="GO52" s="326"/>
      <c r="GP52" s="353"/>
      <c r="GQ52" s="126" t="str">
        <f>IF($O$21=9,EZ52,IF(OR($O$21=1,$O$21=2,$O$21=6),EX52,"  "))</f>
        <v xml:space="preserve">  </v>
      </c>
      <c r="GV52" s="334" t="str">
        <f>GQ52</f>
        <v xml:space="preserve">  </v>
      </c>
    </row>
    <row r="53" spans="1:204" ht="32.1" customHeight="1">
      <c r="A53" s="109"/>
      <c r="B53" s="79" t="str">
        <f>VLOOKUP(1512,Sprachindex!$A:$Z,Info!$O$7,FALSE)</f>
        <v>lfm</v>
      </c>
      <c r="C53" s="78"/>
      <c r="D53" s="78" t="str">
        <f>IF($O$24=1,AJ53,IF($O$24=2,"",IF($O$24=3,AV53,IF($O$24=4,BH53,IF($O$24=5,BT53,"")))))</f>
        <v/>
      </c>
      <c r="E53" s="561" t="str">
        <f>VLOOKUP(2230,Sprachindex!$A:$Z,Info!$O$7,FALSE)</f>
        <v>Kastenrinne 3 m</v>
      </c>
      <c r="F53" s="562"/>
      <c r="G53" s="562"/>
      <c r="H53" s="562"/>
      <c r="I53" s="562"/>
      <c r="J53" s="627" t="str">
        <f>Formeln!B207</f>
        <v>Dimension nicht möglich</v>
      </c>
      <c r="K53" s="628"/>
      <c r="L53" s="171" t="str">
        <f t="shared" si="5"/>
        <v xml:space="preserve"> </v>
      </c>
      <c r="M53" s="440" t="str">
        <f t="shared" si="2"/>
        <v>lfm</v>
      </c>
      <c r="N53" s="80"/>
      <c r="O53" s="202" t="str">
        <f t="shared" si="6"/>
        <v xml:space="preserve"> </v>
      </c>
      <c r="R53" s="195"/>
      <c r="S53" s="195"/>
      <c r="T53" s="195"/>
      <c r="U53" s="1"/>
      <c r="V53" s="149" t="e">
        <f>ROUNDUP($A53/$X53,0)*$X53</f>
        <v>#VALUE!</v>
      </c>
      <c r="W53" s="149">
        <f>ROUNDUP($A53/$Y53,0)*$Y53</f>
        <v>0</v>
      </c>
      <c r="X53" s="149" t="str">
        <f>IF($O$24=1,6,IF($O$24=2,"",IF($O$24=3,6,IF($O$24=4,6,IF($O$24=5,3,"")))))</f>
        <v/>
      </c>
      <c r="Y53" s="149">
        <v>3</v>
      </c>
      <c r="Z53" s="58">
        <v>573210</v>
      </c>
      <c r="AA53" s="58">
        <v>573213</v>
      </c>
      <c r="AB53" s="58">
        <v>573212</v>
      </c>
      <c r="AC53" s="59"/>
      <c r="AD53" s="58">
        <v>573211</v>
      </c>
      <c r="AE53" s="59"/>
      <c r="AF53" s="59"/>
      <c r="AG53" s="59"/>
      <c r="AH53" s="58">
        <v>573217</v>
      </c>
      <c r="AI53" s="58"/>
      <c r="AJ53" s="61">
        <f t="shared" ref="AJ53:AJ62" si="7">IF($O$21=1,AB53,IF($O$21=2,AD53,IF($O$21=3,AC53,IF($O$21=4,AE53,IF($O$21=5,AF53,IF($O$21=6,AA53,IF($O$21=7,AG53,IF($O$21=8,AH53,IF($O$21=9,Z53,0)))))))))</f>
        <v>0</v>
      </c>
      <c r="AK53" s="61" t="s">
        <v>432</v>
      </c>
      <c r="AL53">
        <v>573200</v>
      </c>
      <c r="AM53">
        <v>573202</v>
      </c>
      <c r="AN53">
        <v>573203</v>
      </c>
      <c r="AO53">
        <v>573205</v>
      </c>
      <c r="AP53">
        <v>573201</v>
      </c>
      <c r="AQ53">
        <v>573206</v>
      </c>
      <c r="AR53">
        <v>573204</v>
      </c>
      <c r="AS53">
        <v>573207</v>
      </c>
      <c r="AT53">
        <v>573215</v>
      </c>
      <c r="AU53">
        <v>573241</v>
      </c>
      <c r="AV53" s="61">
        <f>IF($O$21=1,AN53,IF($O$21=2,AP53,IF($O$21=3,AO53,IF($O$21=4,AQ53,IF($O$21=5,AR53,IF($O$21=6,AM53,IF($O$21=7,AS53,IF($O$21=8,AT53,IF($O$21=9,AL53,IF($O$21=10,AU53,0))))))))))</f>
        <v>0</v>
      </c>
      <c r="AW53" s="61" t="s">
        <v>447</v>
      </c>
      <c r="AX53" s="42" t="s">
        <v>1693</v>
      </c>
      <c r="AY53" s="42" t="s">
        <v>1694</v>
      </c>
      <c r="AZ53" s="42" t="s">
        <v>1695</v>
      </c>
      <c r="BA53" s="42"/>
      <c r="BB53" s="42" t="s">
        <v>1696</v>
      </c>
      <c r="BC53"/>
      <c r="BD53" s="42" t="s">
        <v>1697</v>
      </c>
      <c r="BE53"/>
      <c r="BF53" s="42" t="s">
        <v>1698</v>
      </c>
      <c r="BG53" s="42"/>
      <c r="BH53" s="61">
        <f>IF($O$21=1,AZ53,IF($O$21=2,BB53,IF($O$21=3,BA53,IF($O$21=4,BC53,IF($O$21=5,BD53,IF($O$21=6,AY53,IF($O$21=7,BE53,IF($O$21=8,BF53,IF($O$21=9,AX53,0)))))))))</f>
        <v>0</v>
      </c>
      <c r="BI53" s="61" t="s">
        <v>455</v>
      </c>
      <c r="BJ53" t="s">
        <v>1699</v>
      </c>
      <c r="BK53" t="s">
        <v>1700</v>
      </c>
      <c r="BL53" t="s">
        <v>1701</v>
      </c>
      <c r="BM53"/>
      <c r="BN53" t="s">
        <v>1700</v>
      </c>
      <c r="BO53"/>
      <c r="BP53"/>
      <c r="BQ53"/>
      <c r="BR53"/>
      <c r="BS53"/>
      <c r="BT53" s="61">
        <f>IF($O$21=1,BL53,IF($O$21=2,BN53,IF($O$21=3,BM53,IF($O$21=4,BO53,IF($O$21=5,BP53,IF($O$21=6,BK53,IF($O$21=7,BQ53,IF($O$21=8,BR53,IF($O$21=9,BJ53,0)))))))))</f>
        <v>0</v>
      </c>
      <c r="BU53" s="61" t="s">
        <v>1702</v>
      </c>
      <c r="ES53" s="561" t="str">
        <f>VLOOKUP(2230,Sprachindex!$A:$Z,Info!$O$7,FALSE)</f>
        <v>Kastenrinne 3 m</v>
      </c>
      <c r="ET53" s="562"/>
      <c r="EU53" s="562"/>
      <c r="EV53" s="562"/>
      <c r="EW53" s="562"/>
      <c r="EX53" s="352"/>
      <c r="EY53" s="326"/>
      <c r="EZ53" s="344"/>
      <c r="FA53" s="380">
        <v>16.38</v>
      </c>
      <c r="FB53" s="326"/>
      <c r="FC53" s="361">
        <v>14.36</v>
      </c>
      <c r="FD53" s="343"/>
      <c r="FE53" s="326"/>
      <c r="FF53" s="344"/>
      <c r="FG53" s="343"/>
      <c r="FH53" s="326"/>
      <c r="FI53" s="344"/>
      <c r="FJ53" s="343"/>
      <c r="FK53" s="326"/>
      <c r="FL53" s="344"/>
      <c r="FM53" s="343"/>
      <c r="FN53" s="326"/>
      <c r="FO53" s="344"/>
      <c r="FP53" s="343"/>
      <c r="FQ53" s="326"/>
      <c r="FR53" s="344"/>
      <c r="FS53" s="371">
        <v>16.84</v>
      </c>
      <c r="FT53" s="326"/>
      <c r="FU53" s="373">
        <v>15.05</v>
      </c>
      <c r="FV53" s="343"/>
      <c r="FW53" s="326"/>
      <c r="FX53" s="344"/>
      <c r="FY53" s="343"/>
      <c r="FZ53" s="326"/>
      <c r="GA53" s="344"/>
      <c r="GB53" s="377">
        <v>23.3</v>
      </c>
      <c r="GC53" s="326"/>
      <c r="GD53" s="379">
        <v>19.940000000000001</v>
      </c>
      <c r="GE53" s="343"/>
      <c r="GF53" s="326"/>
      <c r="GG53" s="344"/>
      <c r="GH53" s="343"/>
      <c r="GI53" s="326"/>
      <c r="GJ53" s="344"/>
      <c r="GK53" s="398">
        <v>35.64</v>
      </c>
      <c r="GL53" s="326"/>
      <c r="GM53" s="399">
        <v>32.64</v>
      </c>
      <c r="GN53" s="343"/>
      <c r="GO53" s="326"/>
      <c r="GP53" s="353"/>
      <c r="GQ53" s="333" t="str">
        <f>IF(OR($O$21=1,$O$21=2,$O$21=6,$O$21=8),FA53,IF($O$21=9,FC53," "))</f>
        <v xml:space="preserve"> </v>
      </c>
      <c r="GS53" s="331">
        <f>IF($O$21=9,FU53,FS53)</f>
        <v>16.84</v>
      </c>
      <c r="GT53" s="330" t="str">
        <f>IF(OR($O$21=1,$O$21=2,$O$21=6,$O$21=5,$O$21=8),GB53,IF($O$21=9,GD53," "))</f>
        <v xml:space="preserve"> </v>
      </c>
      <c r="GU53" s="341" t="str">
        <f>IF(OR($O$21=1,$O$21=2,$O$21=6),GK53,IF($O$21=9,GM53," "))</f>
        <v xml:space="preserve"> </v>
      </c>
      <c r="GV53" s="342" t="str">
        <f>IF($O$24=1,GQ53,IF($O$24=3,GS53,IF($O$24=4,GT53,IF($O$24=5,GU53," "))))</f>
        <v xml:space="preserve"> </v>
      </c>
    </row>
    <row r="54" spans="1:204" ht="32.1" customHeight="1">
      <c r="A54" s="109"/>
      <c r="B54" s="79" t="s">
        <v>456</v>
      </c>
      <c r="C54" s="78"/>
      <c r="D54" s="78" t="str">
        <f>IF($O$24=1,AJ54,IF($O$24=2,"",IF($O$24=3,AV54,IF($O$24=4,BH54,IF($O$24=5,BT54,"")))))</f>
        <v/>
      </c>
      <c r="E54" s="561" t="str">
        <f>IF(Info!V7=2,VLOOKUP(2231,Sprachindex!$A:$Z,Info!$O$7,FALSE),VLOOKUP(2232,Sprachindex!$A:$Z,Info!$O$7,FALSE))</f>
        <v>Kastenrinne 6 m</v>
      </c>
      <c r="F54" s="562"/>
      <c r="G54" s="562"/>
      <c r="H54" s="562"/>
      <c r="I54" s="562"/>
      <c r="J54" s="627" t="str">
        <f>Formeln!B206</f>
        <v>Dimension nicht möglich</v>
      </c>
      <c r="K54" s="628"/>
      <c r="L54" s="171" t="str">
        <f t="shared" si="5"/>
        <v xml:space="preserve"> </v>
      </c>
      <c r="M54" s="440" t="str">
        <f t="shared" si="2"/>
        <v>lfm</v>
      </c>
      <c r="N54" s="80"/>
      <c r="O54" s="202" t="str">
        <f t="shared" si="6"/>
        <v xml:space="preserve"> </v>
      </c>
      <c r="R54" s="195"/>
      <c r="S54" s="195"/>
      <c r="T54" s="195"/>
      <c r="U54" s="1"/>
      <c r="V54" s="149" t="e">
        <f>ROUNDUP($A54/$X54,0)*$X54</f>
        <v>#VALUE!</v>
      </c>
      <c r="W54" s="149">
        <f>ROUNDUP($A54/$Y54,0)*$Y54</f>
        <v>0</v>
      </c>
      <c r="X54" s="149" t="str">
        <f>IF($O$24=1,IF(Info!V7=1,10,12),IF($O$24=2,"",IF($O$24=3,IF(Info!V7=1,10,12),IF($O$24=4,IF(Info!V7=1,10,12),IF($O$24=5,6,"")))))</f>
        <v/>
      </c>
      <c r="Y54" s="149">
        <f>IF(Info!V7=2,5,6)</f>
        <v>6</v>
      </c>
      <c r="Z54" s="58">
        <v>573009</v>
      </c>
      <c r="AA54" s="58">
        <v>573012</v>
      </c>
      <c r="AB54" s="58">
        <v>573010</v>
      </c>
      <c r="AC54" s="59"/>
      <c r="AD54" s="58">
        <v>573011</v>
      </c>
      <c r="AE54" s="59"/>
      <c r="AF54" s="59"/>
      <c r="AG54" s="59"/>
      <c r="AH54" s="58">
        <v>573026</v>
      </c>
      <c r="AI54" s="58"/>
      <c r="AJ54" s="61">
        <f t="shared" si="7"/>
        <v>0</v>
      </c>
      <c r="AK54" s="61" t="s">
        <v>464</v>
      </c>
      <c r="AL54">
        <v>573002</v>
      </c>
      <c r="AM54">
        <v>573001</v>
      </c>
      <c r="AN54">
        <v>573003</v>
      </c>
      <c r="AO54">
        <v>573017</v>
      </c>
      <c r="AP54">
        <v>573007</v>
      </c>
      <c r="AQ54">
        <v>573019</v>
      </c>
      <c r="AR54">
        <v>573016</v>
      </c>
      <c r="AS54">
        <v>573015</v>
      </c>
      <c r="AT54">
        <v>573024</v>
      </c>
      <c r="AU54">
        <v>573041</v>
      </c>
      <c r="AV54" s="61">
        <f>IF($O$21=1,AN54,IF($O$21=2,AP54,IF($O$21=3,AO54,IF($O$21=4,AQ54,IF($O$21=5,AR54,IF($O$21=6,AM54,IF($O$21=7,AS54,IF($O$21=8,AT54,IF($O$21=9,AL54,IF($O$21=10,AU54,0))))))))))</f>
        <v>0</v>
      </c>
      <c r="AW54" s="61" t="s">
        <v>480</v>
      </c>
      <c r="AX54">
        <v>573005</v>
      </c>
      <c r="AY54">
        <v>573004</v>
      </c>
      <c r="AZ54">
        <v>573006</v>
      </c>
      <c r="BA54" s="59"/>
      <c r="BB54">
        <v>573014</v>
      </c>
      <c r="BC54" s="59"/>
      <c r="BD54">
        <v>573030</v>
      </c>
      <c r="BE54" s="59"/>
      <c r="BF54" s="42">
        <v>573033</v>
      </c>
      <c r="BG54" s="42"/>
      <c r="BH54" s="61">
        <f>IF($O$21=1,AZ54,IF($O$21=2,BB54,IF($O$21=3,BA54,IF($O$21=4,BC54,IF($O$21=5,BD54,IF($O$21=6,AY54,IF($O$21=7,BE54,IF($O$21=8,BF54,IF($O$21=9,AX54,0)))))))))</f>
        <v>0</v>
      </c>
      <c r="BI54" s="61" t="s">
        <v>488</v>
      </c>
      <c r="BJ54">
        <v>573304</v>
      </c>
      <c r="BK54">
        <v>573303</v>
      </c>
      <c r="BL54">
        <v>573301</v>
      </c>
      <c r="BM54" s="59"/>
      <c r="BN54">
        <v>573302</v>
      </c>
      <c r="BO54" s="59"/>
      <c r="BP54" s="59"/>
      <c r="BQ54" s="59"/>
      <c r="BR54" s="59"/>
      <c r="BS54" s="59"/>
      <c r="BT54" s="61">
        <f>IF($O$21=1,BL54,IF($O$21=2,BN54,IF($O$21=3,BM54,IF($O$21=4,BO54,IF($O$21=5,BP54,IF($O$21=6,BK54,IF($O$21=7,BQ54,IF($O$21=8,BR54,IF($O$21=9,BJ54,0)))))))))</f>
        <v>0</v>
      </c>
      <c r="BU54" s="61" t="s">
        <v>1703</v>
      </c>
      <c r="BV54"/>
      <c r="BW54"/>
      <c r="BX54"/>
      <c r="BZ54"/>
      <c r="CF54" s="139"/>
      <c r="CG54" s="139"/>
      <c r="CH54"/>
      <c r="CI54"/>
      <c r="CJ54"/>
      <c r="CK54"/>
      <c r="CL54"/>
      <c r="CM54"/>
      <c r="CN54"/>
      <c r="CO54"/>
      <c r="CP54"/>
      <c r="CQ54" s="139"/>
      <c r="CR54" s="139"/>
      <c r="CS54"/>
      <c r="CT54"/>
      <c r="CU54"/>
      <c r="CW54"/>
      <c r="DD54" s="139"/>
      <c r="DE54" s="139"/>
      <c r="DF54"/>
      <c r="DG54"/>
      <c r="DH54"/>
      <c r="DJ54"/>
      <c r="DR54" s="139"/>
      <c r="DS54" s="139"/>
      <c r="ES54" s="561" t="str">
        <f>IF(Info!FX7=1,VLOOKUP(2231,Sprachindex!$A:$Z,Info!$O$7,FALSE),VLOOKUP(2232,Sprachindex!$A:$Z,Info!$O$7,FALSE))</f>
        <v>Kastenrinne 6 m</v>
      </c>
      <c r="ET54" s="562"/>
      <c r="EU54" s="562"/>
      <c r="EV54" s="562"/>
      <c r="EW54" s="562"/>
      <c r="EX54" s="352"/>
      <c r="EY54" s="326"/>
      <c r="EZ54" s="344"/>
      <c r="FA54" s="380">
        <v>16.38</v>
      </c>
      <c r="FB54" s="326"/>
      <c r="FC54" s="361">
        <v>14.36</v>
      </c>
      <c r="FD54" s="343"/>
      <c r="FE54" s="326"/>
      <c r="FF54" s="344"/>
      <c r="FG54" s="343"/>
      <c r="FH54" s="326"/>
      <c r="FI54" s="344"/>
      <c r="FJ54" s="343"/>
      <c r="FK54" s="326"/>
      <c r="FL54" s="344"/>
      <c r="FM54" s="343"/>
      <c r="FN54" s="326"/>
      <c r="FO54" s="344"/>
      <c r="FP54" s="343"/>
      <c r="FQ54" s="326"/>
      <c r="FR54" s="344"/>
      <c r="FS54" s="371">
        <v>16.84</v>
      </c>
      <c r="FT54" s="326"/>
      <c r="FU54" s="373">
        <v>15.05</v>
      </c>
      <c r="FV54" s="343"/>
      <c r="FW54" s="326"/>
      <c r="FX54" s="344"/>
      <c r="FY54" s="343"/>
      <c r="FZ54" s="326"/>
      <c r="GA54" s="344"/>
      <c r="GB54" s="377">
        <v>23.3</v>
      </c>
      <c r="GC54" s="326"/>
      <c r="GD54" s="379">
        <v>19.940000000000001</v>
      </c>
      <c r="GE54" s="343"/>
      <c r="GF54" s="326"/>
      <c r="GG54" s="344"/>
      <c r="GH54" s="343"/>
      <c r="GI54" s="326"/>
      <c r="GJ54" s="344"/>
      <c r="GK54" s="398">
        <v>35.64</v>
      </c>
      <c r="GL54" s="326"/>
      <c r="GM54" s="399">
        <v>32.64</v>
      </c>
      <c r="GN54" s="343"/>
      <c r="GO54" s="326"/>
      <c r="GP54" s="353"/>
      <c r="GQ54" s="333" t="str">
        <f>IF(OR($O$21=1,$O$21=2,$O$21=6,$O$21=8),FA54,IF($O$21=9,FC54," "))</f>
        <v xml:space="preserve"> </v>
      </c>
      <c r="GS54" s="331">
        <f>IF($O$21=9,FU54,FS54)</f>
        <v>16.84</v>
      </c>
      <c r="GT54" s="330" t="str">
        <f>IF(OR($O$21=1,$O$21=2,$O$21=6,$O$21=5,$O$21=8),GB54,IF($O$21=9,GD54," "))</f>
        <v xml:space="preserve"> </v>
      </c>
      <c r="GU54" s="341" t="str">
        <f>IF(OR($O$21=1,$O$21=2,$O$21=6),GK54,IF($O$21=9,GM54," "))</f>
        <v xml:space="preserve"> </v>
      </c>
      <c r="GV54" s="342" t="str">
        <f>IF($O$24=1,GQ54,IF($O$24=3,GS54,IF($O$24=4,GT54,IF($O$24=5,GU54," "))))</f>
        <v xml:space="preserve"> </v>
      </c>
    </row>
    <row r="55" spans="1:204" ht="32.1" customHeight="1">
      <c r="A55" s="109"/>
      <c r="B55" s="79" t="str">
        <f>VLOOKUP(878,Sprachindex!$A:$Z,Info!$O$7,FALSE)</f>
        <v>Stk.</v>
      </c>
      <c r="C55" s="78"/>
      <c r="D55" s="78">
        <f>IF(O24=1,AJ55,IF(O24=3,AV55,IF(O24=4,AJ55,IF(O24=4,BH55,IF(O24=5,BT55,0)))))</f>
        <v>0</v>
      </c>
      <c r="E55" s="561" t="str">
        <f>VLOOKUP(713,Sprachindex!$A:$Z,Info!$O$7,FALSE)</f>
        <v>Rinnenhaken für Kastenrinne</v>
      </c>
      <c r="F55" s="562"/>
      <c r="G55" s="562"/>
      <c r="H55" s="562"/>
      <c r="I55" s="629"/>
      <c r="J55" s="627" t="str">
        <f>Formeln!A210</f>
        <v/>
      </c>
      <c r="K55" s="628"/>
      <c r="L55" s="79" t="str">
        <f t="shared" si="5"/>
        <v xml:space="preserve"> </v>
      </c>
      <c r="M55" s="440" t="str">
        <f t="shared" si="2"/>
        <v>Stk.</v>
      </c>
      <c r="N55" s="80"/>
      <c r="O55" s="202" t="str">
        <f t="shared" si="6"/>
        <v xml:space="preserve"> </v>
      </c>
      <c r="R55" s="195"/>
      <c r="S55" s="195"/>
      <c r="T55" s="195"/>
      <c r="U55" s="1"/>
      <c r="V55" s="149" t="e">
        <f t="shared" ref="V55:W62" si="8">ROUNDUP($A55/X55,0)*X55</f>
        <v>#VALUE!</v>
      </c>
      <c r="W55" s="149" t="e">
        <f t="shared" si="8"/>
        <v>#VALUE!</v>
      </c>
      <c r="X55" s="149" t="str">
        <f>IF(OR($O$24=1,$O$24=3),30,IF(OR($O$24=4,$O$24=5),20,""))</f>
        <v/>
      </c>
      <c r="Y55" s="149" t="str">
        <f>IF(OR($O$24=1,$O$24=3,$O$24=4,$O$24=5),1,"")</f>
        <v/>
      </c>
      <c r="Z55" s="58">
        <v>525012</v>
      </c>
      <c r="AA55" s="58">
        <v>525015</v>
      </c>
      <c r="AB55" s="58">
        <v>525013</v>
      </c>
      <c r="AC55" s="59"/>
      <c r="AD55" s="58">
        <v>525014</v>
      </c>
      <c r="AE55" s="59"/>
      <c r="AF55" s="59"/>
      <c r="AG55" s="59"/>
      <c r="AH55" s="58">
        <v>525041</v>
      </c>
      <c r="AI55" s="58"/>
      <c r="AJ55" s="61">
        <f t="shared" si="7"/>
        <v>0</v>
      </c>
      <c r="AK55" s="61" t="s">
        <v>847</v>
      </c>
      <c r="AL55">
        <v>525001</v>
      </c>
      <c r="AM55">
        <v>525002</v>
      </c>
      <c r="AN55">
        <v>525006</v>
      </c>
      <c r="AO55">
        <v>525011</v>
      </c>
      <c r="AP55">
        <v>525007</v>
      </c>
      <c r="AQ55">
        <v>525017</v>
      </c>
      <c r="AR55">
        <v>525010</v>
      </c>
      <c r="AS55">
        <v>525018</v>
      </c>
      <c r="AT55">
        <v>525020</v>
      </c>
      <c r="AU55">
        <v>525021</v>
      </c>
      <c r="AV55" s="61">
        <f>IF($O$21=1,AN55,IF($O$21=2,AP55,IF($O$21=3,AO55,IF($O$21=4,AQ55,IF($O$21=5,AR55,IF($O$21=6,AM55,IF($O$21=7,AS55,IF($O$21=8,AT55,IF($O$21=9,AL55,IF($O$21=10,AU55,0))))))))))</f>
        <v>0</v>
      </c>
      <c r="AW55" s="61" t="s">
        <v>577</v>
      </c>
      <c r="AX55">
        <v>525003</v>
      </c>
      <c r="AY55">
        <v>525004</v>
      </c>
      <c r="AZ55">
        <v>525005</v>
      </c>
      <c r="BA55" s="59"/>
      <c r="BB55">
        <v>525008</v>
      </c>
      <c r="BC55" s="59"/>
      <c r="BD55">
        <v>525022</v>
      </c>
      <c r="BE55" s="59"/>
      <c r="BF55" s="42">
        <v>525025</v>
      </c>
      <c r="BG55" s="42"/>
      <c r="BH55" s="61">
        <f>IF($O$21=1,AZ55,IF($O$21=2,BB55,IF($O$21=3,BA55,IF($O$21=4,BC55,IF($O$21=5,BD55,IF($O$21=6,AY55,IF($O$21=7,BE55,IF($O$21=8,BF55,IF($O$21=9,AX55,0)))))))))</f>
        <v>0</v>
      </c>
      <c r="BI55" s="61" t="s">
        <v>862</v>
      </c>
      <c r="BJ55">
        <v>525030</v>
      </c>
      <c r="BK55">
        <v>525033</v>
      </c>
      <c r="BL55">
        <v>525031</v>
      </c>
      <c r="BM55" s="59"/>
      <c r="BN55">
        <v>525032</v>
      </c>
      <c r="BO55" s="59"/>
      <c r="BP55" s="59"/>
      <c r="BQ55" s="59"/>
      <c r="BR55" s="59"/>
      <c r="BS55" s="59"/>
      <c r="BT55" s="61">
        <f>IF($O$21=1,BL55,IF($O$21=2,BN55,IF($O$21=3,BM55,IF($O$21=4,BO55,IF($O$21=5,BP55,IF($O$21=6,BK55,IF($O$21=7,BQ55,IF($O$21=8,BR55,IF($O$21=9,BJ55,0)))))))))</f>
        <v>0</v>
      </c>
      <c r="BU55" s="61" t="s">
        <v>1704</v>
      </c>
      <c r="ES55" s="561" t="str">
        <f>VLOOKUP(713,Sprachindex!$A:$Z,Info!$O$7,FALSE)</f>
        <v>Rinnenhaken für Kastenrinne</v>
      </c>
      <c r="ET55" s="562"/>
      <c r="EU55" s="562"/>
      <c r="EV55" s="562"/>
      <c r="EW55" s="562"/>
      <c r="EX55" s="352"/>
      <c r="EY55" s="326"/>
      <c r="EZ55" s="344"/>
      <c r="FA55" s="380">
        <v>8.6999999999999993</v>
      </c>
      <c r="FB55" s="326"/>
      <c r="FC55" s="361">
        <v>7.74</v>
      </c>
      <c r="FD55" s="343"/>
      <c r="FE55" s="326"/>
      <c r="FF55" s="344"/>
      <c r="FG55" s="343"/>
      <c r="FH55" s="326"/>
      <c r="FI55" s="344"/>
      <c r="FJ55" s="343"/>
      <c r="FK55" s="326"/>
      <c r="FL55" s="344"/>
      <c r="FM55" s="343"/>
      <c r="FN55" s="326"/>
      <c r="FO55" s="344"/>
      <c r="FP55" s="343"/>
      <c r="FQ55" s="326"/>
      <c r="FR55" s="344"/>
      <c r="FS55" s="371">
        <v>9.4600000000000009</v>
      </c>
      <c r="FT55" s="326"/>
      <c r="FU55" s="373">
        <v>8.06</v>
      </c>
      <c r="FV55" s="343"/>
      <c r="FW55" s="326"/>
      <c r="FX55" s="344"/>
      <c r="FY55" s="343"/>
      <c r="FZ55" s="326"/>
      <c r="GA55" s="344"/>
      <c r="GB55" s="377">
        <v>11.88</v>
      </c>
      <c r="GC55" s="326"/>
      <c r="GD55" s="379">
        <v>10.43</v>
      </c>
      <c r="GE55" s="343"/>
      <c r="GF55" s="326"/>
      <c r="GG55" s="344"/>
      <c r="GH55" s="343"/>
      <c r="GI55" s="326"/>
      <c r="GJ55" s="344"/>
      <c r="GK55" s="398">
        <v>17</v>
      </c>
      <c r="GL55" s="326"/>
      <c r="GM55" s="399">
        <v>15.65</v>
      </c>
      <c r="GN55" s="343"/>
      <c r="GO55" s="326"/>
      <c r="GP55" s="353"/>
      <c r="GQ55" s="333" t="str">
        <f>IF(OR($O$21=1,$O$21=2,$O$21=6,$O$21=8),FA55,IF($O$21=9,FC55," "))</f>
        <v xml:space="preserve"> </v>
      </c>
      <c r="GS55" s="331">
        <f>IF($O$21=9,FU55,FS55)</f>
        <v>9.4600000000000009</v>
      </c>
      <c r="GT55" s="330" t="str">
        <f>IF(OR($O$21=1,$O$21=2,$O$21=6,$O$21=5,$O$21=8),GB55,IF($O$21=9,GD55," "))</f>
        <v xml:space="preserve"> </v>
      </c>
      <c r="GU55" s="341" t="str">
        <f>IF(OR($O$21=1,$O$21=2,$O$21=6),GK55,IF($O$21=9,GM55," "))</f>
        <v xml:space="preserve"> </v>
      </c>
      <c r="GV55" s="342" t="str">
        <f>IF($O$24=1,GQ55,IF($O$24=3,GS55,IF($O$24=4,GT55,IF($O$24=5,GU55," "))))</f>
        <v xml:space="preserve"> </v>
      </c>
    </row>
    <row r="56" spans="1:204" ht="32.1" customHeight="1">
      <c r="A56" s="109"/>
      <c r="B56" s="79" t="str">
        <f>VLOOKUP(878,Sprachindex!$A:$Z,Info!$O$7,FALSE)</f>
        <v>Stk.</v>
      </c>
      <c r="C56" s="78"/>
      <c r="D56" s="78">
        <f>IF(O24=1,AJ56,IF(O24=3,AV56,0))</f>
        <v>0</v>
      </c>
      <c r="E56" s="561" t="str">
        <f>VLOOKUP(877,Sprachindex!$A:$Z,Info!$O$7,FALSE)</f>
        <v>Stirnbretthaken für Kastenrinnen</v>
      </c>
      <c r="F56" s="562"/>
      <c r="G56" s="562"/>
      <c r="H56" s="562"/>
      <c r="I56" s="562"/>
      <c r="J56" s="627" t="str">
        <f>Formeln!A218</f>
        <v/>
      </c>
      <c r="K56" s="628"/>
      <c r="L56" s="79" t="str">
        <f t="shared" si="5"/>
        <v xml:space="preserve"> </v>
      </c>
      <c r="M56" s="440" t="str">
        <f t="shared" si="2"/>
        <v>Stk.</v>
      </c>
      <c r="N56" s="80"/>
      <c r="O56" s="202" t="str">
        <f t="shared" si="6"/>
        <v xml:space="preserve"> </v>
      </c>
      <c r="R56" s="195"/>
      <c r="S56" s="195"/>
      <c r="T56" s="195"/>
      <c r="U56" s="1"/>
      <c r="V56" s="149" t="e">
        <f t="shared" si="8"/>
        <v>#VALUE!</v>
      </c>
      <c r="W56" s="149" t="e">
        <f t="shared" si="8"/>
        <v>#VALUE!</v>
      </c>
      <c r="X56" s="149" t="str">
        <f>IF(OR($O$24=1,$O$24=3),20,"")</f>
        <v/>
      </c>
      <c r="Y56" s="149" t="str">
        <f>IF(OR($O$24=1,$O$24=3),1,"")</f>
        <v/>
      </c>
      <c r="Z56" s="58">
        <v>525200</v>
      </c>
      <c r="AA56" s="58">
        <v>525232</v>
      </c>
      <c r="AB56" s="58">
        <v>525230</v>
      </c>
      <c r="AC56" s="59"/>
      <c r="AD56" s="58">
        <v>525231</v>
      </c>
      <c r="AE56" s="59"/>
      <c r="AF56" s="59"/>
      <c r="AG56" s="59"/>
      <c r="AH56" s="58">
        <v>525235</v>
      </c>
      <c r="AI56" s="58"/>
      <c r="AJ56" s="61">
        <f t="shared" si="7"/>
        <v>0</v>
      </c>
      <c r="AK56" s="61" t="s">
        <v>562</v>
      </c>
      <c r="AL56">
        <v>525201</v>
      </c>
      <c r="AM56">
        <v>525212</v>
      </c>
      <c r="AN56">
        <v>525210</v>
      </c>
      <c r="AO56">
        <v>525215</v>
      </c>
      <c r="AP56">
        <v>525211</v>
      </c>
      <c r="AQ56">
        <v>525216</v>
      </c>
      <c r="AR56">
        <v>525214</v>
      </c>
      <c r="AS56">
        <v>525217</v>
      </c>
      <c r="AT56">
        <v>525219</v>
      </c>
      <c r="AU56">
        <v>525221</v>
      </c>
      <c r="AV56" s="61">
        <f>IF($O$21=1,AN56,IF($O$21=2,AP56,IF($O$21=3,AO56,IF($O$21=4,AQ56,IF($O$21=5,AR56,IF($O$21=6,AM56,IF($O$21=7,AS56,IF($O$21=8,AT56,IF($O$21=9,AL56,IF($O$21=10,AU56,0))))))))))</f>
        <v>0</v>
      </c>
      <c r="AW56" s="61" t="s">
        <v>577</v>
      </c>
      <c r="BD56"/>
      <c r="BF56" s="42"/>
      <c r="BG56" s="42"/>
      <c r="ES56" s="561" t="str">
        <f>VLOOKUP(877,Sprachindex!$A:$Z,Info!$O$7,FALSE)</f>
        <v>Stirnbretthaken für Kastenrinnen</v>
      </c>
      <c r="ET56" s="562"/>
      <c r="EU56" s="562"/>
      <c r="EV56" s="562"/>
      <c r="EW56" s="562"/>
      <c r="EX56" s="352"/>
      <c r="EY56" s="326"/>
      <c r="EZ56" s="344"/>
      <c r="FA56" s="380">
        <v>8.5500000000000007</v>
      </c>
      <c r="FB56" s="326"/>
      <c r="FC56" s="361">
        <v>7.21</v>
      </c>
      <c r="FD56" s="343"/>
      <c r="FE56" s="326"/>
      <c r="FF56" s="344"/>
      <c r="FG56" s="343"/>
      <c r="FH56" s="326"/>
      <c r="FI56" s="344"/>
      <c r="FJ56" s="343"/>
      <c r="FK56" s="326"/>
      <c r="FL56" s="344"/>
      <c r="FM56" s="343"/>
      <c r="FN56" s="326"/>
      <c r="FO56" s="344"/>
      <c r="FP56" s="343"/>
      <c r="FQ56" s="326"/>
      <c r="FR56" s="344"/>
      <c r="FS56" s="371">
        <v>9.42</v>
      </c>
      <c r="FT56" s="326"/>
      <c r="FU56" s="373">
        <v>7.48</v>
      </c>
      <c r="FV56" s="343"/>
      <c r="FW56" s="326"/>
      <c r="FX56" s="344"/>
      <c r="FY56" s="343"/>
      <c r="FZ56" s="326"/>
      <c r="GA56" s="344"/>
      <c r="GB56" s="343"/>
      <c r="GC56" s="326"/>
      <c r="GD56" s="344"/>
      <c r="GE56" s="343"/>
      <c r="GF56" s="326"/>
      <c r="GG56" s="344"/>
      <c r="GH56" s="343"/>
      <c r="GI56" s="326"/>
      <c r="GJ56" s="344"/>
      <c r="GK56" s="343"/>
      <c r="GL56" s="326"/>
      <c r="GM56" s="344"/>
      <c r="GN56" s="343"/>
      <c r="GO56" s="326"/>
      <c r="GP56" s="353"/>
      <c r="GQ56" s="333" t="str">
        <f>IF(OR($O$21=1,$O$21=2,$O$21=6,$O$21=8),FA56,IF($O$21=9,FC56," "))</f>
        <v xml:space="preserve"> </v>
      </c>
      <c r="GS56" s="331">
        <f>IF($O$21=9,FU56,FS56)</f>
        <v>9.42</v>
      </c>
      <c r="GV56" s="342" t="str">
        <f>IF($O$24=1,GQ56,IF($O$24=3,GS56," "))</f>
        <v xml:space="preserve"> </v>
      </c>
    </row>
    <row r="57" spans="1:204" ht="32.1" customHeight="1">
      <c r="A57" s="109"/>
      <c r="B57" s="79" t="str">
        <f>VLOOKUP(878,Sprachindex!$A:$Z,Info!$O$7,FALSE)</f>
        <v>Stk.</v>
      </c>
      <c r="C57" s="78"/>
      <c r="D57" s="78">
        <f>IF(O24=1,AJ57,IF(O24=3,AV57,IF(O24=4,BH57,0)))</f>
        <v>0</v>
      </c>
      <c r="E57" s="561" t="str">
        <f>VLOOKUP(519,Sprachindex!$A:$Z,Info!$O$7,FALSE)</f>
        <v>Kastenrinnenendboden</v>
      </c>
      <c r="F57" s="562"/>
      <c r="G57" s="562"/>
      <c r="H57" s="562"/>
      <c r="I57" s="562"/>
      <c r="J57" s="627" t="str">
        <f>Formeln!A222</f>
        <v/>
      </c>
      <c r="K57" s="628"/>
      <c r="L57" s="79" t="str">
        <f t="shared" si="5"/>
        <v xml:space="preserve"> </v>
      </c>
      <c r="M57" s="440" t="str">
        <f t="shared" si="2"/>
        <v>Stk.</v>
      </c>
      <c r="N57" s="80"/>
      <c r="O57" s="202" t="str">
        <f t="shared" si="6"/>
        <v xml:space="preserve"> </v>
      </c>
      <c r="R57" s="195"/>
      <c r="S57" s="195"/>
      <c r="T57" s="195"/>
      <c r="U57" s="1"/>
      <c r="V57" s="149" t="e">
        <f t="shared" si="8"/>
        <v>#VALUE!</v>
      </c>
      <c r="W57" s="149" t="e">
        <f t="shared" si="8"/>
        <v>#VALUE!</v>
      </c>
      <c r="X57" s="149" t="str">
        <f>IF(OR($O$24=1,$O$24=3,$O$24=4),50,"")</f>
        <v/>
      </c>
      <c r="Y57" s="149" t="str">
        <f>IF(OR($O$24=1,$O$24=3,$O$24=4),1,"")</f>
        <v/>
      </c>
      <c r="Z57" s="58">
        <v>540009</v>
      </c>
      <c r="AA57" s="58">
        <v>540013</v>
      </c>
      <c r="AB57" s="58">
        <v>540011</v>
      </c>
      <c r="AC57" s="59"/>
      <c r="AD57" s="58">
        <v>540012</v>
      </c>
      <c r="AE57" s="59"/>
      <c r="AF57" s="59"/>
      <c r="AG57" s="59"/>
      <c r="AH57" s="58">
        <v>540023</v>
      </c>
      <c r="AI57" s="58"/>
      <c r="AJ57" s="61">
        <f t="shared" si="7"/>
        <v>0</v>
      </c>
      <c r="AK57" s="61" t="s">
        <v>619</v>
      </c>
      <c r="AL57">
        <v>540003</v>
      </c>
      <c r="AM57">
        <v>540004</v>
      </c>
      <c r="AN57">
        <v>540006</v>
      </c>
      <c r="AO57">
        <v>540016</v>
      </c>
      <c r="AP57">
        <v>540007</v>
      </c>
      <c r="AQ57">
        <v>540017</v>
      </c>
      <c r="AR57">
        <v>540015</v>
      </c>
      <c r="AS57">
        <v>540018</v>
      </c>
      <c r="AT57">
        <v>540020</v>
      </c>
      <c r="AU57">
        <v>540022</v>
      </c>
      <c r="AV57" s="61">
        <f>IF($O$21=1,AN57,IF($O$21=2,AP57,IF($O$21=3,AO57,IF($O$21=4,AQ57,IF($O$21=5,AR57,IF($O$21=6,AM57,IF($O$21=7,AS57,IF($O$21=8,AT57,IF($O$21=9,AL57,IF($O$21=10,AU57,0))))))))))</f>
        <v>0</v>
      </c>
      <c r="AW57" s="61" t="s">
        <v>634</v>
      </c>
      <c r="AX57">
        <v>540001</v>
      </c>
      <c r="AY57">
        <v>540002</v>
      </c>
      <c r="AZ57">
        <v>540005</v>
      </c>
      <c r="BA57" s="59"/>
      <c r="BB57">
        <v>540008</v>
      </c>
      <c r="BC57" s="59"/>
      <c r="BD57">
        <v>540024</v>
      </c>
      <c r="BE57" s="59"/>
      <c r="BF57" s="42">
        <v>540027</v>
      </c>
      <c r="BG57" s="42"/>
      <c r="BH57" s="61">
        <f>IF($O$21=1,AZ57,IF($O$21=2,BB57,IF($O$21=3,BA57,IF($O$21=4,BC57,IF($O$21=5,BD57,IF($O$21=6,AY57,IF($O$21=7,BE57,IF($O$21=8,BF57,IF($O$21=9,AX57,0)))))))))</f>
        <v>0</v>
      </c>
      <c r="BI57" s="61" t="s">
        <v>642</v>
      </c>
      <c r="ES57" s="561" t="str">
        <f>VLOOKUP(519,Sprachindex!$A:$Z,Info!$O$7,FALSE)</f>
        <v>Kastenrinnenendboden</v>
      </c>
      <c r="ET57" s="562"/>
      <c r="EU57" s="562"/>
      <c r="EV57" s="562"/>
      <c r="EW57" s="562"/>
      <c r="EX57" s="352"/>
      <c r="EY57" s="326"/>
      <c r="EZ57" s="344"/>
      <c r="FA57" s="380">
        <v>4.75</v>
      </c>
      <c r="FB57" s="326"/>
      <c r="FC57" s="361">
        <v>4.12</v>
      </c>
      <c r="FD57" s="343"/>
      <c r="FE57" s="326"/>
      <c r="FF57" s="344"/>
      <c r="FG57" s="343"/>
      <c r="FH57" s="326"/>
      <c r="FI57" s="344"/>
      <c r="FJ57" s="343"/>
      <c r="FK57" s="326"/>
      <c r="FL57" s="344"/>
      <c r="FM57" s="343"/>
      <c r="FN57" s="326"/>
      <c r="FO57" s="344"/>
      <c r="FP57" s="343"/>
      <c r="FQ57" s="326"/>
      <c r="FR57" s="344"/>
      <c r="FS57" s="371">
        <v>4.9400000000000004</v>
      </c>
      <c r="FT57" s="326"/>
      <c r="FU57" s="373">
        <v>4.43</v>
      </c>
      <c r="FV57" s="343"/>
      <c r="FW57" s="326"/>
      <c r="FX57" s="344"/>
      <c r="FY57" s="343"/>
      <c r="FZ57" s="326"/>
      <c r="GA57" s="344"/>
      <c r="GB57" s="377">
        <v>5.69</v>
      </c>
      <c r="GC57" s="326"/>
      <c r="GD57" s="379">
        <v>5.05</v>
      </c>
      <c r="GE57" s="343"/>
      <c r="GF57" s="326"/>
      <c r="GG57" s="344"/>
      <c r="GH57" s="343"/>
      <c r="GI57" s="326"/>
      <c r="GJ57" s="344"/>
      <c r="GK57" s="343"/>
      <c r="GL57" s="326"/>
      <c r="GM57" s="344"/>
      <c r="GN57" s="343"/>
      <c r="GO57" s="326"/>
      <c r="GP57" s="353"/>
      <c r="GQ57" s="333" t="str">
        <f>IF(OR($O$21=1,$O$21=2,$O$21=6,$O$21=8),FA57,IF($O$21=9,FC57," "))</f>
        <v xml:space="preserve"> </v>
      </c>
      <c r="GS57" s="331">
        <f>IF($O$21=9,FU57,FS57)</f>
        <v>4.9400000000000004</v>
      </c>
      <c r="GT57" s="330" t="str">
        <f t="shared" ref="GT57" si="9">IF(OR($O$21=1,$O$21=2,$O$21=6,$O$21=5,$O$21=8),GB57,IF($O$21=9,GD57," "))</f>
        <v xml:space="preserve"> </v>
      </c>
      <c r="GV57" s="342" t="str">
        <f>IF($O$24=1,GQ57,IF($O$24=3,GS57,IF($O$24=4,GT57," ")))</f>
        <v xml:space="preserve"> </v>
      </c>
    </row>
    <row r="58" spans="1:204" ht="32.1" customHeight="1">
      <c r="A58" s="109"/>
      <c r="B58" s="79" t="str">
        <f>VLOOKUP(878,Sprachindex!$A:$Z,Info!$O$7,FALSE)</f>
        <v>Stk.</v>
      </c>
      <c r="C58" s="78"/>
      <c r="D58" s="78">
        <f>IF($O$24=5,AJ58,0)</f>
        <v>0</v>
      </c>
      <c r="E58" s="561" t="str">
        <f>VLOOKUP(520,Sprachindex!$A:$Z,Info!$O$7,FALSE)</f>
        <v>Kastenrinnenendboden 500 (links)</v>
      </c>
      <c r="F58" s="562"/>
      <c r="G58" s="562"/>
      <c r="H58" s="562"/>
      <c r="I58" s="562"/>
      <c r="J58" s="627" t="str">
        <f>IF(O24=0,"",IF(O24=5,G29,Formeln!A177))</f>
        <v/>
      </c>
      <c r="K58" s="628"/>
      <c r="L58" s="79" t="str">
        <f t="shared" si="5"/>
        <v xml:space="preserve"> </v>
      </c>
      <c r="M58" s="440" t="str">
        <f t="shared" si="2"/>
        <v>Stk.</v>
      </c>
      <c r="N58" s="80"/>
      <c r="O58" s="202" t="str">
        <f t="shared" si="6"/>
        <v xml:space="preserve"> </v>
      </c>
      <c r="R58" s="195"/>
      <c r="S58" s="195"/>
      <c r="T58" s="195"/>
      <c r="U58" s="1"/>
      <c r="V58" s="149" t="e">
        <f t="shared" si="8"/>
        <v>#VALUE!</v>
      </c>
      <c r="W58" s="149" t="e">
        <f t="shared" si="8"/>
        <v>#VALUE!</v>
      </c>
      <c r="X58" s="149" t="str">
        <f>IF($O$24=5,2,"")</f>
        <v/>
      </c>
      <c r="Y58" s="149" t="str">
        <f>IF($O$24=5,1,"")</f>
        <v/>
      </c>
      <c r="Z58" s="58">
        <v>540035</v>
      </c>
      <c r="AA58" s="58">
        <v>540038</v>
      </c>
      <c r="AB58" s="58">
        <v>540036</v>
      </c>
      <c r="AC58" s="59"/>
      <c r="AD58" s="58">
        <v>540037</v>
      </c>
      <c r="AE58" s="59"/>
      <c r="AF58" s="59"/>
      <c r="AG58" s="59"/>
      <c r="AH58" s="59"/>
      <c r="AI58" s="59"/>
      <c r="AJ58" s="61">
        <f t="shared" si="7"/>
        <v>0</v>
      </c>
      <c r="AK58" s="61" t="s">
        <v>1705</v>
      </c>
      <c r="BF58" s="42"/>
      <c r="BG58" s="42"/>
      <c r="ES58" s="561" t="str">
        <f>VLOOKUP(520,Sprachindex!$A:$Z,Info!$O$7,FALSE)</f>
        <v>Kastenrinnenendboden 500 (links)</v>
      </c>
      <c r="ET58" s="562"/>
      <c r="EU58" s="562"/>
      <c r="EV58" s="562"/>
      <c r="EW58" s="562"/>
      <c r="EX58" s="352"/>
      <c r="EY58" s="326"/>
      <c r="EZ58" s="344"/>
      <c r="FA58" s="400">
        <v>51.44</v>
      </c>
      <c r="FB58" s="326"/>
      <c r="FC58" s="401">
        <v>46.41</v>
      </c>
      <c r="FD58" s="343"/>
      <c r="FE58" s="326"/>
      <c r="FF58" s="344"/>
      <c r="FG58" s="343"/>
      <c r="FH58" s="326"/>
      <c r="FI58" s="344"/>
      <c r="FJ58" s="343"/>
      <c r="FK58" s="326"/>
      <c r="FL58" s="344"/>
      <c r="FM58" s="343"/>
      <c r="FN58" s="326"/>
      <c r="FO58" s="344"/>
      <c r="FP58" s="343"/>
      <c r="FQ58" s="326"/>
      <c r="FR58" s="344"/>
      <c r="FS58" s="343"/>
      <c r="FT58" s="326"/>
      <c r="FU58" s="344"/>
      <c r="FV58" s="343"/>
      <c r="FW58" s="326"/>
      <c r="FX58" s="344"/>
      <c r="FY58" s="343"/>
      <c r="FZ58" s="326"/>
      <c r="GA58" s="344"/>
      <c r="GB58" s="343"/>
      <c r="GC58" s="326"/>
      <c r="GD58" s="344"/>
      <c r="GE58" s="343"/>
      <c r="GF58" s="326"/>
      <c r="GG58" s="344"/>
      <c r="GH58" s="343"/>
      <c r="GI58" s="326"/>
      <c r="GJ58" s="344"/>
      <c r="GK58" s="343"/>
      <c r="GL58" s="326"/>
      <c r="GM58" s="344"/>
      <c r="GN58" s="343"/>
      <c r="GO58" s="326"/>
      <c r="GP58" s="353"/>
      <c r="GQ58" s="126" t="str">
        <f>IF(OR($O$21=1,$O$21=2,$O$21=6),FA58,IF($O$21=9,FC58," "))</f>
        <v xml:space="preserve"> </v>
      </c>
      <c r="GV58" s="334" t="str">
        <f>GQ58</f>
        <v xml:space="preserve"> </v>
      </c>
    </row>
    <row r="59" spans="1:204" ht="32.1" customHeight="1">
      <c r="A59" s="109"/>
      <c r="B59" s="79" t="str">
        <f>VLOOKUP(878,Sprachindex!$A:$Z,Info!$O$7,FALSE)</f>
        <v>Stk.</v>
      </c>
      <c r="C59" s="78"/>
      <c r="D59" s="78">
        <f>IF($O$24=5,AJ59,0)</f>
        <v>0</v>
      </c>
      <c r="E59" s="561" t="str">
        <f>VLOOKUP(521,Sprachindex!$A:$Z,Info!$O$7,FALSE)</f>
        <v>Kastenrinnenendboden 500 (rechts)</v>
      </c>
      <c r="F59" s="562"/>
      <c r="G59" s="562"/>
      <c r="H59" s="562"/>
      <c r="I59" s="562"/>
      <c r="J59" s="627" t="str">
        <f>IF(O24=0,"",IF(O24=5,G29,Formeln!A177))</f>
        <v/>
      </c>
      <c r="K59" s="628"/>
      <c r="L59" s="79" t="str">
        <f t="shared" si="5"/>
        <v xml:space="preserve"> </v>
      </c>
      <c r="M59" s="440" t="str">
        <f t="shared" si="2"/>
        <v>Stk.</v>
      </c>
      <c r="N59" s="80"/>
      <c r="O59" s="202" t="str">
        <f t="shared" si="6"/>
        <v xml:space="preserve"> </v>
      </c>
      <c r="R59" s="195"/>
      <c r="S59" s="195"/>
      <c r="T59" s="195"/>
      <c r="U59" s="1"/>
      <c r="V59" s="149" t="e">
        <f t="shared" si="8"/>
        <v>#VALUE!</v>
      </c>
      <c r="W59" s="149" t="e">
        <f t="shared" si="8"/>
        <v>#VALUE!</v>
      </c>
      <c r="X59" s="149" t="str">
        <f>IF($O$24=5,2,"")</f>
        <v/>
      </c>
      <c r="Y59" s="149" t="str">
        <f>IF($O$24=5,1,"")</f>
        <v/>
      </c>
      <c r="Z59" s="58">
        <v>540030</v>
      </c>
      <c r="AA59" s="58">
        <v>540033</v>
      </c>
      <c r="AB59" s="58">
        <v>540031</v>
      </c>
      <c r="AC59" s="59"/>
      <c r="AD59" s="58">
        <v>540032</v>
      </c>
      <c r="AE59" s="59"/>
      <c r="AF59" s="59"/>
      <c r="AG59" s="59"/>
      <c r="AH59" s="59"/>
      <c r="AI59" s="59"/>
      <c r="AJ59" s="61">
        <f t="shared" si="7"/>
        <v>0</v>
      </c>
      <c r="AK59" s="61" t="s">
        <v>1705</v>
      </c>
      <c r="ES59" s="561" t="str">
        <f>VLOOKUP(521,Sprachindex!$A:$Z,Info!$O$7,FALSE)</f>
        <v>Kastenrinnenendboden 500 (rechts)</v>
      </c>
      <c r="ET59" s="562"/>
      <c r="EU59" s="562"/>
      <c r="EV59" s="562"/>
      <c r="EW59" s="562"/>
      <c r="EX59" s="352"/>
      <c r="EY59" s="326"/>
      <c r="EZ59" s="344"/>
      <c r="FA59" s="400">
        <v>51.44</v>
      </c>
      <c r="FB59" s="326"/>
      <c r="FC59" s="401">
        <v>46.41</v>
      </c>
      <c r="FD59" s="343"/>
      <c r="FE59" s="326"/>
      <c r="FF59" s="344"/>
      <c r="FG59" s="343"/>
      <c r="FH59" s="326"/>
      <c r="FI59" s="344"/>
      <c r="FJ59" s="343"/>
      <c r="FK59" s="326"/>
      <c r="FL59" s="344"/>
      <c r="FM59" s="343"/>
      <c r="FN59" s="326"/>
      <c r="FO59" s="344"/>
      <c r="FP59" s="343"/>
      <c r="FQ59" s="326"/>
      <c r="FR59" s="344"/>
      <c r="FS59" s="343"/>
      <c r="FT59" s="326"/>
      <c r="FU59" s="344"/>
      <c r="FV59" s="343"/>
      <c r="FW59" s="326"/>
      <c r="FX59" s="344"/>
      <c r="FY59" s="343"/>
      <c r="FZ59" s="326"/>
      <c r="GA59" s="344"/>
      <c r="GB59" s="343"/>
      <c r="GC59" s="326"/>
      <c r="GD59" s="344"/>
      <c r="GE59" s="343"/>
      <c r="GF59" s="326"/>
      <c r="GG59" s="344"/>
      <c r="GH59" s="343"/>
      <c r="GI59" s="326"/>
      <c r="GJ59" s="344"/>
      <c r="GK59" s="343"/>
      <c r="GL59" s="326"/>
      <c r="GM59" s="344"/>
      <c r="GN59" s="343"/>
      <c r="GO59" s="326"/>
      <c r="GP59" s="353"/>
      <c r="GQ59" s="126" t="str">
        <f>IF(OR($O$21=1,$O$21=2,$O$21=6),FA59,IF($O$21=9,FC59," "))</f>
        <v xml:space="preserve"> </v>
      </c>
      <c r="GV59" s="334" t="str">
        <f>GQ59</f>
        <v xml:space="preserve"> </v>
      </c>
    </row>
    <row r="60" spans="1:204" ht="32.1" customHeight="1">
      <c r="A60" s="109"/>
      <c r="B60" s="79" t="str">
        <f>VLOOKUP(878,Sprachindex!$A:$Z,Info!$O$7,FALSE)</f>
        <v>Stk.</v>
      </c>
      <c r="C60" s="78"/>
      <c r="D60" s="78">
        <f>IF($O$24=1,AJ60,IF($O$24=3,AV60,IF($O$24=4,BH60,IF($O$24=5,BT60,0))))</f>
        <v>0</v>
      </c>
      <c r="E60" s="561" t="str">
        <f>VLOOKUP(523,Sprachindex!$A:$Z,Info!$O$7,FALSE)</f>
        <v>Kastenrinnenwinkel 90° (außen)</v>
      </c>
      <c r="F60" s="562"/>
      <c r="G60" s="562"/>
      <c r="H60" s="562"/>
      <c r="I60" s="562"/>
      <c r="J60" s="627" t="str">
        <f>Formeln!A186</f>
        <v/>
      </c>
      <c r="K60" s="628"/>
      <c r="L60" s="79" t="str">
        <f t="shared" si="5"/>
        <v xml:space="preserve"> </v>
      </c>
      <c r="M60" s="440" t="str">
        <f t="shared" si="2"/>
        <v>Stk.</v>
      </c>
      <c r="N60" s="80"/>
      <c r="O60" s="202" t="str">
        <f t="shared" si="6"/>
        <v xml:space="preserve"> </v>
      </c>
      <c r="R60" s="195"/>
      <c r="S60" s="195"/>
      <c r="T60" s="195"/>
      <c r="U60" s="1"/>
      <c r="V60" s="149" t="e">
        <f t="shared" si="8"/>
        <v>#VALUE!</v>
      </c>
      <c r="W60" s="149" t="e">
        <f t="shared" si="8"/>
        <v>#VALUE!</v>
      </c>
      <c r="X60" s="149" t="str">
        <f>IF($O$24=1,4,IF($O$24=3,4,IF($O$24=4,2,IF($O$24=5,2,""))))</f>
        <v/>
      </c>
      <c r="Y60" s="149" t="str">
        <f>IF($O$24=1,1,IF($O$24=3,1,IF($O$24=4,1,IF($O$24=5,1,""))))</f>
        <v/>
      </c>
      <c r="Z60" s="58" t="s">
        <v>1706</v>
      </c>
      <c r="AA60" s="58" t="s">
        <v>1707</v>
      </c>
      <c r="AB60" s="58">
        <v>524022</v>
      </c>
      <c r="AC60" s="59"/>
      <c r="AD60" s="58">
        <v>524023</v>
      </c>
      <c r="AE60" s="59"/>
      <c r="AF60" s="59"/>
      <c r="AG60" s="59"/>
      <c r="AH60" s="58">
        <v>574071</v>
      </c>
      <c r="AI60" s="58"/>
      <c r="AJ60" s="61">
        <f t="shared" si="7"/>
        <v>0</v>
      </c>
      <c r="AK60" s="61" t="s">
        <v>619</v>
      </c>
      <c r="AL60">
        <v>524008</v>
      </c>
      <c r="AM60">
        <v>524009</v>
      </c>
      <c r="AN60">
        <v>524010</v>
      </c>
      <c r="AO60">
        <v>524029</v>
      </c>
      <c r="AP60">
        <v>524011</v>
      </c>
      <c r="AQ60">
        <v>524033</v>
      </c>
      <c r="AR60">
        <v>524027</v>
      </c>
      <c r="AS60">
        <v>524035</v>
      </c>
      <c r="AT60">
        <v>524040</v>
      </c>
      <c r="AU60">
        <v>524042</v>
      </c>
      <c r="AV60" s="61">
        <f>IF($O$21=1,AN60,IF($O$21=2,AP60,IF($O$21=3,AO60,IF($O$21=4,AQ60,IF($O$21=5,AR60,IF($O$21=6,AM60,IF($O$21=7,AS60,IF($O$21=8,AT60,IF($O$21=9,AL60,IF($O$21=10,AU60,0))))))))))</f>
        <v>0</v>
      </c>
      <c r="AW60" s="61" t="s">
        <v>634</v>
      </c>
      <c r="AX60">
        <v>524012</v>
      </c>
      <c r="AY60">
        <v>524013</v>
      </c>
      <c r="AZ60">
        <v>524014</v>
      </c>
      <c r="BA60" s="59"/>
      <c r="BB60">
        <v>524015</v>
      </c>
      <c r="BC60" s="59"/>
      <c r="BD60" s="59">
        <v>524082</v>
      </c>
      <c r="BE60" s="59"/>
      <c r="BF60" s="59">
        <v>524085</v>
      </c>
      <c r="BG60" s="59"/>
      <c r="BH60" s="61">
        <f>IF($O$21=1,AZ60,IF($O$21=2,BB60,IF($O$21=3,BA60,IF($O$21=4,BC60,IF($O$21=5,BD60,IF($O$21=6,AY60,IF($O$21=7,BE60,IF($O$21=8,BF60,IF($O$21=9,AX60,0)))))))))</f>
        <v>0</v>
      </c>
      <c r="BI60" s="61" t="s">
        <v>642</v>
      </c>
      <c r="BJ60">
        <v>524050</v>
      </c>
      <c r="BK60">
        <v>524053</v>
      </c>
      <c r="BL60">
        <v>524051</v>
      </c>
      <c r="BM60" s="59"/>
      <c r="BN60">
        <v>524052</v>
      </c>
      <c r="BO60" s="59"/>
      <c r="BP60" s="59"/>
      <c r="BQ60" s="59"/>
      <c r="BR60" s="59"/>
      <c r="BS60" s="59"/>
      <c r="BT60" s="61">
        <f>IF($O$21=1,BL60,IF($O$21=2,BN60,IF($O$21=3,BM60,IF($O$21=4,BO60,IF($O$21=5,BP60,IF($O$21=6,BK60,IF($O$21=7,BQ60,IF($O$21=8,BR60,IF($O$21=9,BJ60,0)))))))))</f>
        <v>0</v>
      </c>
      <c r="BU60" s="61" t="s">
        <v>1705</v>
      </c>
      <c r="ES60" s="561" t="str">
        <f>VLOOKUP(523,Sprachindex!$A:$Z,Info!$O$7,FALSE)</f>
        <v>Kastenrinnenwinkel 90° (außen)</v>
      </c>
      <c r="ET60" s="562"/>
      <c r="EU60" s="562"/>
      <c r="EV60" s="562"/>
      <c r="EW60" s="562"/>
      <c r="EX60" s="352"/>
      <c r="EY60" s="326"/>
      <c r="EZ60" s="344"/>
      <c r="FA60" s="380">
        <v>40.82</v>
      </c>
      <c r="FB60" s="326"/>
      <c r="FC60" s="361">
        <v>35.96</v>
      </c>
      <c r="FD60" s="343"/>
      <c r="FE60" s="326"/>
      <c r="FF60" s="344"/>
      <c r="FG60" s="343"/>
      <c r="FH60" s="326"/>
      <c r="FI60" s="344"/>
      <c r="FJ60" s="343"/>
      <c r="FK60" s="326"/>
      <c r="FL60" s="344"/>
      <c r="FM60" s="343"/>
      <c r="FN60" s="326"/>
      <c r="FO60" s="344"/>
      <c r="FP60" s="343"/>
      <c r="FQ60" s="326"/>
      <c r="FR60" s="344"/>
      <c r="FS60" s="371">
        <v>41.05</v>
      </c>
      <c r="FT60" s="326"/>
      <c r="FU60" s="373">
        <v>36.78</v>
      </c>
      <c r="FV60" s="343"/>
      <c r="FW60" s="326"/>
      <c r="FX60" s="344"/>
      <c r="FY60" s="343"/>
      <c r="FZ60" s="326"/>
      <c r="GA60" s="344"/>
      <c r="GB60" s="377">
        <v>47.84</v>
      </c>
      <c r="GC60" s="326"/>
      <c r="GD60" s="379">
        <v>43.99</v>
      </c>
      <c r="GE60" s="343"/>
      <c r="GF60" s="326"/>
      <c r="GG60" s="344"/>
      <c r="GH60" s="343"/>
      <c r="GI60" s="326"/>
      <c r="GJ60" s="344"/>
      <c r="GK60" s="398">
        <v>82.95</v>
      </c>
      <c r="GL60" s="326"/>
      <c r="GM60" s="399">
        <v>81.37</v>
      </c>
      <c r="GN60" s="343"/>
      <c r="GO60" s="326"/>
      <c r="GP60" s="353"/>
      <c r="GQ60" s="333" t="str">
        <f>IF(OR($O$21=1,$O$21=2,$O$21=6,$O$21=8),FA60,IF($O$21=9,FC60," "))</f>
        <v xml:space="preserve"> </v>
      </c>
      <c r="GS60" s="331">
        <f>IF($O$21=9,FU60,FS60)</f>
        <v>41.05</v>
      </c>
      <c r="GT60" s="330" t="str">
        <f>IF(OR($O$21=1,$O$21=2,$O$21=6,$O$21=5,$O$21=8),GB60,IF($O$21=9,GD60," "))</f>
        <v xml:space="preserve"> </v>
      </c>
      <c r="GU60" s="341" t="str">
        <f>IF(OR($O$21=1,$O$21=2,$O$21=6),GK60,IF($O$21=9,GM60," "))</f>
        <v xml:space="preserve"> </v>
      </c>
      <c r="GV60" s="342" t="str">
        <f>IF($O$24=1,GQ60,IF($O$24=3,GS60,IF($O$24=4,GT60,IF($O$24=5,GU60," "))))</f>
        <v xml:space="preserve"> </v>
      </c>
    </row>
    <row r="61" spans="1:204" ht="32.1" customHeight="1">
      <c r="A61" s="109"/>
      <c r="B61" s="79" t="str">
        <f>VLOOKUP(878,Sprachindex!$A:$Z,Info!$O$7,FALSE)</f>
        <v>Stk.</v>
      </c>
      <c r="C61" s="78"/>
      <c r="D61" s="78">
        <f>IF($O$24=1,AJ61,IF($O$24=3,AV61,IF($O$24=4,BH61,IF($O$24=5,BT61,0))))</f>
        <v>0</v>
      </c>
      <c r="E61" s="561" t="str">
        <f>VLOOKUP(524,Sprachindex!$A:$Z,Info!$O$7,FALSE)</f>
        <v>Kastenrinnenwinkel 90° (innen)</v>
      </c>
      <c r="F61" s="562"/>
      <c r="G61" s="562"/>
      <c r="H61" s="562"/>
      <c r="I61" s="562"/>
      <c r="J61" s="627" t="str">
        <f>Formeln!A186</f>
        <v/>
      </c>
      <c r="K61" s="628"/>
      <c r="L61" s="79" t="str">
        <f t="shared" si="5"/>
        <v xml:space="preserve"> </v>
      </c>
      <c r="M61" s="440" t="str">
        <f t="shared" si="2"/>
        <v>Stk.</v>
      </c>
      <c r="N61" s="80"/>
      <c r="O61" s="202" t="str">
        <f t="shared" si="6"/>
        <v xml:space="preserve"> </v>
      </c>
      <c r="R61" s="207"/>
      <c r="S61" s="207"/>
      <c r="T61" s="207"/>
      <c r="U61" s="1"/>
      <c r="V61" s="149" t="e">
        <f t="shared" si="8"/>
        <v>#VALUE!</v>
      </c>
      <c r="W61" s="149" t="e">
        <f t="shared" si="8"/>
        <v>#VALUE!</v>
      </c>
      <c r="X61" s="149" t="str">
        <f>IF($O$24=1,4,IF($O$24=3,4,IF($O$24=4,2,IF($O$24=5,2,""))))</f>
        <v/>
      </c>
      <c r="Y61" s="149" t="str">
        <f>IF($O$24=1,1,IF($O$24=3,1,IF($O$24=4,1,IF($O$24=5,1,""))))</f>
        <v/>
      </c>
      <c r="Z61" s="58" t="s">
        <v>1708</v>
      </c>
      <c r="AA61" s="58" t="s">
        <v>1709</v>
      </c>
      <c r="AB61" s="58" t="s">
        <v>1710</v>
      </c>
      <c r="AC61" s="59"/>
      <c r="AD61" s="58" t="s">
        <v>1711</v>
      </c>
      <c r="AE61" s="59"/>
      <c r="AF61" s="59"/>
      <c r="AG61" s="59"/>
      <c r="AH61" s="58">
        <v>524081</v>
      </c>
      <c r="AI61" s="58"/>
      <c r="AJ61" s="61">
        <f t="shared" si="7"/>
        <v>0</v>
      </c>
      <c r="AK61" s="61" t="s">
        <v>619</v>
      </c>
      <c r="AL61">
        <v>524002</v>
      </c>
      <c r="AM61">
        <v>524003</v>
      </c>
      <c r="AN61">
        <v>524004</v>
      </c>
      <c r="AO61">
        <v>524030</v>
      </c>
      <c r="AP61">
        <v>524007</v>
      </c>
      <c r="AQ61">
        <v>524034</v>
      </c>
      <c r="AR61">
        <v>524028</v>
      </c>
      <c r="AS61">
        <v>524036</v>
      </c>
      <c r="AT61">
        <v>524039</v>
      </c>
      <c r="AU61">
        <v>524041</v>
      </c>
      <c r="AV61" s="61">
        <f>IF($O$21=1,AN61,IF($O$21=2,AP61,IF($O$21=3,AO61,IF($O$21=4,AQ61,IF($O$21=5,AR61,IF($O$21=6,AM61,IF($O$21=7,AS61,IF($O$21=8,AT61,IF($O$21=9,AL61,IF($O$21=10,AU61,0))))))))))</f>
        <v>0</v>
      </c>
      <c r="AW61" s="61" t="s">
        <v>634</v>
      </c>
      <c r="AX61">
        <v>524005</v>
      </c>
      <c r="AY61">
        <v>524006</v>
      </c>
      <c r="AZ61">
        <v>524001</v>
      </c>
      <c r="BA61" s="59"/>
      <c r="BB61">
        <v>524016</v>
      </c>
      <c r="BC61" s="59"/>
      <c r="BD61" s="59">
        <v>524086</v>
      </c>
      <c r="BE61" s="59"/>
      <c r="BF61" s="59">
        <v>524089</v>
      </c>
      <c r="BG61" s="59"/>
      <c r="BH61" s="61">
        <f>IF($O$21=1,AZ61,IF($O$21=2,BB61,IF($O$21=3,BA61,IF($O$21=4,BC61,IF($O$21=5,BD61,IF($O$21=6,AY61,IF($O$21=7,BE61,IF($O$21=8,BF61,IF($O$21=9,AX61,0)))))))))</f>
        <v>0</v>
      </c>
      <c r="BI61" s="61" t="s">
        <v>642</v>
      </c>
      <c r="BJ61">
        <v>524060</v>
      </c>
      <c r="BK61">
        <v>524063</v>
      </c>
      <c r="BL61">
        <v>524061</v>
      </c>
      <c r="BM61" s="59"/>
      <c r="BN61">
        <v>524062</v>
      </c>
      <c r="BO61" s="59"/>
      <c r="BP61" s="59"/>
      <c r="BQ61" s="59"/>
      <c r="BR61" s="59"/>
      <c r="BS61" s="59"/>
      <c r="BT61" s="61">
        <f>IF($O$21=1,BL61,IF($O$21=2,BN61,IF($O$21=3,BM61,IF($O$21=4,BO61,IF($O$21=5,BP61,IF($O$21=6,BK61,IF($O$21=7,BQ61,IF($O$21=8,BR61,IF($O$21=9,BJ61,0)))))))))</f>
        <v>0</v>
      </c>
      <c r="BU61" s="61" t="s">
        <v>1705</v>
      </c>
      <c r="ES61" s="561" t="str">
        <f>VLOOKUP(524,Sprachindex!$A:$Z,Info!$O$7,FALSE)</f>
        <v>Kastenrinnenwinkel 90° (innen)</v>
      </c>
      <c r="ET61" s="562"/>
      <c r="EU61" s="562"/>
      <c r="EV61" s="562"/>
      <c r="EW61" s="562"/>
      <c r="EX61" s="352"/>
      <c r="EY61" s="326"/>
      <c r="EZ61" s="344"/>
      <c r="FA61" s="380">
        <v>40.82</v>
      </c>
      <c r="FB61" s="326"/>
      <c r="FC61" s="361">
        <v>35.96</v>
      </c>
      <c r="FD61" s="343"/>
      <c r="FE61" s="326"/>
      <c r="FF61" s="344"/>
      <c r="FG61" s="343"/>
      <c r="FH61" s="326"/>
      <c r="FI61" s="344"/>
      <c r="FJ61" s="343"/>
      <c r="FK61" s="326"/>
      <c r="FL61" s="344"/>
      <c r="FM61" s="343"/>
      <c r="FN61" s="326"/>
      <c r="FO61" s="344"/>
      <c r="FP61" s="343"/>
      <c r="FQ61" s="326"/>
      <c r="FR61" s="344"/>
      <c r="FS61" s="371">
        <v>41.05</v>
      </c>
      <c r="FT61" s="326"/>
      <c r="FU61" s="373">
        <v>36.78</v>
      </c>
      <c r="FV61" s="343"/>
      <c r="FW61" s="326"/>
      <c r="FX61" s="344"/>
      <c r="FY61" s="343"/>
      <c r="FZ61" s="326"/>
      <c r="GA61" s="344"/>
      <c r="GB61" s="377">
        <v>47.84</v>
      </c>
      <c r="GC61" s="326"/>
      <c r="GD61" s="379">
        <v>43.99</v>
      </c>
      <c r="GE61" s="343"/>
      <c r="GF61" s="326"/>
      <c r="GG61" s="344"/>
      <c r="GH61" s="343"/>
      <c r="GI61" s="326"/>
      <c r="GJ61" s="344"/>
      <c r="GK61" s="398">
        <v>82.95</v>
      </c>
      <c r="GL61" s="326"/>
      <c r="GM61" s="399">
        <v>81.37</v>
      </c>
      <c r="GN61" s="343"/>
      <c r="GO61" s="326"/>
      <c r="GP61" s="353"/>
      <c r="GQ61" s="333" t="str">
        <f>IF(OR($O$21=1,$O$21=2,$O$21=6,$O$21=8),FA61,IF($O$21=9,FC61," "))</f>
        <v xml:space="preserve"> </v>
      </c>
      <c r="GS61" s="331">
        <f>IF($O$21=9,FU61,FS61)</f>
        <v>41.05</v>
      </c>
      <c r="GT61" s="330" t="str">
        <f>IF(OR($O$21=1,$O$21=2,$O$21=6,$O$21=5,$O$21=8),GB61,IF($O$21=9,GD61," "))</f>
        <v xml:space="preserve"> </v>
      </c>
      <c r="GU61" s="341" t="str">
        <f>IF(OR($O$21=1,$O$21=2,$O$21=6),GK61,IF($O$21=9,GM61," "))</f>
        <v xml:space="preserve"> </v>
      </c>
      <c r="GV61" s="342" t="str">
        <f>IF($O$24=1,GQ61,IF($O$24=3,GS61,IF($O$24=4,GT61,IF($O$24=5,GU61," "))))</f>
        <v xml:space="preserve"> </v>
      </c>
    </row>
    <row r="62" spans="1:204" ht="32.1" customHeight="1">
      <c r="A62" s="109"/>
      <c r="B62" s="79" t="str">
        <f>VLOOKUP(878,Sprachindex!$A:$Z,Info!$O$7,FALSE)</f>
        <v>Stk.</v>
      </c>
      <c r="C62" s="78"/>
      <c r="D62" s="78">
        <f>IF(AND(O24=1,O25=2),AJ62,IF(AND(O24=3,O25=3),AV62,IF(AND(O24=4,O25=4),BH62,IF(AND(O24=5,O25=4),BT62,IF(AND(O24=5,O25=5),CF62,0)))))</f>
        <v>0</v>
      </c>
      <c r="E62" s="561" t="str">
        <f>VLOOKUP(522,Sprachindex!$A:$Z,Info!$O$7,FALSE)</f>
        <v>Kastenrinnenkessel</v>
      </c>
      <c r="F62" s="562"/>
      <c r="G62" s="562"/>
      <c r="H62" s="562"/>
      <c r="I62" s="84"/>
      <c r="J62" s="614" t="str">
        <f>Formeln!A225</f>
        <v/>
      </c>
      <c r="K62" s="630"/>
      <c r="L62" s="79" t="str">
        <f t="shared" si="5"/>
        <v xml:space="preserve"> </v>
      </c>
      <c r="M62" s="440" t="str">
        <f t="shared" si="2"/>
        <v>Stk.</v>
      </c>
      <c r="N62" s="80"/>
      <c r="O62" s="202" t="str">
        <f t="shared" si="6"/>
        <v xml:space="preserve"> </v>
      </c>
      <c r="R62" s="207"/>
      <c r="S62" s="195"/>
      <c r="T62" s="195"/>
      <c r="U62" s="1"/>
      <c r="V62" s="149" t="e">
        <f t="shared" si="8"/>
        <v>#VALUE!</v>
      </c>
      <c r="W62" s="149">
        <f t="shared" si="8"/>
        <v>0</v>
      </c>
      <c r="X62" s="149" t="str">
        <f>IF(AND($O$24=1,$O$25=2),6,IF(AND($O$24=3,$O$25=3),10,IF(AND($O$24=4,$O$25=4),6,IF(AND($O$24=5,$O$25=4),1,IF(AND($O$24=5,$O$25=5),1,"")))))</f>
        <v/>
      </c>
      <c r="Y62" s="149">
        <v>1</v>
      </c>
      <c r="Z62" s="58">
        <v>548013</v>
      </c>
      <c r="AA62" s="58">
        <v>548017</v>
      </c>
      <c r="AB62" s="58">
        <v>548015</v>
      </c>
      <c r="AC62" s="59"/>
      <c r="AD62" s="58">
        <v>548016</v>
      </c>
      <c r="AE62" s="59"/>
      <c r="AF62" s="59"/>
      <c r="AG62" s="59"/>
      <c r="AH62" s="58">
        <v>548051</v>
      </c>
      <c r="AI62" s="58"/>
      <c r="AJ62" s="61">
        <f t="shared" si="7"/>
        <v>0</v>
      </c>
      <c r="AK62" s="61" t="s">
        <v>721</v>
      </c>
      <c r="AL62">
        <v>548003</v>
      </c>
      <c r="AM62">
        <v>548004</v>
      </c>
      <c r="AN62">
        <v>548006</v>
      </c>
      <c r="AO62">
        <v>548020</v>
      </c>
      <c r="AP62">
        <v>548007</v>
      </c>
      <c r="AQ62">
        <v>548022</v>
      </c>
      <c r="AR62">
        <v>548019</v>
      </c>
      <c r="AS62">
        <v>548023</v>
      </c>
      <c r="AT62">
        <v>548025</v>
      </c>
      <c r="AU62">
        <v>548026</v>
      </c>
      <c r="AV62" s="61">
        <f>IF($O$21=1,AN62,IF($O$21=2,AP62,IF($O$21=3,AO62,IF($O$21=4,AQ62,IF($O$21=5,AR62,IF($O$21=6,AM62,IF($O$21=7,AS62,IF($O$21=8,AT62,IF($O$21=9,AL62,IF($O$21=10,AU62,0))))))))))</f>
        <v>0</v>
      </c>
      <c r="AW62" s="61" t="s">
        <v>753</v>
      </c>
      <c r="AX62">
        <v>548001</v>
      </c>
      <c r="AY62">
        <v>548002</v>
      </c>
      <c r="AZ62">
        <v>548005</v>
      </c>
      <c r="BA62" s="59"/>
      <c r="BB62">
        <v>548012</v>
      </c>
      <c r="BC62" s="59"/>
      <c r="BD62" s="59">
        <v>548060</v>
      </c>
      <c r="BE62" s="59"/>
      <c r="BF62" s="59">
        <v>548063</v>
      </c>
      <c r="BG62" s="59"/>
      <c r="BH62" s="61">
        <f>IF($O$21=1,AZ62,IF($O$21=2,BB62,IF($O$21=3,BA62,IF($O$21=4,BC62,IF($O$21=5,BD62,IF($O$21=6,AY62,IF($O$21=7,BE62,IF($O$21=8,BF62,IF($O$21=9,AX62,0)))))))))</f>
        <v>0</v>
      </c>
      <c r="BI62" s="61" t="s">
        <v>769</v>
      </c>
      <c r="BJ62">
        <v>548040</v>
      </c>
      <c r="BK62">
        <v>548043</v>
      </c>
      <c r="BL62">
        <v>548041</v>
      </c>
      <c r="BM62" s="59"/>
      <c r="BN62">
        <v>548042</v>
      </c>
      <c r="BO62" s="59"/>
      <c r="BP62" s="59"/>
      <c r="BQ62" s="59"/>
      <c r="BR62" s="59"/>
      <c r="BS62" s="59"/>
      <c r="BT62" s="61">
        <f>IF($O$21=1,BL62,IF($O$21=2,BN62,IF($O$21=3,BM62,IF($O$21=4,BO62,IF($O$21=5,BP62,IF($O$21=6,BK62,IF($O$21=7,BQ62,IF($O$21=8,BR62,IF($O$21=9,BJ62,0)))))))))</f>
        <v>0</v>
      </c>
      <c r="BU62" s="61" t="s">
        <v>1712</v>
      </c>
      <c r="BV62">
        <v>548030</v>
      </c>
      <c r="BW62">
        <v>548033</v>
      </c>
      <c r="BX62">
        <v>548031</v>
      </c>
      <c r="BY62" s="59"/>
      <c r="BZ62">
        <v>548032</v>
      </c>
      <c r="CA62" s="59"/>
      <c r="CB62" s="59"/>
      <c r="CC62" s="59"/>
      <c r="CD62" s="59"/>
      <c r="CE62" s="59"/>
      <c r="CF62" s="61">
        <f>IF($O$21=1,BX62,IF($O$21=2,BZ62,IF($O$21=3,BY62,IF($O$21=4,CA62,IF($O$21=5,CB62,IF($O$21=6,BW62,IF($O$21=7,CC62,IF($O$21=8,CD62,IF($O$21=9,BV62,0)))))))))</f>
        <v>0</v>
      </c>
      <c r="CG62" s="61" t="s">
        <v>1713</v>
      </c>
      <c r="ES62" s="561" t="str">
        <f>VLOOKUP(522,Sprachindex!$A:$Z,Info!$O$7,FALSE)</f>
        <v>Kastenrinnenkessel</v>
      </c>
      <c r="ET62" s="562"/>
      <c r="EU62" s="562"/>
      <c r="EV62" s="562"/>
      <c r="EW62" s="309"/>
      <c r="EX62" s="352"/>
      <c r="EY62" s="326"/>
      <c r="EZ62" s="344"/>
      <c r="FA62" s="380">
        <v>38.08</v>
      </c>
      <c r="FB62" s="383" t="s">
        <v>1685</v>
      </c>
      <c r="FC62" s="361">
        <v>34.549999999999997</v>
      </c>
      <c r="FD62" s="343"/>
      <c r="FE62" s="387" t="str">
        <f>IF(OR($O$21=1,$O$21=2,$O$21=6,$O$21=8),FA62,IF($O$21=9,FC62," "))</f>
        <v xml:space="preserve"> </v>
      </c>
      <c r="FF62" s="344"/>
      <c r="FG62" s="343"/>
      <c r="FH62" s="326"/>
      <c r="FI62" s="344"/>
      <c r="FJ62" s="343"/>
      <c r="FK62" s="326"/>
      <c r="FL62" s="344"/>
      <c r="FM62" s="343"/>
      <c r="FN62" s="326"/>
      <c r="FO62" s="344"/>
      <c r="FP62" s="343"/>
      <c r="FQ62" s="326"/>
      <c r="FR62" s="344"/>
      <c r="FS62" s="371">
        <v>39.700000000000003</v>
      </c>
      <c r="FT62" s="383" t="s">
        <v>1686</v>
      </c>
      <c r="FU62" s="373">
        <v>35.57</v>
      </c>
      <c r="FV62" s="343"/>
      <c r="FW62" s="393">
        <f>IF($O$21=9,FU62,FS62)</f>
        <v>39.700000000000003</v>
      </c>
      <c r="FX62" s="344"/>
      <c r="FY62" s="343"/>
      <c r="FZ62" s="326"/>
      <c r="GA62" s="344"/>
      <c r="GB62" s="377">
        <v>43.83</v>
      </c>
      <c r="GC62" s="383" t="s">
        <v>1687</v>
      </c>
      <c r="GD62" s="379">
        <v>39.56</v>
      </c>
      <c r="GE62" s="343"/>
      <c r="GF62" s="390" t="str">
        <f>IF($O$21=9,GD62,IF(OR($O$21=1,$O$21=2,$O$21=6,$O$21=5,$O$21=8),GB62," "))</f>
        <v xml:space="preserve"> </v>
      </c>
      <c r="GG62" s="344"/>
      <c r="GH62" s="398">
        <v>104.2</v>
      </c>
      <c r="GI62" s="383" t="s">
        <v>1687</v>
      </c>
      <c r="GJ62" s="399">
        <v>95.88</v>
      </c>
      <c r="GK62" s="398">
        <v>104.2</v>
      </c>
      <c r="GL62" s="383" t="s">
        <v>1688</v>
      </c>
      <c r="GM62" s="399">
        <v>95.88</v>
      </c>
      <c r="GN62" s="402" t="str">
        <f>IF(OR($O$21=1,$O$21=2,$O$21=6),GH62,IF($O$21=9,GJ62," "))</f>
        <v xml:space="preserve"> </v>
      </c>
      <c r="GO62" s="402" t="str">
        <f>IF(OR($O$21=1,$O$21=2,$O$21=6),GK62,IF($O$21=9,GM62," "))</f>
        <v xml:space="preserve"> </v>
      </c>
      <c r="GP62" s="353"/>
      <c r="GQ62" s="333" t="str">
        <f>IF($O$25=2,FE62," ")</f>
        <v xml:space="preserve"> </v>
      </c>
      <c r="GS62" s="331" t="str">
        <f>IF($O$25=3,FW62," ")</f>
        <v xml:space="preserve"> </v>
      </c>
      <c r="GT62" s="330" t="str">
        <f>IF($O$25=4,GF62," ")</f>
        <v xml:space="preserve"> </v>
      </c>
      <c r="GU62" s="341" t="str">
        <f>IF($O$25=4,GN62,IF($O$25=5,GO62," "))</f>
        <v xml:space="preserve"> </v>
      </c>
      <c r="GV62" s="342" t="str">
        <f>IF($O$24=1,GQ62,IF($O$24=3,GS62,IF($O$24=4,GT62,IF($O$24=5,GU62," "))))</f>
        <v xml:space="preserve"> </v>
      </c>
    </row>
    <row r="63" spans="1:204" ht="32.1" customHeight="1">
      <c r="A63" s="109"/>
      <c r="B63" s="79" t="str">
        <f>VLOOKUP(1512,Sprachindex!$A:$Z,Info!$O$7,FALSE)</f>
        <v>lfm</v>
      </c>
      <c r="C63" s="78"/>
      <c r="D63" s="78">
        <f>AJ63</f>
        <v>0</v>
      </c>
      <c r="E63" s="561" t="str">
        <f>VLOOKUP(763,Sprachindex!$A:$Z,Info!$O$7,FALSE)</f>
        <v>Saumrinne (mit Schutzfolie außen)</v>
      </c>
      <c r="F63" s="562"/>
      <c r="G63" s="562"/>
      <c r="H63" s="562"/>
      <c r="I63" s="562"/>
      <c r="J63" s="627" t="str">
        <f>VLOOKUP(131,Sprachindex!$A:$Z,Info!$O$7,FALSE)</f>
        <v>700 × 1,0 mm</v>
      </c>
      <c r="K63" s="628"/>
      <c r="L63" s="79" t="str">
        <f t="shared" si="5"/>
        <v xml:space="preserve"> </v>
      </c>
      <c r="M63" s="440" t="str">
        <f t="shared" si="2"/>
        <v>lfm</v>
      </c>
      <c r="N63" s="80"/>
      <c r="O63" s="202" t="str">
        <f>IF(ISNUMBER(A63),L63*GV63," ")</f>
        <v xml:space="preserve"> </v>
      </c>
      <c r="R63" s="195"/>
      <c r="S63" s="195"/>
      <c r="T63" s="195"/>
      <c r="U63" s="1"/>
      <c r="V63" s="149">
        <f>ROUNDUP($A63/$X63,0)*$X63</f>
        <v>0</v>
      </c>
      <c r="W63" s="149">
        <f>ROUNDUP($A63/$Y63,0)*$Y63</f>
        <v>0</v>
      </c>
      <c r="X63" s="149">
        <v>30</v>
      </c>
      <c r="Y63" s="149">
        <f>IF(Info!V7=2,5,6)</f>
        <v>6</v>
      </c>
      <c r="Z63" s="58">
        <v>575002</v>
      </c>
      <c r="AA63" s="58">
        <v>575001</v>
      </c>
      <c r="AB63" s="58">
        <v>575005</v>
      </c>
      <c r="AC63" s="58">
        <v>575010</v>
      </c>
      <c r="AD63" s="58">
        <v>575006</v>
      </c>
      <c r="AE63" s="58">
        <v>575011</v>
      </c>
      <c r="AF63" s="58">
        <v>575008</v>
      </c>
      <c r="AG63" s="58">
        <v>575012</v>
      </c>
      <c r="AH63" s="59"/>
      <c r="AI63" s="59">
        <v>575013</v>
      </c>
      <c r="AJ63" s="61">
        <f>IF($O$21=1,AB63,IF($O$21=2,AD63,IF($O$21=3,AC63,IF($O$21=4,AE63,IF($O$21=5,AF63,IF($O$21=6,AA63,IF($O$21=7,AG63,IF($O$21=8,AH63,IF($O$21=9,Z63,IF($O$21=10,AI63,0))))))))))</f>
        <v>0</v>
      </c>
      <c r="AK63" s="61"/>
      <c r="ES63" s="561" t="str">
        <f>VLOOKUP(763,Sprachindex!$A:$Z,Info!$O$7,FALSE)</f>
        <v>Saumrinne (mit Schutzfolie außen)</v>
      </c>
      <c r="ET63" s="562"/>
      <c r="EU63" s="562"/>
      <c r="EV63" s="562"/>
      <c r="EW63" s="562"/>
      <c r="EX63" s="352"/>
      <c r="EY63" s="326"/>
      <c r="EZ63" s="344"/>
      <c r="FA63" s="400">
        <v>38.79</v>
      </c>
      <c r="FB63" s="326"/>
      <c r="FC63" s="401">
        <v>35.96</v>
      </c>
      <c r="FD63" s="343"/>
      <c r="FE63" s="326"/>
      <c r="FF63" s="344"/>
      <c r="FG63" s="343"/>
      <c r="FH63" s="326"/>
      <c r="FI63" s="344"/>
      <c r="FJ63" s="343"/>
      <c r="FK63" s="326"/>
      <c r="FL63" s="344"/>
      <c r="FM63" s="343"/>
      <c r="FN63" s="326"/>
      <c r="FO63" s="344"/>
      <c r="FP63" s="343"/>
      <c r="FQ63" s="326"/>
      <c r="FR63" s="344"/>
      <c r="FS63" s="343"/>
      <c r="FT63" s="326"/>
      <c r="FU63" s="344"/>
      <c r="FV63" s="343"/>
      <c r="FW63" s="326"/>
      <c r="FX63" s="344"/>
      <c r="FY63" s="343"/>
      <c r="FZ63" s="326"/>
      <c r="GA63" s="344"/>
      <c r="GB63" s="343"/>
      <c r="GC63" s="326"/>
      <c r="GD63" s="344"/>
      <c r="GE63" s="343"/>
      <c r="GF63" s="326"/>
      <c r="GG63" s="344"/>
      <c r="GH63" s="343"/>
      <c r="GI63" s="326"/>
      <c r="GJ63" s="344"/>
      <c r="GK63" s="343"/>
      <c r="GL63" s="326"/>
      <c r="GM63" s="344"/>
      <c r="GN63" s="343"/>
      <c r="GO63" s="326"/>
      <c r="GP63" s="353"/>
      <c r="GQ63" s="126" t="str">
        <f>IF(OR($O$21=1,$O$21=2,$O$21=6,$O$21=3,$O$21=4,$O$21=5,$O$21=7),FA63,IF($O$21=9,FC63," "))</f>
        <v xml:space="preserve"> </v>
      </c>
      <c r="GV63" s="334" t="str">
        <f>GQ63</f>
        <v xml:space="preserve"> </v>
      </c>
    </row>
    <row r="64" spans="1:204" ht="32.1" customHeight="1">
      <c r="A64" s="109"/>
      <c r="B64" s="79" t="str">
        <f>VLOOKUP(878,Sprachindex!$A:$Z,Info!$O$7,FALSE)</f>
        <v>Stk.</v>
      </c>
      <c r="C64" s="78"/>
      <c r="D64" s="78">
        <f>AJ64</f>
        <v>0</v>
      </c>
      <c r="E64" s="561" t="str">
        <f>VLOOKUP(764,Sprachindex!$A:$Z,Info!$O$7,FALSE)</f>
        <v>Saumrinnenendboden</v>
      </c>
      <c r="F64" s="562"/>
      <c r="G64" s="562"/>
      <c r="H64" s="562"/>
      <c r="I64" s="562"/>
      <c r="J64" s="627"/>
      <c r="K64" s="628"/>
      <c r="L64" s="79" t="str">
        <f t="shared" si="5"/>
        <v xml:space="preserve"> </v>
      </c>
      <c r="M64" s="440" t="str">
        <f t="shared" si="2"/>
        <v>Stk.</v>
      </c>
      <c r="N64" s="80"/>
      <c r="O64" s="202" t="str">
        <f>IF(ISNUMBER(A64),L64*GV64," ")</f>
        <v xml:space="preserve"> </v>
      </c>
      <c r="R64" s="195"/>
      <c r="S64" s="195"/>
      <c r="T64" s="195"/>
      <c r="U64" s="1"/>
      <c r="V64" s="149">
        <f t="shared" ref="V64:W67" si="10">ROUNDUP($A64/X64,0)*X64</f>
        <v>0</v>
      </c>
      <c r="W64" s="149">
        <f t="shared" si="10"/>
        <v>0</v>
      </c>
      <c r="X64" s="149">
        <v>1</v>
      </c>
      <c r="Y64" s="149">
        <v>1</v>
      </c>
      <c r="Z64" s="58">
        <v>517300</v>
      </c>
      <c r="AA64" s="58">
        <v>517303</v>
      </c>
      <c r="AB64" s="58">
        <v>517301</v>
      </c>
      <c r="AC64" s="58">
        <v>517304</v>
      </c>
      <c r="AD64" s="58">
        <v>517302</v>
      </c>
      <c r="AE64" s="58">
        <v>517305</v>
      </c>
      <c r="AF64" s="58">
        <v>517306</v>
      </c>
      <c r="AG64" s="58">
        <v>517307</v>
      </c>
      <c r="AH64" s="59"/>
      <c r="AI64" s="59">
        <v>517308</v>
      </c>
      <c r="AJ64" s="61">
        <f>IF($O$21=1,AB64,IF($O$21=2,AD64,IF($O$21=3,AC64,IF($O$21=4,AE64,IF($O$21=5,AF64,IF($O$21=6,AA64,IF($O$21=7,AG64,IF($O$21=8,AH64,IF($O$21=9,Z64,IF($O$21=10,AI64,0))))))))))</f>
        <v>0</v>
      </c>
      <c r="AK64" s="61"/>
      <c r="ES64" s="561" t="str">
        <f>VLOOKUP(764,Sprachindex!$A:$Z,Info!$O$7,FALSE)</f>
        <v>Saumrinnenendboden</v>
      </c>
      <c r="ET64" s="562"/>
      <c r="EU64" s="562"/>
      <c r="EV64" s="562"/>
      <c r="EW64" s="562"/>
      <c r="EX64" s="352"/>
      <c r="EY64" s="326"/>
      <c r="EZ64" s="344"/>
      <c r="FA64" s="400">
        <v>36.71</v>
      </c>
      <c r="FB64" s="326"/>
      <c r="FC64" s="401">
        <v>27.43</v>
      </c>
      <c r="FD64" s="343"/>
      <c r="FE64" s="326"/>
      <c r="FF64" s="344"/>
      <c r="FG64" s="343"/>
      <c r="FH64" s="326"/>
      <c r="FI64" s="344"/>
      <c r="FJ64" s="343"/>
      <c r="FK64" s="326"/>
      <c r="FL64" s="344"/>
      <c r="FM64" s="343"/>
      <c r="FN64" s="326"/>
      <c r="FO64" s="344"/>
      <c r="FP64" s="343"/>
      <c r="FQ64" s="326"/>
      <c r="FR64" s="344"/>
      <c r="FS64" s="343"/>
      <c r="FT64" s="326"/>
      <c r="FU64" s="344"/>
      <c r="FV64" s="343"/>
      <c r="FW64" s="326"/>
      <c r="FX64" s="344"/>
      <c r="FY64" s="343"/>
      <c r="FZ64" s="326"/>
      <c r="GA64" s="344"/>
      <c r="GB64" s="343"/>
      <c r="GC64" s="326"/>
      <c r="GD64" s="344"/>
      <c r="GE64" s="343"/>
      <c r="GF64" s="326"/>
      <c r="GG64" s="344"/>
      <c r="GH64" s="343"/>
      <c r="GI64" s="326"/>
      <c r="GJ64" s="344"/>
      <c r="GK64" s="343"/>
      <c r="GL64" s="326"/>
      <c r="GM64" s="344"/>
      <c r="GN64" s="343"/>
      <c r="GO64" s="326"/>
      <c r="GP64" s="353"/>
      <c r="GQ64" s="126" t="str">
        <f t="shared" ref="GQ64:GQ66" si="11">IF(OR($O$21=1,$O$21=2,$O$21=6,$O$21=3,$O$21=4,$O$21=5,$O$21=7),FA64,IF($O$21=9,FC64," "))</f>
        <v xml:space="preserve"> </v>
      </c>
      <c r="GV64" s="334" t="str">
        <f t="shared" ref="GV64:GV66" si="12">GQ64</f>
        <v xml:space="preserve"> </v>
      </c>
    </row>
    <row r="65" spans="1:204" ht="32.1" customHeight="1">
      <c r="A65" s="109"/>
      <c r="B65" s="79" t="str">
        <f>VLOOKUP(878,Sprachindex!$A:$Z,Info!$O$7,FALSE)</f>
        <v>Stk.</v>
      </c>
      <c r="C65" s="78"/>
      <c r="D65" s="78">
        <f>AJ65</f>
        <v>0</v>
      </c>
      <c r="E65" s="561" t="str">
        <f>VLOOKUP(766,Sprachindex!$A:$Z,Info!$O$7,FALSE)</f>
        <v>Saumrinnenstutzen</v>
      </c>
      <c r="F65" s="562"/>
      <c r="G65" s="562"/>
      <c r="H65" s="562"/>
      <c r="I65" s="562"/>
      <c r="J65" s="627" t="str">
        <f>VLOOKUP(45,Sprachindex!$A:$Z,Info!$O$7,FALSE)</f>
        <v>⌀ 100</v>
      </c>
      <c r="K65" s="628"/>
      <c r="L65" s="79" t="str">
        <f t="shared" si="5"/>
        <v xml:space="preserve"> </v>
      </c>
      <c r="M65" s="440" t="str">
        <f t="shared" si="2"/>
        <v>Stk.</v>
      </c>
      <c r="N65" s="80"/>
      <c r="O65" s="202" t="str">
        <f>IF(ISNUMBER(A65),L65*GV65," ")</f>
        <v xml:space="preserve"> </v>
      </c>
      <c r="R65" s="195"/>
      <c r="S65" s="195"/>
      <c r="T65" s="195"/>
      <c r="U65" s="1"/>
      <c r="V65" s="149">
        <f t="shared" si="10"/>
        <v>0</v>
      </c>
      <c r="W65" s="149">
        <f t="shared" si="10"/>
        <v>0</v>
      </c>
      <c r="X65" s="149">
        <v>1</v>
      </c>
      <c r="Y65" s="149">
        <v>1</v>
      </c>
      <c r="Z65" s="58">
        <v>520200</v>
      </c>
      <c r="AA65" s="58">
        <v>520203</v>
      </c>
      <c r="AB65" s="58">
        <v>520201</v>
      </c>
      <c r="AC65" s="58">
        <v>520206</v>
      </c>
      <c r="AD65" s="58">
        <v>520202</v>
      </c>
      <c r="AE65" s="58">
        <v>520207</v>
      </c>
      <c r="AF65" s="58">
        <v>520204</v>
      </c>
      <c r="AG65" s="58">
        <v>520208</v>
      </c>
      <c r="AH65" s="59"/>
      <c r="AI65" s="59">
        <v>520209</v>
      </c>
      <c r="AJ65" s="61">
        <f>IF($O$21=1,AB65,IF($O$21=2,AD65,IF($O$21=3,AC65,IF($O$21=4,AE65,IF($O$21=5,AF65,IF($O$21=6,AA65,IF($O$21=7,AG65,IF($O$21=8,AH65,IF($O$21=9,Z65,IF($O$21=10,AI65,0))))))))))</f>
        <v>0</v>
      </c>
      <c r="AK65" s="61"/>
      <c r="ES65" s="561" t="str">
        <f>VLOOKUP(766,Sprachindex!$A:$Z,Info!$O$7,FALSE)</f>
        <v>Saumrinnenstutzen</v>
      </c>
      <c r="ET65" s="562"/>
      <c r="EU65" s="562"/>
      <c r="EV65" s="562"/>
      <c r="EW65" s="562"/>
      <c r="EX65" s="352"/>
      <c r="EY65" s="326"/>
      <c r="EZ65" s="344"/>
      <c r="FA65" s="400">
        <v>38.15</v>
      </c>
      <c r="FB65" s="326"/>
      <c r="FC65" s="401">
        <v>29.08</v>
      </c>
      <c r="FD65" s="343"/>
      <c r="FE65" s="326"/>
      <c r="FF65" s="344"/>
      <c r="FG65" s="343"/>
      <c r="FH65" s="326"/>
      <c r="FI65" s="344"/>
      <c r="FJ65" s="343"/>
      <c r="FK65" s="326"/>
      <c r="FL65" s="344"/>
      <c r="FM65" s="343"/>
      <c r="FN65" s="326"/>
      <c r="FO65" s="344"/>
      <c r="FP65" s="343"/>
      <c r="FQ65" s="326"/>
      <c r="FR65" s="344"/>
      <c r="FS65" s="343"/>
      <c r="FT65" s="326"/>
      <c r="FU65" s="344"/>
      <c r="FV65" s="343"/>
      <c r="FW65" s="326"/>
      <c r="FX65" s="344"/>
      <c r="FY65" s="343"/>
      <c r="FZ65" s="326"/>
      <c r="GA65" s="344"/>
      <c r="GB65" s="343"/>
      <c r="GC65" s="326"/>
      <c r="GD65" s="344"/>
      <c r="GE65" s="343"/>
      <c r="GF65" s="326"/>
      <c r="GG65" s="344"/>
      <c r="GH65" s="343"/>
      <c r="GI65" s="326"/>
      <c r="GJ65" s="344"/>
      <c r="GK65" s="343"/>
      <c r="GL65" s="326"/>
      <c r="GM65" s="344"/>
      <c r="GN65" s="343"/>
      <c r="GO65" s="326"/>
      <c r="GP65" s="353"/>
      <c r="GQ65" s="126" t="str">
        <f t="shared" si="11"/>
        <v xml:space="preserve"> </v>
      </c>
      <c r="GV65" s="334" t="str">
        <f t="shared" si="12"/>
        <v xml:space="preserve"> </v>
      </c>
    </row>
    <row r="66" spans="1:204" ht="32.1" customHeight="1">
      <c r="A66" s="109"/>
      <c r="B66" s="79" t="str">
        <f>VLOOKUP(878,Sprachindex!$A:$Z,Info!$O$7,FALSE)</f>
        <v>Stk.</v>
      </c>
      <c r="C66" s="78"/>
      <c r="D66" s="78">
        <f>AJ66</f>
        <v>0</v>
      </c>
      <c r="E66" s="561" t="str">
        <f>VLOOKUP(765,Sprachindex!$A:$Z,Info!$O$7,FALSE)</f>
        <v>Saumrinnenhaken</v>
      </c>
      <c r="F66" s="562"/>
      <c r="G66" s="562"/>
      <c r="H66" s="562"/>
      <c r="I66" s="562"/>
      <c r="J66" s="627" t="str">
        <f>VLOOKUP(78,Sprachindex!$A:$Z,Info!$O$7,FALSE)</f>
        <v>28 × 7 mm</v>
      </c>
      <c r="K66" s="628"/>
      <c r="L66" s="79" t="str">
        <f t="shared" si="5"/>
        <v xml:space="preserve"> </v>
      </c>
      <c r="M66" s="440" t="str">
        <f t="shared" si="2"/>
        <v>Stk.</v>
      </c>
      <c r="N66" s="80"/>
      <c r="O66" s="202" t="str">
        <f>IF(ISNUMBER(A66),L66*GV66," ")</f>
        <v xml:space="preserve"> </v>
      </c>
      <c r="R66" s="195"/>
      <c r="S66" s="195"/>
      <c r="T66" s="195"/>
      <c r="U66" s="1"/>
      <c r="V66" s="149">
        <f t="shared" si="10"/>
        <v>0</v>
      </c>
      <c r="W66" s="149">
        <f t="shared" si="10"/>
        <v>0</v>
      </c>
      <c r="X66" s="149">
        <v>20</v>
      </c>
      <c r="Y66" s="149">
        <v>1</v>
      </c>
      <c r="Z66" s="58">
        <v>523003</v>
      </c>
      <c r="AA66" s="58">
        <v>523004</v>
      </c>
      <c r="AB66" s="58">
        <v>523005</v>
      </c>
      <c r="AC66" s="58">
        <v>523009</v>
      </c>
      <c r="AD66" s="58">
        <v>523006</v>
      </c>
      <c r="AE66" s="58">
        <v>523010</v>
      </c>
      <c r="AF66" s="58">
        <v>523008</v>
      </c>
      <c r="AG66" s="58">
        <v>523011</v>
      </c>
      <c r="AH66" s="59"/>
      <c r="AI66" s="59">
        <v>523012</v>
      </c>
      <c r="AJ66" s="61">
        <f>IF($O$21=1,AB66,IF($O$21=2,AD66,IF($O$21=3,AC66,IF($O$21=4,AE66,IF($O$21=5,AF66,IF($O$21=6,AA66,IF($O$21=7,AG66,IF($O$21=8,AH66,IF($O$21=9,Z66,IF($O$21=10,AI66,0))))))))))</f>
        <v>0</v>
      </c>
      <c r="AK66" s="61"/>
      <c r="ES66" s="561" t="str">
        <f>VLOOKUP(765,Sprachindex!$A:$Z,Info!$O$7,FALSE)</f>
        <v>Saumrinnenhaken</v>
      </c>
      <c r="ET66" s="562"/>
      <c r="EU66" s="562"/>
      <c r="EV66" s="562"/>
      <c r="EW66" s="562"/>
      <c r="EX66" s="352"/>
      <c r="EY66" s="326"/>
      <c r="EZ66" s="405"/>
      <c r="FA66" s="400">
        <v>15.1</v>
      </c>
      <c r="FB66" s="326"/>
      <c r="FC66" s="401">
        <v>13.11</v>
      </c>
      <c r="FD66" s="407"/>
      <c r="FE66" s="326"/>
      <c r="FF66" s="344"/>
      <c r="FG66" s="343"/>
      <c r="FH66" s="326"/>
      <c r="FI66" s="344"/>
      <c r="FJ66" s="343"/>
      <c r="FK66" s="326"/>
      <c r="FL66" s="344"/>
      <c r="FM66" s="343"/>
      <c r="FN66" s="326"/>
      <c r="FO66" s="344"/>
      <c r="FP66" s="343"/>
      <c r="FQ66" s="326"/>
      <c r="FR66" s="344"/>
      <c r="FS66" s="343"/>
      <c r="FT66" s="326"/>
      <c r="FU66" s="344"/>
      <c r="FV66" s="343"/>
      <c r="FW66" s="326"/>
      <c r="FX66" s="344"/>
      <c r="FY66" s="343"/>
      <c r="FZ66" s="326"/>
      <c r="GA66" s="344"/>
      <c r="GB66" s="343"/>
      <c r="GC66" s="326"/>
      <c r="GD66" s="344"/>
      <c r="GE66" s="343"/>
      <c r="GF66" s="326"/>
      <c r="GG66" s="344"/>
      <c r="GH66" s="343"/>
      <c r="GI66" s="326"/>
      <c r="GJ66" s="344"/>
      <c r="GK66" s="343"/>
      <c r="GL66" s="326"/>
      <c r="GM66" s="344"/>
      <c r="GN66" s="343"/>
      <c r="GO66" s="326"/>
      <c r="GP66" s="353"/>
      <c r="GQ66" s="126" t="str">
        <f t="shared" si="11"/>
        <v xml:space="preserve"> </v>
      </c>
      <c r="GV66" s="334" t="str">
        <f t="shared" si="12"/>
        <v xml:space="preserve"> </v>
      </c>
    </row>
    <row r="67" spans="1:204" ht="32.1" customHeight="1">
      <c r="A67" s="109"/>
      <c r="B67" s="79" t="str">
        <f>VLOOKUP(1512,Sprachindex!$A:$Z,Info!$O$7,FALSE)</f>
        <v>lfm</v>
      </c>
      <c r="C67" s="78"/>
      <c r="D67" s="78">
        <f>IF($O$25=2,AJ67,IF($O$25=3,AV67,IF($O$25=4,BH67,IF($O$25=5,BT67,0))))</f>
        <v>0</v>
      </c>
      <c r="E67" s="561" t="str">
        <f>VLOOKUP(1186,Sprachindex!$A:$Z,Info!$O$7,FALSE)</f>
        <v>Ablaufrohr mit Schutzfolie</v>
      </c>
      <c r="F67" s="562"/>
      <c r="G67" s="562"/>
      <c r="H67" s="562"/>
      <c r="I67" s="562"/>
      <c r="J67" s="627" t="str">
        <f>Formeln!A233</f>
        <v/>
      </c>
      <c r="K67" s="628"/>
      <c r="L67" s="79" t="str">
        <f t="shared" si="5"/>
        <v xml:space="preserve"> </v>
      </c>
      <c r="M67" s="440" t="str">
        <f t="shared" si="2"/>
        <v>lfm</v>
      </c>
      <c r="N67" s="80"/>
      <c r="O67" s="202" t="str">
        <f>IF(ISNUMBER(A67),L67*GV67," ")</f>
        <v xml:space="preserve"> </v>
      </c>
      <c r="R67" s="195"/>
      <c r="S67" s="195"/>
      <c r="T67" s="195"/>
      <c r="U67" s="1"/>
      <c r="V67" s="149" t="e">
        <f t="shared" si="10"/>
        <v>#VALUE!</v>
      </c>
      <c r="W67" s="149">
        <f t="shared" si="10"/>
        <v>0</v>
      </c>
      <c r="X67" s="149" t="str">
        <f>IF($O$25=1,3,IF($O$25=2,60,IF($O$25=3,39,IF($O$25=4,24,IF($O$25=5,18,"")))))</f>
        <v/>
      </c>
      <c r="Y67" s="149">
        <v>3</v>
      </c>
      <c r="Z67" s="58">
        <v>574012</v>
      </c>
      <c r="AA67" s="58">
        <v>574013</v>
      </c>
      <c r="AB67" s="58">
        <v>574009</v>
      </c>
      <c r="AC67" s="58">
        <v>574021</v>
      </c>
      <c r="AD67" s="58">
        <v>574015</v>
      </c>
      <c r="AE67" s="58">
        <v>574027</v>
      </c>
      <c r="AF67" s="58">
        <v>574024</v>
      </c>
      <c r="AG67" s="58">
        <v>574036</v>
      </c>
      <c r="AH67" s="58">
        <v>574042</v>
      </c>
      <c r="AI67" s="58"/>
      <c r="AJ67" s="61">
        <f>IF($O$21=1,AB67,IF($O$21=2,AD67,IF($O$21=3,AC67,IF($O$21=4,AE67,IF($O$21=5,AF67,IF($O$21=6,AA67,IF($O$21=7,AG67,IF($O$21=8,AH67,IF($O$21=9,Z67,0)))))))))</f>
        <v>0</v>
      </c>
      <c r="AK67" s="61">
        <v>80</v>
      </c>
      <c r="AL67">
        <v>574005</v>
      </c>
      <c r="AM67">
        <v>574006</v>
      </c>
      <c r="AN67">
        <v>574003</v>
      </c>
      <c r="AO67">
        <v>574019</v>
      </c>
      <c r="AP67">
        <v>574001</v>
      </c>
      <c r="AQ67">
        <v>574028</v>
      </c>
      <c r="AR67">
        <v>574025</v>
      </c>
      <c r="AS67">
        <v>574030</v>
      </c>
      <c r="AT67">
        <v>574038</v>
      </c>
      <c r="AU67">
        <v>574031</v>
      </c>
      <c r="AV67" s="61">
        <f>IF($O$21=1,AN67,IF($O$21=2,AP67,IF($O$21=3,AO67,IF($O$21=4,AQ67,IF($O$21=5,AR67,IF($O$21=6,AM67,IF($O$21=7,AS67,IF($O$21=8,AT67,IF($O$21=9,AL67,IF($O$21=10,AU67,0))))))))))</f>
        <v>0</v>
      </c>
      <c r="AW67" s="61">
        <v>100</v>
      </c>
      <c r="AX67">
        <v>574007</v>
      </c>
      <c r="AY67">
        <v>574004</v>
      </c>
      <c r="AZ67">
        <v>574010</v>
      </c>
      <c r="BA67">
        <v>574023</v>
      </c>
      <c r="BB67">
        <v>574011</v>
      </c>
      <c r="BC67">
        <v>574029</v>
      </c>
      <c r="BD67">
        <v>574026</v>
      </c>
      <c r="BE67">
        <v>574037</v>
      </c>
      <c r="BF67">
        <v>574043</v>
      </c>
      <c r="BG67"/>
      <c r="BH67" s="61">
        <f>IF($O$21=1,AZ67,IF($O$21=2,BB67,IF($O$21=3,BA67,IF($O$21=4,BC67,IF($O$21=5,BD67,IF($O$21=6,AY67,IF($O$21=7,BE67,IF($O$21=8,BF67,IF($O$21=9,AX67,0)))))))))</f>
        <v>0</v>
      </c>
      <c r="BI67" s="61">
        <v>120</v>
      </c>
      <c r="BJ67">
        <v>574008</v>
      </c>
      <c r="BK67">
        <v>574002</v>
      </c>
      <c r="BL67">
        <v>574014</v>
      </c>
      <c r="BM67" s="59"/>
      <c r="BN67">
        <v>574017</v>
      </c>
      <c r="BO67" s="59"/>
      <c r="BP67" s="59"/>
      <c r="BQ67" s="59"/>
      <c r="BR67" s="59"/>
      <c r="BS67" s="59"/>
      <c r="BT67" s="61">
        <f>IF($O$21=1,BL67,IF($O$21=2,BN67,IF($O$21=3,BM67,IF($O$21=4,BO67,IF($O$21=5,BP67,IF($O$21=6,BK67,IF($O$21=7,BQ67,IF($O$21=8,BR67,IF($O$21=9,BJ67,0)))))))))</f>
        <v>0</v>
      </c>
      <c r="BU67" s="61">
        <v>150</v>
      </c>
      <c r="ES67" s="561" t="str">
        <f>VLOOKUP(1186,Sprachindex!$A:$Z,Info!$O$7,FALSE)</f>
        <v>Ablaufrohr mit Schutzfolie</v>
      </c>
      <c r="ET67" s="562"/>
      <c r="EU67" s="562"/>
      <c r="EV67" s="562"/>
      <c r="EW67" s="562"/>
      <c r="EX67" s="403"/>
      <c r="EY67" s="404"/>
      <c r="EZ67" s="406"/>
      <c r="FA67" s="408"/>
      <c r="FB67" s="404"/>
      <c r="FC67" s="344"/>
      <c r="FD67" s="414" t="s">
        <v>1714</v>
      </c>
      <c r="FE67" s="326">
        <v>16.62</v>
      </c>
      <c r="FF67" s="344">
        <v>15.13</v>
      </c>
      <c r="FG67" s="408"/>
      <c r="FH67" s="404"/>
      <c r="FI67" s="410" t="s">
        <v>1685</v>
      </c>
      <c r="FJ67" s="343">
        <v>15.23</v>
      </c>
      <c r="FK67" s="326">
        <v>15.68</v>
      </c>
      <c r="FL67" s="344">
        <v>13.91</v>
      </c>
      <c r="FM67" s="343"/>
      <c r="FN67" s="326"/>
      <c r="FO67" s="411" t="s">
        <v>1686</v>
      </c>
      <c r="FP67" s="343">
        <v>15.5</v>
      </c>
      <c r="FQ67" s="326">
        <v>16.13</v>
      </c>
      <c r="FR67" s="344">
        <v>14.21</v>
      </c>
      <c r="FS67" s="343"/>
      <c r="FT67" s="326"/>
      <c r="FU67" s="412" t="s">
        <v>1687</v>
      </c>
      <c r="FV67" s="343">
        <v>21.42</v>
      </c>
      <c r="FW67" s="326">
        <v>22.06</v>
      </c>
      <c r="FX67" s="344">
        <v>19.46</v>
      </c>
      <c r="FY67" s="413" t="s">
        <v>1688</v>
      </c>
      <c r="FZ67" s="326">
        <v>28.46</v>
      </c>
      <c r="GA67" s="1">
        <v>24.22</v>
      </c>
      <c r="GB67" s="343"/>
      <c r="GC67" s="326"/>
      <c r="GD67" s="344"/>
      <c r="GE67" s="343"/>
      <c r="GF67" s="326"/>
      <c r="GG67" s="344"/>
      <c r="GH67" s="343"/>
      <c r="GI67" s="326"/>
      <c r="GJ67" s="344"/>
      <c r="GK67" s="343"/>
      <c r="GL67" s="326"/>
      <c r="GM67" s="344"/>
      <c r="GN67" s="343"/>
      <c r="GO67" s="326"/>
      <c r="GP67" s="353"/>
      <c r="GQ67" s="424" t="str">
        <f>IF(OR($O$21=1,$O$21=2,$O$21=6),FE67,IF($O$21=9,FF67," "))</f>
        <v xml:space="preserve"> </v>
      </c>
      <c r="GR67" s="318" t="str">
        <f>IF(OR($O$21=1,$O$21=2,$O$21=6),FJ67,IF(OR($O$21=3,$O$21=4,$O$21=5,$O$21=7,$O$21=8),FK67,IF($O$21=9,FL67," ")))</f>
        <v xml:space="preserve"> </v>
      </c>
      <c r="GS67" s="319" t="str">
        <f>IF(OR($O$21=1,$O$21=2,$O$21=6),FP67,IF(OR($O$21=3,$O$21=4,$O$21=5,$O$21=7,$O$21=8),FQ67,IF($O$21=9,FR67," ")))</f>
        <v xml:space="preserve"> </v>
      </c>
      <c r="GT67" s="320" t="str">
        <f>IF(OR($O$21=1,$O$21=2,$O$21=6),FV67,IF(OR($O$21=3,$O$21=4,$O$21=5,$O$21=7,$O$21=8),FW67,IF($O$21=9,FX67," ")))</f>
        <v xml:space="preserve"> </v>
      </c>
      <c r="GU67" s="425" t="str">
        <f>IF(OR($O$21=1,$O$21=2,$O$21=6),FZ67,IF($O$21=9,GA67," "))</f>
        <v xml:space="preserve"> </v>
      </c>
      <c r="GV67" s="334" t="str">
        <f>IF($O$25=1,GQ67,IF($O$25=2,GR67,IF($O$25=3,GS67,IF($O$25=4,GT67,IF($O$25=5,GU67," ")))))</f>
        <v xml:space="preserve"> </v>
      </c>
    </row>
    <row r="68" spans="1:204" ht="32.1" customHeight="1">
      <c r="A68" s="109"/>
      <c r="B68" s="79" t="str">
        <f>VLOOKUP(878,Sprachindex!$A:$Z,Info!$O$7,FALSE)</f>
        <v>Stk.</v>
      </c>
      <c r="C68" s="78"/>
      <c r="D68" s="78">
        <f>IF(O25=1,AJ68,0)</f>
        <v>0</v>
      </c>
      <c r="E68" s="561" t="str">
        <f>VLOOKUP(149,Sprachindex!$A:$Z,Info!$O$7,FALSE)</f>
        <v>Ablaufrohr (DN 60; geschweißt)</v>
      </c>
      <c r="F68" s="562"/>
      <c r="G68" s="562"/>
      <c r="H68" s="562"/>
      <c r="I68" s="562"/>
      <c r="J68" s="627" t="str">
        <f>Formeln!A233</f>
        <v/>
      </c>
      <c r="K68" s="628"/>
      <c r="L68" s="79" t="str">
        <f t="shared" si="5"/>
        <v xml:space="preserve"> </v>
      </c>
      <c r="M68" s="440" t="str">
        <f t="shared" si="2"/>
        <v>Stk.</v>
      </c>
      <c r="N68" s="80"/>
      <c r="O68" s="202" t="str">
        <f>IF(ISNUMBER(L68),L68*GV68," ")</f>
        <v xml:space="preserve"> </v>
      </c>
      <c r="R68" s="195"/>
      <c r="S68" s="195"/>
      <c r="T68" s="195"/>
      <c r="U68" s="1"/>
      <c r="V68" s="149" t="e">
        <f t="shared" ref="V68:V96" si="13">ROUNDUP($A68/X68,0)*X68</f>
        <v>#VALUE!</v>
      </c>
      <c r="W68" s="149">
        <f t="shared" ref="W68:W102" si="14">ROUNDUP($A68/Y68,0)*Y68</f>
        <v>0</v>
      </c>
      <c r="X68" s="149" t="str">
        <f>IF($O$25=1,3,"")</f>
        <v/>
      </c>
      <c r="Y68" s="149">
        <v>3</v>
      </c>
      <c r="Z68" s="58">
        <v>574061</v>
      </c>
      <c r="AA68" s="58">
        <v>574064</v>
      </c>
      <c r="AB68" s="58">
        <v>574062</v>
      </c>
      <c r="AC68" s="59"/>
      <c r="AD68" s="58">
        <v>574063</v>
      </c>
      <c r="AE68" s="59"/>
      <c r="AF68" s="59"/>
      <c r="AG68" s="59"/>
      <c r="AH68" s="59"/>
      <c r="AI68" s="59"/>
      <c r="AJ68" s="61">
        <f>IF($O$21=1,AB68,IF($O$21=2,AD68,IF($O$21=3,AC68,IF($O$21=4,AE68,IF($O$21=5,AF68,IF($O$21=6,AA68,IF($O$21=7,AG68,IF($O$21=8,AH68,IF($O$21=9,Z68,0)))))))))</f>
        <v>0</v>
      </c>
      <c r="AK68" s="61">
        <v>60</v>
      </c>
      <c r="ES68" s="561" t="str">
        <f>VLOOKUP(149,Sprachindex!$A:$Z,Info!$O$7,FALSE)</f>
        <v>Ablaufrohr (DN 60; geschweißt)</v>
      </c>
      <c r="ET68" s="562"/>
      <c r="EU68" s="562"/>
      <c r="EV68" s="562"/>
      <c r="EW68" s="562"/>
      <c r="EX68" s="352"/>
      <c r="EY68" s="326"/>
      <c r="EZ68" s="405"/>
      <c r="FA68" s="400">
        <v>166.71</v>
      </c>
      <c r="FB68" s="326"/>
      <c r="FC68" s="401">
        <v>160.69999999999999</v>
      </c>
      <c r="FD68" s="407"/>
      <c r="FE68" s="326"/>
      <c r="FF68" s="344"/>
      <c r="FG68" s="343"/>
      <c r="FH68" s="326"/>
      <c r="FI68" s="344"/>
      <c r="FJ68" s="343"/>
      <c r="FK68" s="326"/>
      <c r="FL68" s="344"/>
      <c r="FM68" s="343"/>
      <c r="FN68" s="326"/>
      <c r="FO68" s="344"/>
      <c r="FP68" s="343"/>
      <c r="FQ68" s="326"/>
      <c r="FR68" s="344"/>
      <c r="FS68" s="343"/>
      <c r="FT68" s="326"/>
      <c r="FU68" s="344"/>
      <c r="FV68" s="343"/>
      <c r="FW68" s="326"/>
      <c r="FX68" s="344"/>
      <c r="FY68" s="343"/>
      <c r="FZ68" s="326"/>
      <c r="GA68" s="344"/>
      <c r="GB68" s="343"/>
      <c r="GC68" s="326"/>
      <c r="GD68" s="344"/>
      <c r="GE68" s="343"/>
      <c r="GF68" s="326"/>
      <c r="GG68" s="344"/>
      <c r="GH68" s="343"/>
      <c r="GI68" s="326"/>
      <c r="GJ68" s="344"/>
      <c r="GK68" s="343"/>
      <c r="GL68" s="326"/>
      <c r="GM68" s="344"/>
      <c r="GN68" s="343"/>
      <c r="GO68" s="326"/>
      <c r="GP68" s="353"/>
      <c r="GQ68" s="126">
        <f>IF($O$21=9,FC68,FA68)</f>
        <v>166.71</v>
      </c>
      <c r="GV68" s="334">
        <f>GQ68</f>
        <v>166.71</v>
      </c>
    </row>
    <row r="69" spans="1:204" ht="32.1" customHeight="1">
      <c r="A69" s="109"/>
      <c r="B69" s="79" t="str">
        <f>VLOOKUP(878,Sprachindex!$A:$Z,Info!$O$7,FALSE)</f>
        <v>Stk.</v>
      </c>
      <c r="C69" s="78"/>
      <c r="D69" s="78">
        <f>IF($O$25=3,AJ69,0)</f>
        <v>0</v>
      </c>
      <c r="E69" s="561" t="str">
        <f>VLOOKUP(148,Sprachindex!$A:$Z,Info!$O$7,FALSE)</f>
        <v>Ablaufrohr (1,6 mm; DN 100)</v>
      </c>
      <c r="F69" s="562"/>
      <c r="G69" s="562"/>
      <c r="H69" s="562"/>
      <c r="I69" s="562"/>
      <c r="J69" s="627" t="str">
        <f>Formeln!A251</f>
        <v>100 ⌀ × 1.450 mm</v>
      </c>
      <c r="K69" s="628"/>
      <c r="L69" s="79" t="str">
        <f t="shared" si="5"/>
        <v xml:space="preserve"> </v>
      </c>
      <c r="M69" s="440" t="str">
        <f t="shared" si="2"/>
        <v>Stk.</v>
      </c>
      <c r="N69" s="80"/>
      <c r="O69" s="202" t="str">
        <f>IF(ISNUMBER(L69),L69*GV69," ")</f>
        <v xml:space="preserve"> </v>
      </c>
      <c r="R69" s="195"/>
      <c r="S69" s="195"/>
      <c r="T69" s="195"/>
      <c r="U69" s="1"/>
      <c r="V69" s="149" t="e">
        <f t="shared" si="13"/>
        <v>#VALUE!</v>
      </c>
      <c r="W69" s="149">
        <f t="shared" si="14"/>
        <v>0</v>
      </c>
      <c r="X69" s="149" t="str">
        <f>IF($O$25=3,1,"")</f>
        <v/>
      </c>
      <c r="Y69" s="149">
        <v>1</v>
      </c>
      <c r="Z69" s="58" t="s">
        <v>1715</v>
      </c>
      <c r="AA69" s="58"/>
      <c r="AB69" s="58"/>
      <c r="AC69" s="58"/>
      <c r="AD69" s="58"/>
      <c r="AE69" s="58"/>
      <c r="AF69" s="58"/>
      <c r="AG69" s="58"/>
      <c r="AH69" s="58"/>
      <c r="AI69" s="58"/>
      <c r="AJ69" s="61">
        <f>IF($O$21=1,AB69,IF($O$21=2,AD69,IF($O$21=3,AC69,IF($O$21=4,AE69,IF($O$21=5,AF69,IF($O$21=6,AA69,IF($O$21=7,AG69,IF($O$21=8,AH69,IF($O$21=9,Z69,0)))))))))</f>
        <v>0</v>
      </c>
      <c r="AK69" s="61"/>
      <c r="ES69" s="561" t="str">
        <f>VLOOKUP(148,Sprachindex!$A:$Z,Info!$O$7,FALSE)</f>
        <v>Ablaufrohr (1,6 mm; DN 100)</v>
      </c>
      <c r="ET69" s="562"/>
      <c r="EU69" s="562"/>
      <c r="EV69" s="562"/>
      <c r="EW69" s="562"/>
      <c r="EX69" s="352"/>
      <c r="EY69" s="326"/>
      <c r="EZ69" s="344"/>
      <c r="FA69" s="343"/>
      <c r="FB69" s="326"/>
      <c r="FC69" s="344"/>
      <c r="FD69" s="343"/>
      <c r="FE69" s="326"/>
      <c r="FF69" s="344"/>
      <c r="FG69" s="343"/>
      <c r="FH69" s="326"/>
      <c r="FI69" s="344"/>
      <c r="FJ69" s="343"/>
      <c r="FK69" s="326"/>
      <c r="FL69" s="344"/>
      <c r="FM69" s="343"/>
      <c r="FN69" s="326"/>
      <c r="FO69" s="344"/>
      <c r="FP69" s="343"/>
      <c r="FQ69" s="326"/>
      <c r="FR69" s="344"/>
      <c r="FS69" s="343"/>
      <c r="FT69" s="326"/>
      <c r="FU69" s="344"/>
      <c r="FV69" s="343"/>
      <c r="FW69" s="326"/>
      <c r="FX69" s="344"/>
      <c r="FY69" s="343"/>
      <c r="FZ69" s="326"/>
      <c r="GA69" s="344"/>
      <c r="GB69" s="343"/>
      <c r="GC69" s="326"/>
      <c r="GD69" s="344"/>
      <c r="GE69" s="343"/>
      <c r="GF69" s="326"/>
      <c r="GG69" s="344"/>
      <c r="GH69" s="343"/>
      <c r="GI69" s="326"/>
      <c r="GJ69" s="344"/>
      <c r="GK69" s="343"/>
      <c r="GL69" s="326"/>
      <c r="GM69" s="344"/>
      <c r="GN69" s="343"/>
      <c r="GO69" s="326"/>
      <c r="GP69" s="353"/>
      <c r="GV69" s="334"/>
    </row>
    <row r="70" spans="1:204" ht="32.1" customHeight="1">
      <c r="A70" s="109"/>
      <c r="B70" s="79" t="str">
        <f>VLOOKUP(878,Sprachindex!$A:$Z,Info!$O$7,FALSE)</f>
        <v>Stk.</v>
      </c>
      <c r="C70" s="78"/>
      <c r="D70" s="78">
        <f>IF($O$25=2,AJ70,IF($O$25=3,AV70,IF($O$25=4,BH70,IF($O$25=5,BT70,IF($O$25=1,CF70,0)))))</f>
        <v>0</v>
      </c>
      <c r="E70" s="561" t="str">
        <f>VLOOKUP(742,Sprachindex!$A:$Z,Info!$O$7,FALSE)</f>
        <v>Rohrschelle (mit M10 Gewinde; ohne Dorn)</v>
      </c>
      <c r="F70" s="562"/>
      <c r="G70" s="562"/>
      <c r="H70" s="562"/>
      <c r="I70" s="562"/>
      <c r="J70" s="627" t="str">
        <f>Formeln!A233</f>
        <v/>
      </c>
      <c r="K70" s="628"/>
      <c r="L70" s="79" t="str">
        <f t="shared" si="5"/>
        <v xml:space="preserve"> </v>
      </c>
      <c r="M70" s="440" t="str">
        <f t="shared" si="2"/>
        <v>Stk.</v>
      </c>
      <c r="N70" s="80"/>
      <c r="O70" s="202" t="str">
        <f>IF(ISNUMBER(A70),L70*GV70," ")</f>
        <v xml:space="preserve"> </v>
      </c>
      <c r="R70" s="195"/>
      <c r="S70" s="195"/>
      <c r="T70" s="195"/>
      <c r="U70" s="1"/>
      <c r="V70" s="149" t="e">
        <f t="shared" si="13"/>
        <v>#VALUE!</v>
      </c>
      <c r="W70" s="149">
        <f t="shared" si="14"/>
        <v>0</v>
      </c>
      <c r="X70" s="149" t="str">
        <f>IF($O$25=1,2,IF($O$25=2,25,IF($O$25=3,25,IF($O$25=4,25,IF($O$25=5,15,"")))))</f>
        <v/>
      </c>
      <c r="Y70" s="149">
        <v>1</v>
      </c>
      <c r="Z70" s="58">
        <v>529600</v>
      </c>
      <c r="AA70" s="58">
        <v>529603</v>
      </c>
      <c r="AB70" s="58">
        <v>529601</v>
      </c>
      <c r="AC70" s="58">
        <v>529605</v>
      </c>
      <c r="AD70" s="58">
        <v>529602</v>
      </c>
      <c r="AE70" s="58">
        <v>529606</v>
      </c>
      <c r="AF70" s="58">
        <v>529604</v>
      </c>
      <c r="AG70" s="58">
        <v>529608</v>
      </c>
      <c r="AH70" s="58">
        <v>529609</v>
      </c>
      <c r="AI70" s="58"/>
      <c r="AJ70" s="61">
        <f>IF($O$21=1,AB70,IF($O$21=2,AD70,IF($O$21=3,AC70,IF($O$21=4,AE70,IF($O$21=5,AF70,IF($O$21=6,AA70,IF($O$21=7,AG70,IF($O$21=8,AH70,IF($O$21=9,Z70,0)))))))))</f>
        <v>0</v>
      </c>
      <c r="AK70" s="61">
        <v>80</v>
      </c>
      <c r="AL70">
        <v>529620</v>
      </c>
      <c r="AM70">
        <v>529623</v>
      </c>
      <c r="AN70">
        <v>529621</v>
      </c>
      <c r="AO70">
        <v>529625</v>
      </c>
      <c r="AP70">
        <v>529622</v>
      </c>
      <c r="AQ70">
        <v>529626</v>
      </c>
      <c r="AR70">
        <v>529624</v>
      </c>
      <c r="AS70">
        <v>529628</v>
      </c>
      <c r="AT70">
        <v>529629</v>
      </c>
      <c r="AU70">
        <v>529631</v>
      </c>
      <c r="AV70" s="61">
        <f>IF($O$21=1,AN70,IF($O$21=2,AP70,IF($O$21=3,AO70,IF($O$21=4,AQ70,IF($O$21=5,AR70,IF($O$21=6,AM70,IF($O$21=7,AS70,IF($O$21=8,AT70,IF($O$21=9,AL70,IF($O$21=10,AU70,0))))))))))</f>
        <v>0</v>
      </c>
      <c r="AW70" s="61">
        <v>100</v>
      </c>
      <c r="AX70">
        <v>529640</v>
      </c>
      <c r="AY70">
        <v>529643</v>
      </c>
      <c r="AZ70">
        <v>529641</v>
      </c>
      <c r="BA70">
        <v>529645</v>
      </c>
      <c r="BB70">
        <v>529642</v>
      </c>
      <c r="BC70">
        <v>529646</v>
      </c>
      <c r="BD70">
        <v>529644</v>
      </c>
      <c r="BE70">
        <v>529648</v>
      </c>
      <c r="BF70">
        <v>529649</v>
      </c>
      <c r="BG70"/>
      <c r="BH70" s="61">
        <f>IF($O$21=1,AZ70,IF($O$21=2,BB70,IF($O$21=3,BA70,IF($O$21=4,BC70,IF($O$21=5,BD70,IF($O$21=6,AY70,IF($O$21=7,BE70,IF($O$21=8,BF70,IF($O$21=9,AX70,0)))))))))</f>
        <v>0</v>
      </c>
      <c r="BI70" s="61">
        <v>120</v>
      </c>
      <c r="BJ70">
        <v>529710</v>
      </c>
      <c r="BK70">
        <v>529702</v>
      </c>
      <c r="BL70">
        <v>529700</v>
      </c>
      <c r="BM70" s="59"/>
      <c r="BN70">
        <v>529701</v>
      </c>
      <c r="BO70" s="59"/>
      <c r="BP70" s="59"/>
      <c r="BQ70" s="59"/>
      <c r="BR70" s="59"/>
      <c r="BS70" s="59"/>
      <c r="BT70" s="61">
        <f>IF($O$21=1,BL70,IF($O$21=2,BN70,IF($O$21=3,BM70,IF($O$21=4,BO70,IF($O$21=5,BP70,IF($O$21=6,BK70,IF($O$21=7,BQ70,IF($O$21=8,BR70,IF($O$21=9,BJ70,0)))))))))</f>
        <v>0</v>
      </c>
      <c r="BU70" s="61">
        <v>150</v>
      </c>
      <c r="BV70" s="58">
        <v>529670</v>
      </c>
      <c r="BW70" s="58">
        <v>529673</v>
      </c>
      <c r="BX70" s="58">
        <v>529671</v>
      </c>
      <c r="BY70" s="59"/>
      <c r="BZ70" s="58">
        <v>529672</v>
      </c>
      <c r="CA70" s="59"/>
      <c r="CB70" s="59"/>
      <c r="CC70" s="59"/>
      <c r="CD70" s="59"/>
      <c r="CE70" s="59"/>
      <c r="CF70" s="61">
        <f>IF($O$21=1,BX70,IF($O$21=2,BZ70,IF($O$21=3,BY70,IF($O$21=4,CA70,IF($O$21=5,CB70,IF($O$21=6,BW70,IF($O$21=7,CC70,IF($O$21=8,CD70,IF($O$21=9,BV70,0)))))))))</f>
        <v>0</v>
      </c>
      <c r="CG70" s="61">
        <v>60</v>
      </c>
      <c r="ES70" s="561" t="str">
        <f>VLOOKUP(742,Sprachindex!$A:$Z,Info!$O$7,FALSE)</f>
        <v>Rohrschelle (mit M10 Gewinde; ohne Dorn)</v>
      </c>
      <c r="ET70" s="562"/>
      <c r="EU70" s="562"/>
      <c r="EV70" s="562"/>
      <c r="EW70" s="562"/>
      <c r="EX70" s="352"/>
      <c r="EY70" s="326"/>
      <c r="EZ70" s="344"/>
      <c r="FA70" s="343"/>
      <c r="FB70" s="326"/>
      <c r="FC70" s="344"/>
      <c r="FD70" s="343">
        <v>7.85</v>
      </c>
      <c r="FE70" s="414" t="s">
        <v>1714</v>
      </c>
      <c r="FF70" s="344">
        <v>7.16</v>
      </c>
      <c r="FG70" s="343"/>
      <c r="FH70" s="326"/>
      <c r="FJ70" s="343">
        <v>7</v>
      </c>
      <c r="FK70" s="410" t="s">
        <v>1685</v>
      </c>
      <c r="FL70" s="344">
        <v>5.01</v>
      </c>
      <c r="FM70" s="343"/>
      <c r="FN70" s="326"/>
      <c r="FP70" s="343">
        <v>7.44</v>
      </c>
      <c r="FQ70" s="411" t="s">
        <v>1686</v>
      </c>
      <c r="FR70" s="344">
        <v>5.22</v>
      </c>
      <c r="FS70" s="343"/>
      <c r="FT70" s="326"/>
      <c r="FV70" s="343">
        <v>8.4700000000000006</v>
      </c>
      <c r="FW70" s="412" t="s">
        <v>1687</v>
      </c>
      <c r="FX70" s="344">
        <v>5.9</v>
      </c>
      <c r="FY70" s="343"/>
      <c r="FZ70" s="326"/>
      <c r="GA70" s="344"/>
      <c r="GB70" s="343">
        <v>11.87</v>
      </c>
      <c r="GC70" s="413" t="s">
        <v>1688</v>
      </c>
      <c r="GD70" s="344">
        <v>9.91</v>
      </c>
      <c r="GE70" s="343"/>
      <c r="GF70" s="326"/>
      <c r="GG70" s="344"/>
      <c r="GH70" s="343"/>
      <c r="GI70" s="326"/>
      <c r="GJ70" s="344"/>
      <c r="GK70" s="343"/>
      <c r="GL70" s="326"/>
      <c r="GM70" s="344"/>
      <c r="GN70" s="343"/>
      <c r="GO70" s="326"/>
      <c r="GP70" s="353"/>
      <c r="GQ70" s="424" t="str">
        <f>IF(OR($O$21=1,$O$21=2,$O$21=6),FD70,IF($O$21=9,FF70," "))</f>
        <v xml:space="preserve"> </v>
      </c>
      <c r="GR70" s="318">
        <f>IF($O$21=9,FL70,FJ70)</f>
        <v>7</v>
      </c>
      <c r="GS70" s="319">
        <f>IF($O$21=9,FR70,FP70)</f>
        <v>7.44</v>
      </c>
      <c r="GT70" s="320">
        <f>IF($O$21=9,FX70,FV70)</f>
        <v>8.4700000000000006</v>
      </c>
      <c r="GU70" s="425" t="str">
        <f>IF(OR($O$21=1,$O$21=2,$O$21=6),GB70,IF($O$21=9,GD70," "))</f>
        <v xml:space="preserve"> </v>
      </c>
      <c r="GV70" s="334" t="str">
        <f>IF($O$25=1,GQ70,IF($O$25=2,GR70,IF($O$25=3,GS70,IF($O$25=4,GT70,IF($O$25=5,GU70," ")))))</f>
        <v xml:space="preserve"> </v>
      </c>
    </row>
    <row r="71" spans="1:204" ht="32.1" customHeight="1">
      <c r="A71" s="109"/>
      <c r="B71" s="79" t="str">
        <f>VLOOKUP(878,Sprachindex!$A:$Z,Info!$O$7,FALSE)</f>
        <v>Stk.</v>
      </c>
      <c r="C71" s="78"/>
      <c r="D71" s="78">
        <f>IF(J71=Formeln!B153,345030,IF(J71=Formeln!B154,345031,IF(J71=Formeln!B155,345032,IF(J71=Formeln!B152,345033,0))))</f>
        <v>0</v>
      </c>
      <c r="E71" s="561" t="str">
        <f>VLOOKUP(744,Sprachindex!$A:$Z,Info!$O$7,FALSE)</f>
        <v>Rohrschellendorn für WDVS-Rohrschellendübel ⌀ 10</v>
      </c>
      <c r="F71" s="562"/>
      <c r="G71" s="562"/>
      <c r="H71" s="562"/>
      <c r="I71" s="84" t="str">
        <f>VLOOKUP(556,Sprachindex!$A:$Z,Info!$O$7,FALSE)</f>
        <v>Länge wählen:</v>
      </c>
      <c r="J71" s="614"/>
      <c r="K71" s="630"/>
      <c r="L71" s="79" t="str">
        <f t="shared" si="5"/>
        <v xml:space="preserve"> </v>
      </c>
      <c r="M71" s="440" t="str">
        <f t="shared" si="2"/>
        <v>Stk.</v>
      </c>
      <c r="N71" s="80"/>
      <c r="O71" s="202" t="str">
        <f>IF(ISNUMBER(A71),L71*GV71," ")</f>
        <v xml:space="preserve"> </v>
      </c>
      <c r="R71" s="195"/>
      <c r="S71" s="195"/>
      <c r="T71" s="195"/>
      <c r="U71" s="1"/>
      <c r="V71" s="149">
        <f t="shared" si="13"/>
        <v>0</v>
      </c>
      <c r="W71" s="149">
        <f t="shared" si="14"/>
        <v>0</v>
      </c>
      <c r="X71" s="149">
        <f>IF(J71=Formeln!$B$152,"",25)</f>
        <v>25</v>
      </c>
      <c r="Y71" s="149">
        <v>1</v>
      </c>
      <c r="ES71" s="561" t="str">
        <f>VLOOKUP(744,Sprachindex!$A:$Z,Info!$O$7,FALSE)</f>
        <v>Rohrschellendorn für WDVS-Rohrschellendübel ⌀ 10</v>
      </c>
      <c r="ET71" s="562"/>
      <c r="EU71" s="562"/>
      <c r="EV71" s="562"/>
      <c r="EW71" s="309" t="str">
        <f>VLOOKUP(556,Sprachindex!$A:$Z,Info!$O$7,FALSE)</f>
        <v>Länge wählen:</v>
      </c>
      <c r="EX71" s="352"/>
      <c r="EY71" s="326"/>
      <c r="EZ71" s="344"/>
      <c r="FA71" s="343"/>
      <c r="FB71" s="326"/>
      <c r="FC71" s="344"/>
      <c r="FD71" s="343"/>
      <c r="FE71" s="383" t="s">
        <v>1663</v>
      </c>
      <c r="FF71" s="344">
        <v>1.62</v>
      </c>
      <c r="FG71" s="343"/>
      <c r="FH71" s="383" t="s">
        <v>1664</v>
      </c>
      <c r="FI71" s="344">
        <v>1.98</v>
      </c>
      <c r="FJ71" s="343"/>
      <c r="FK71" s="383" t="s">
        <v>1662</v>
      </c>
      <c r="FL71" s="344">
        <v>4.21</v>
      </c>
      <c r="FM71" s="343"/>
      <c r="FN71" s="326"/>
      <c r="FO71" s="344"/>
      <c r="FP71" s="343"/>
      <c r="FQ71" s="326"/>
      <c r="FR71" s="344"/>
      <c r="FS71" s="343"/>
      <c r="FT71" s="326"/>
      <c r="FU71" s="344"/>
      <c r="FV71" s="343"/>
      <c r="FW71" s="326"/>
      <c r="FX71" s="344"/>
      <c r="FY71" s="343"/>
      <c r="FZ71" s="326"/>
      <c r="GA71" s="344"/>
      <c r="GB71" s="343"/>
      <c r="GC71" s="326"/>
      <c r="GD71" s="344"/>
      <c r="GE71" s="343"/>
      <c r="GF71" s="326"/>
      <c r="GG71" s="344"/>
      <c r="GH71" s="343"/>
      <c r="GI71" s="326"/>
      <c r="GJ71" s="344"/>
      <c r="GK71" s="343"/>
      <c r="GL71" s="326"/>
      <c r="GM71" s="344"/>
      <c r="GN71" s="343"/>
      <c r="GO71" s="326"/>
      <c r="GP71" s="353"/>
      <c r="GV71" s="334" t="str">
        <f>IF(J71=FE71,FF71,IF(J71=FH71,FI71,IF(J71=FK71,FL71," ")))</f>
        <v xml:space="preserve"> </v>
      </c>
    </row>
    <row r="72" spans="1:204" ht="32.1" customHeight="1">
      <c r="A72" s="109"/>
      <c r="B72" s="79" t="str">
        <f>VLOOKUP(878,Sprachindex!$A:$Z,Info!$O$7,FALSE)</f>
        <v>Stk.</v>
      </c>
      <c r="C72" s="78"/>
      <c r="D72" s="78">
        <v>345033</v>
      </c>
      <c r="E72" s="561" t="str">
        <f>VLOOKUP(743,Sprachindex!$A:$Z,Info!$O$7,FALSE)</f>
        <v>Rohrschellendorn</v>
      </c>
      <c r="F72" s="562"/>
      <c r="G72" s="562"/>
      <c r="H72" s="562"/>
      <c r="I72" s="629"/>
      <c r="J72" s="614" t="s">
        <v>1716</v>
      </c>
      <c r="K72" s="615"/>
      <c r="L72" s="79"/>
      <c r="M72" s="440"/>
      <c r="N72" s="80"/>
      <c r="O72" s="202"/>
      <c r="R72" s="195"/>
      <c r="S72" s="195"/>
      <c r="T72" s="195"/>
      <c r="U72" s="1"/>
      <c r="V72" s="149"/>
      <c r="W72" s="149"/>
      <c r="X72" s="149"/>
      <c r="Y72" s="149"/>
      <c r="ES72" s="536"/>
      <c r="ET72" s="537"/>
      <c r="EU72" s="537"/>
      <c r="EV72" s="537"/>
      <c r="EW72" s="309"/>
      <c r="EX72" s="538"/>
      <c r="EY72" s="539"/>
      <c r="EZ72" s="540"/>
      <c r="FA72" s="343"/>
      <c r="FB72" s="326"/>
      <c r="FC72" s="344"/>
      <c r="FD72" s="541"/>
      <c r="FE72" s="542"/>
      <c r="FF72" s="540"/>
      <c r="FG72" s="343"/>
      <c r="FH72" s="383"/>
      <c r="FI72" s="344"/>
      <c r="FJ72" s="541"/>
      <c r="FK72" s="542"/>
      <c r="FL72" s="540"/>
      <c r="FM72" s="343"/>
      <c r="FN72" s="326"/>
      <c r="FO72" s="344"/>
      <c r="FP72" s="343"/>
      <c r="FQ72" s="326"/>
      <c r="FR72" s="344"/>
      <c r="FS72" s="343"/>
      <c r="FT72" s="326"/>
      <c r="FU72" s="344"/>
      <c r="FV72" s="343"/>
      <c r="FW72" s="326"/>
      <c r="FX72" s="344"/>
      <c r="FY72" s="343"/>
      <c r="FZ72" s="326"/>
      <c r="GA72" s="344"/>
      <c r="GB72" s="343"/>
      <c r="GC72" s="326"/>
      <c r="GD72" s="344"/>
      <c r="GE72" s="343"/>
      <c r="GF72" s="326"/>
      <c r="GG72" s="344"/>
      <c r="GH72" s="343"/>
      <c r="GI72" s="326"/>
      <c r="GJ72" s="344"/>
      <c r="GK72" s="343"/>
      <c r="GL72" s="326"/>
      <c r="GM72" s="344"/>
      <c r="GN72" s="343"/>
      <c r="GO72" s="326"/>
      <c r="GP72" s="353"/>
      <c r="GV72" s="334"/>
    </row>
    <row r="73" spans="1:204" ht="32.1" customHeight="1">
      <c r="A73" s="109"/>
      <c r="B73" s="79" t="str">
        <f>VLOOKUP(878,Sprachindex!$A:$Z,Info!$O$7,FALSE)</f>
        <v>Stk.</v>
      </c>
      <c r="C73" s="78"/>
      <c r="D73" s="78">
        <f>IF(J73=Formeln!A281,345040,IF(J73=Formeln!A282,345041,IF(J73=Formeln!A283,345042,0)))</f>
        <v>0</v>
      </c>
      <c r="E73" s="561" t="str">
        <f>VLOOKUP(745,Sprachindex!$A:$Z,Info!$O$7,FALSE)</f>
        <v>WDVS-Rohrschellendübel ⌀ 10</v>
      </c>
      <c r="F73" s="562"/>
      <c r="G73" s="562"/>
      <c r="H73" s="562"/>
      <c r="I73" s="84" t="str">
        <f>VLOOKUP(556,Sprachindex!$A:$Z,Info!$O$7,FALSE)</f>
        <v>Länge wählen:</v>
      </c>
      <c r="J73" s="614"/>
      <c r="K73" s="630"/>
      <c r="L73" s="79" t="str">
        <f t="shared" si="5"/>
        <v xml:space="preserve"> </v>
      </c>
      <c r="M73" s="440" t="str">
        <f t="shared" si="2"/>
        <v>Stk.</v>
      </c>
      <c r="N73" s="80"/>
      <c r="O73" s="202" t="str">
        <f t="shared" ref="O73:O82" si="15">IF(ISNUMBER(A73),L73*GV73," ")</f>
        <v xml:space="preserve"> </v>
      </c>
      <c r="R73" s="195"/>
      <c r="S73" s="195"/>
      <c r="T73" s="195"/>
      <c r="U73" s="1"/>
      <c r="V73" s="149" t="e">
        <f t="shared" si="13"/>
        <v>#VALUE!</v>
      </c>
      <c r="W73" s="149">
        <f t="shared" si="14"/>
        <v>0</v>
      </c>
      <c r="X73" s="149" t="str">
        <f>IF(J73=Formeln!$A$278,"",25)</f>
        <v/>
      </c>
      <c r="Y73" s="149">
        <v>1</v>
      </c>
      <c r="ES73" s="561" t="str">
        <f>VLOOKUP(745,Sprachindex!$A:$Z,Info!$O$7,FALSE)</f>
        <v>WDVS-Rohrschellendübel ⌀ 10</v>
      </c>
      <c r="ET73" s="562"/>
      <c r="EU73" s="562"/>
      <c r="EV73" s="562"/>
      <c r="EW73" s="309" t="str">
        <f>VLOOKUP(556,Sprachindex!$A:$Z,Info!$O$7,FALSE)</f>
        <v>Länge wählen:</v>
      </c>
      <c r="EX73" s="687" t="s">
        <v>1057</v>
      </c>
      <c r="EY73" s="688"/>
      <c r="EZ73" s="689"/>
      <c r="FA73" s="343">
        <v>1.1599999999999999</v>
      </c>
      <c r="FB73" s="326"/>
      <c r="FC73" s="344"/>
      <c r="FD73" s="690" t="s">
        <v>1058</v>
      </c>
      <c r="FE73" s="688"/>
      <c r="FF73" s="689"/>
      <c r="FG73" s="343">
        <v>1.35</v>
      </c>
      <c r="FH73" s="326"/>
      <c r="FI73" s="344"/>
      <c r="FJ73" s="690" t="s">
        <v>1059</v>
      </c>
      <c r="FK73" s="688"/>
      <c r="FL73" s="689"/>
      <c r="FM73" s="343">
        <v>1.55</v>
      </c>
      <c r="FN73" s="326"/>
      <c r="FO73" s="344"/>
      <c r="FP73" s="343"/>
      <c r="FQ73" s="326"/>
      <c r="FR73" s="344"/>
      <c r="FS73" s="343"/>
      <c r="FT73" s="326"/>
      <c r="FU73" s="344"/>
      <c r="FV73" s="343"/>
      <c r="FW73" s="326"/>
      <c r="FX73" s="344"/>
      <c r="FY73" s="343"/>
      <c r="FZ73" s="326"/>
      <c r="GA73" s="344"/>
      <c r="GB73" s="343"/>
      <c r="GC73" s="326"/>
      <c r="GD73" s="344"/>
      <c r="GE73" s="343"/>
      <c r="GF73" s="326"/>
      <c r="GG73" s="344"/>
      <c r="GH73" s="343"/>
      <c r="GI73" s="326"/>
      <c r="GJ73" s="344"/>
      <c r="GK73" s="343"/>
      <c r="GL73" s="326"/>
      <c r="GM73" s="344"/>
      <c r="GN73" s="343"/>
      <c r="GO73" s="326"/>
      <c r="GP73" s="353"/>
      <c r="GV73" s="334" t="str">
        <f>IF(J73=EX73,FA73,IF(J73=FD73,FG73,IF(J73=FJ73,FM73," ")))</f>
        <v xml:space="preserve"> </v>
      </c>
    </row>
    <row r="74" spans="1:204" ht="32.1" customHeight="1">
      <c r="A74" s="109"/>
      <c r="B74" s="79" t="str">
        <f>VLOOKUP(878,Sprachindex!$A:$Z,Info!$O$7,FALSE)</f>
        <v>Stk.</v>
      </c>
      <c r="C74" s="78"/>
      <c r="D74" s="78">
        <v>345015</v>
      </c>
      <c r="E74" s="561" t="str">
        <f>VLOOKUP(587,Sprachindex!$A:$Z,Info!$O$7,FALSE)</f>
        <v>M10-Gewindedorn</v>
      </c>
      <c r="F74" s="562"/>
      <c r="G74" s="562"/>
      <c r="H74" s="562"/>
      <c r="I74" s="562"/>
      <c r="J74" s="627" t="str">
        <f>VLOOKUP(64,Sprachindex!$A:$Z,Info!$O$7,FALSE)</f>
        <v>195 mm lang</v>
      </c>
      <c r="K74" s="628"/>
      <c r="L74" s="79" t="str">
        <f t="shared" si="5"/>
        <v xml:space="preserve"> </v>
      </c>
      <c r="M74" s="440" t="str">
        <f t="shared" si="2"/>
        <v>Stk.</v>
      </c>
      <c r="N74" s="80"/>
      <c r="O74" s="202" t="str">
        <f t="shared" si="15"/>
        <v xml:space="preserve"> </v>
      </c>
      <c r="R74" s="195"/>
      <c r="S74" s="195"/>
      <c r="T74" s="195"/>
      <c r="U74" s="1"/>
      <c r="V74" s="149">
        <f t="shared" si="13"/>
        <v>0</v>
      </c>
      <c r="W74" s="149">
        <f t="shared" si="14"/>
        <v>0</v>
      </c>
      <c r="X74" s="149">
        <v>100</v>
      </c>
      <c r="Y74" s="149">
        <v>1</v>
      </c>
      <c r="ES74" s="561" t="str">
        <f>VLOOKUP(587,Sprachindex!$A:$Z,Info!$O$7,FALSE)</f>
        <v>M10-Gewindedorn</v>
      </c>
      <c r="ET74" s="562"/>
      <c r="EU74" s="562"/>
      <c r="EV74" s="562"/>
      <c r="EW74" s="562"/>
      <c r="EX74" s="352"/>
      <c r="EY74" s="326"/>
      <c r="EZ74" s="344"/>
      <c r="FA74" s="343"/>
      <c r="FB74" s="326"/>
      <c r="FC74" s="344"/>
      <c r="FD74" s="343"/>
      <c r="FE74" s="326"/>
      <c r="FF74" s="344"/>
      <c r="FG74" s="343"/>
      <c r="FH74" s="326"/>
      <c r="FI74" s="344"/>
      <c r="FJ74" s="343"/>
      <c r="FK74" s="326"/>
      <c r="FL74" s="344"/>
      <c r="FM74" s="343"/>
      <c r="FN74" s="326"/>
      <c r="FO74" s="344"/>
      <c r="FP74" s="343"/>
      <c r="FQ74" s="326"/>
      <c r="FR74" s="344"/>
      <c r="FS74" s="343"/>
      <c r="FT74" s="326"/>
      <c r="FU74" s="344"/>
      <c r="FV74" s="343"/>
      <c r="FW74" s="326"/>
      <c r="FX74" s="344"/>
      <c r="FY74" s="343"/>
      <c r="FZ74" s="326"/>
      <c r="GA74" s="344"/>
      <c r="GB74" s="343"/>
      <c r="GC74" s="326"/>
      <c r="GD74" s="344"/>
      <c r="GE74" s="343"/>
      <c r="GF74" s="326"/>
      <c r="GG74" s="344"/>
      <c r="GH74" s="343"/>
      <c r="GI74" s="326"/>
      <c r="GJ74" s="344"/>
      <c r="GK74" s="343"/>
      <c r="GL74" s="326"/>
      <c r="GM74" s="344"/>
      <c r="GN74" s="343"/>
      <c r="GO74" s="326"/>
      <c r="GP74" s="353"/>
      <c r="GQ74" s="1">
        <v>3.2</v>
      </c>
      <c r="GV74" s="334">
        <f>GQ74</f>
        <v>3.2</v>
      </c>
    </row>
    <row r="75" spans="1:204" ht="32.1" customHeight="1">
      <c r="A75" s="109"/>
      <c r="B75" s="79" t="str">
        <f>VLOOKUP(878,Sprachindex!$A:$Z,Info!$O$7,FALSE)</f>
        <v>Stk.</v>
      </c>
      <c r="C75" s="78"/>
      <c r="D75" s="78">
        <f>IF(J75=Formeln!A160,420305,IF(J75=Formeln!A161,420306,0))</f>
        <v>0</v>
      </c>
      <c r="E75" s="561" t="str">
        <f>VLOOKUP(746,Sprachindex!$A:$Z,Info!$O$7,FALSE)</f>
        <v>Rohrschellenhalter für WDVS</v>
      </c>
      <c r="F75" s="562"/>
      <c r="G75" s="562"/>
      <c r="H75" s="562"/>
      <c r="I75" s="84" t="str">
        <f>VLOOKUP(556,Sprachindex!$A:$Z,Info!$O$7,FALSE)</f>
        <v>Länge wählen:</v>
      </c>
      <c r="J75" s="614"/>
      <c r="K75" s="630"/>
      <c r="L75" s="79" t="str">
        <f t="shared" si="5"/>
        <v xml:space="preserve"> </v>
      </c>
      <c r="M75" s="440" t="str">
        <f t="shared" si="2"/>
        <v>Stk.</v>
      </c>
      <c r="N75" s="80"/>
      <c r="O75" s="202" t="str">
        <f t="shared" si="15"/>
        <v xml:space="preserve"> </v>
      </c>
      <c r="R75" s="195"/>
      <c r="S75" s="195"/>
      <c r="T75" s="195"/>
      <c r="U75" s="1"/>
      <c r="V75" s="149" t="e">
        <f t="shared" si="13"/>
        <v>#VALUE!</v>
      </c>
      <c r="W75" s="149">
        <f t="shared" si="14"/>
        <v>0</v>
      </c>
      <c r="X75" s="149" t="str">
        <f>IF(J75=Formeln!$A$159,"",4)</f>
        <v/>
      </c>
      <c r="Y75" s="149">
        <v>1</v>
      </c>
      <c r="Z75" s="159" t="s">
        <v>95</v>
      </c>
      <c r="AA75" s="47" t="s">
        <v>113</v>
      </c>
      <c r="AB75" s="47" t="s">
        <v>108</v>
      </c>
      <c r="AC75" s="47" t="s">
        <v>111</v>
      </c>
      <c r="AD75" s="47" t="s">
        <v>109</v>
      </c>
      <c r="AE75" s="47" t="s">
        <v>112</v>
      </c>
      <c r="AF75" s="47" t="s">
        <v>116</v>
      </c>
      <c r="AG75" s="47" t="s">
        <v>117</v>
      </c>
      <c r="AH75" s="47" t="s">
        <v>1483</v>
      </c>
      <c r="AI75" s="47"/>
      <c r="AJ75" s="47"/>
      <c r="AK75" s="61"/>
      <c r="AL75" s="47" t="s">
        <v>95</v>
      </c>
      <c r="AM75" s="47" t="s">
        <v>113</v>
      </c>
      <c r="AN75" s="47" t="s">
        <v>108</v>
      </c>
      <c r="AO75" s="47" t="s">
        <v>111</v>
      </c>
      <c r="AP75" s="47" t="s">
        <v>109</v>
      </c>
      <c r="AQ75" s="47" t="s">
        <v>112</v>
      </c>
      <c r="AR75" s="47" t="s">
        <v>116</v>
      </c>
      <c r="AS75" s="47" t="s">
        <v>117</v>
      </c>
      <c r="AT75" s="47" t="s">
        <v>1483</v>
      </c>
      <c r="AU75" s="47"/>
      <c r="AV75" s="47"/>
      <c r="AW75" s="61"/>
      <c r="AX75" s="47" t="s">
        <v>95</v>
      </c>
      <c r="AY75" s="47" t="s">
        <v>113</v>
      </c>
      <c r="AZ75" s="47" t="s">
        <v>108</v>
      </c>
      <c r="BA75" s="47" t="s">
        <v>111</v>
      </c>
      <c r="BB75" s="47" t="s">
        <v>109</v>
      </c>
      <c r="BC75" s="47" t="s">
        <v>112</v>
      </c>
      <c r="BD75" s="47" t="s">
        <v>116</v>
      </c>
      <c r="BE75" s="47" t="s">
        <v>117</v>
      </c>
      <c r="BF75" s="47" t="s">
        <v>1483</v>
      </c>
      <c r="BG75" s="47"/>
      <c r="BH75" s="47"/>
      <c r="BI75" s="61"/>
      <c r="BJ75" s="47" t="s">
        <v>95</v>
      </c>
      <c r="BK75" s="47" t="s">
        <v>113</v>
      </c>
      <c r="BL75" s="47" t="s">
        <v>108</v>
      </c>
      <c r="BM75" s="47" t="s">
        <v>111</v>
      </c>
      <c r="BN75" s="47" t="s">
        <v>109</v>
      </c>
      <c r="BO75" s="47" t="s">
        <v>112</v>
      </c>
      <c r="BP75" s="47" t="s">
        <v>116</v>
      </c>
      <c r="BQ75" s="47" t="s">
        <v>117</v>
      </c>
      <c r="BR75" s="47" t="s">
        <v>1483</v>
      </c>
      <c r="BS75" s="47"/>
      <c r="BT75" s="47"/>
      <c r="BU75" s="61"/>
      <c r="BV75" s="47" t="s">
        <v>95</v>
      </c>
      <c r="BW75" s="47" t="s">
        <v>113</v>
      </c>
      <c r="BX75" s="47" t="s">
        <v>108</v>
      </c>
      <c r="BY75" s="47" t="s">
        <v>111</v>
      </c>
      <c r="BZ75" s="47" t="s">
        <v>109</v>
      </c>
      <c r="CA75" s="47" t="s">
        <v>112</v>
      </c>
      <c r="CB75" s="47" t="s">
        <v>116</v>
      </c>
      <c r="CC75" s="47" t="s">
        <v>117</v>
      </c>
      <c r="CD75" s="47" t="s">
        <v>1483</v>
      </c>
      <c r="CE75" s="47"/>
      <c r="CF75" s="47"/>
      <c r="CG75" s="61"/>
      <c r="ES75" s="561" t="str">
        <f>VLOOKUP(746,Sprachindex!$A:$Z,Info!$O$7,FALSE)</f>
        <v>Rohrschellenhalter für WDVS</v>
      </c>
      <c r="ET75" s="562"/>
      <c r="EU75" s="562"/>
      <c r="EV75" s="562"/>
      <c r="EW75" s="309" t="str">
        <f>VLOOKUP(556,Sprachindex!$A:$Z,Info!$O$7,FALSE)</f>
        <v>Länge wählen:</v>
      </c>
      <c r="EX75" s="352"/>
      <c r="EY75" s="326"/>
      <c r="EZ75" s="344"/>
      <c r="FA75" s="343"/>
      <c r="FB75" s="326"/>
      <c r="FC75" s="344"/>
      <c r="FD75" s="343"/>
      <c r="FE75" s="326"/>
      <c r="FF75" s="344"/>
      <c r="FG75" s="343"/>
      <c r="FH75" s="326"/>
      <c r="FI75" s="344"/>
      <c r="FJ75" s="343"/>
      <c r="FK75" s="326" t="s">
        <v>1060</v>
      </c>
      <c r="FL75" s="344"/>
      <c r="FM75" s="343">
        <v>19.53</v>
      </c>
      <c r="FN75" s="326"/>
      <c r="FO75" s="344"/>
      <c r="FP75" s="343"/>
      <c r="FQ75" s="326" t="s">
        <v>1062</v>
      </c>
      <c r="FR75" s="344"/>
      <c r="FS75" s="343">
        <v>20.86</v>
      </c>
      <c r="FT75" s="326"/>
      <c r="FU75" s="344"/>
      <c r="FV75" s="343"/>
      <c r="FW75" s="326"/>
      <c r="FX75" s="344"/>
      <c r="FY75" s="343"/>
      <c r="FZ75" s="326"/>
      <c r="GA75" s="344"/>
      <c r="GB75" s="343"/>
      <c r="GC75" s="326"/>
      <c r="GD75" s="344"/>
      <c r="GE75" s="343"/>
      <c r="GF75" s="326"/>
      <c r="GG75" s="344"/>
      <c r="GH75" s="343"/>
      <c r="GI75" s="326"/>
      <c r="GJ75" s="344"/>
      <c r="GK75" s="343"/>
      <c r="GL75" s="326"/>
      <c r="GM75" s="344"/>
      <c r="GN75" s="343"/>
      <c r="GO75" s="326"/>
      <c r="GP75" s="353"/>
      <c r="GV75" s="334" t="str">
        <f>IF(J75=FK75,FM75,IF(J75=FQ75,FS75," "))</f>
        <v xml:space="preserve"> </v>
      </c>
    </row>
    <row r="76" spans="1:204" ht="32.1" customHeight="1">
      <c r="A76" s="109"/>
      <c r="B76" s="79" t="str">
        <f>VLOOKUP(878,Sprachindex!$A:$Z,Info!$O$7,FALSE)</f>
        <v>Stk.</v>
      </c>
      <c r="C76" s="78"/>
      <c r="D76" s="78">
        <f>AJ76</f>
        <v>0</v>
      </c>
      <c r="E76" s="561" t="str">
        <f>VLOOKUP(1001,Sprachindex!$A:$Z,Info!$O$7,FALSE)</f>
        <v>Wandmontageplatte</v>
      </c>
      <c r="F76" s="562"/>
      <c r="G76" s="562"/>
      <c r="H76" s="562"/>
      <c r="I76" s="562"/>
      <c r="J76" s="627"/>
      <c r="K76" s="628"/>
      <c r="L76" s="79" t="str">
        <f t="shared" si="5"/>
        <v xml:space="preserve"> </v>
      </c>
      <c r="M76" s="440" t="str">
        <f t="shared" si="2"/>
        <v>Stk.</v>
      </c>
      <c r="N76" s="80"/>
      <c r="O76" s="202" t="str">
        <f t="shared" si="15"/>
        <v xml:space="preserve"> </v>
      </c>
      <c r="R76" s="195"/>
      <c r="S76" s="195"/>
      <c r="T76" s="195"/>
      <c r="U76" s="1"/>
      <c r="V76" s="149">
        <f t="shared" si="13"/>
        <v>0</v>
      </c>
      <c r="W76" s="149">
        <f t="shared" si="14"/>
        <v>0</v>
      </c>
      <c r="X76" s="149">
        <v>6</v>
      </c>
      <c r="Y76" s="149">
        <v>1</v>
      </c>
      <c r="Z76" s="58">
        <v>529301</v>
      </c>
      <c r="AA76" s="58">
        <v>529304</v>
      </c>
      <c r="AB76" s="58">
        <v>529302</v>
      </c>
      <c r="AC76" s="58">
        <v>529305</v>
      </c>
      <c r="AD76" s="58">
        <v>529303</v>
      </c>
      <c r="AE76" s="58">
        <v>529306</v>
      </c>
      <c r="AF76" s="58">
        <v>529307</v>
      </c>
      <c r="AG76" s="58">
        <v>529308</v>
      </c>
      <c r="AH76" s="58">
        <v>529310</v>
      </c>
      <c r="AI76" s="58">
        <v>529311</v>
      </c>
      <c r="AJ76" s="61">
        <f>IF($O$21=1,AB76,IF($O$21=2,AD76,IF($O$21=3,AC76,IF($O$21=4,AE76,IF($O$21=5,AF76,IF($O$21=6,AA76,IF($O$21=7,AG76,IF($O$21=8,AH76,IF($O$21=9,Z76,IF($O$21=10,AI76,0))))))))))</f>
        <v>0</v>
      </c>
      <c r="AK76" s="61"/>
      <c r="ES76" s="561" t="str">
        <f>VLOOKUP(1001,Sprachindex!$A:$Z,Info!$O$7,FALSE)</f>
        <v>Wandmontageplatte</v>
      </c>
      <c r="ET76" s="562"/>
      <c r="EU76" s="562"/>
      <c r="EV76" s="562"/>
      <c r="EW76" s="562"/>
      <c r="EX76" s="352"/>
      <c r="EY76" s="326"/>
      <c r="EZ76" s="344"/>
      <c r="FA76" s="343"/>
      <c r="FB76" s="326"/>
      <c r="FC76" s="344"/>
      <c r="FD76" s="343"/>
      <c r="FE76" s="326"/>
      <c r="FF76" s="344"/>
      <c r="FG76" s="343"/>
      <c r="FH76" s="326"/>
      <c r="FI76" s="344"/>
      <c r="FJ76" s="343"/>
      <c r="FK76" s="326"/>
      <c r="FL76" s="344"/>
      <c r="FM76" s="343"/>
      <c r="FN76" s="326"/>
      <c r="FO76" s="344"/>
      <c r="FP76" s="343"/>
      <c r="FQ76" s="326"/>
      <c r="FR76" s="344"/>
      <c r="FS76" s="343"/>
      <c r="FT76" s="326"/>
      <c r="FU76" s="344"/>
      <c r="FV76" s="343"/>
      <c r="FW76" s="326"/>
      <c r="FX76" s="344"/>
      <c r="FY76" s="343"/>
      <c r="FZ76" s="326"/>
      <c r="GA76" s="344"/>
      <c r="GB76" s="343"/>
      <c r="GC76" s="326"/>
      <c r="GD76" s="344"/>
      <c r="GE76" s="343"/>
      <c r="GF76" s="326"/>
      <c r="GG76" s="344"/>
      <c r="GH76" s="343"/>
      <c r="GI76" s="326"/>
      <c r="GJ76" s="344"/>
      <c r="GK76" s="343">
        <v>9.6999999999999993</v>
      </c>
      <c r="GL76" s="326"/>
      <c r="GM76" s="344">
        <v>9.26</v>
      </c>
      <c r="GN76" s="343"/>
      <c r="GO76" s="326"/>
      <c r="GP76" s="353"/>
      <c r="GV76" s="334">
        <f>IF($O$21=9,GM76,GK76)</f>
        <v>9.6999999999999993</v>
      </c>
    </row>
    <row r="77" spans="1:204" ht="32.1" customHeight="1">
      <c r="A77" s="109"/>
      <c r="B77" s="79" t="str">
        <f>VLOOKUP(878,Sprachindex!$A:$Z,Info!$O$7,FALSE)</f>
        <v>Stk.</v>
      </c>
      <c r="C77" s="78"/>
      <c r="D77" s="78">
        <v>529502</v>
      </c>
      <c r="E77" s="561" t="str">
        <f>VLOOKUP(138,Sprachindex!$A:$Z,Info!$O$7,FALSE)</f>
        <v>Abdeckkappe für Rohrschellendorn</v>
      </c>
      <c r="F77" s="562"/>
      <c r="G77" s="562"/>
      <c r="H77" s="562"/>
      <c r="I77" s="562"/>
      <c r="J77" s="627"/>
      <c r="K77" s="628"/>
      <c r="L77" s="79" t="str">
        <f t="shared" si="5"/>
        <v xml:space="preserve"> </v>
      </c>
      <c r="M77" s="440" t="str">
        <f t="shared" si="2"/>
        <v>Stk.</v>
      </c>
      <c r="N77" s="80"/>
      <c r="O77" s="202" t="str">
        <f t="shared" si="15"/>
        <v xml:space="preserve"> </v>
      </c>
      <c r="R77" s="195"/>
      <c r="S77" s="195"/>
      <c r="T77" s="195"/>
      <c r="U77" s="1"/>
      <c r="V77" s="149">
        <f t="shared" si="13"/>
        <v>0</v>
      </c>
      <c r="W77" s="149">
        <f t="shared" si="14"/>
        <v>0</v>
      </c>
      <c r="X77" s="149">
        <v>25</v>
      </c>
      <c r="Y77" s="149">
        <v>1</v>
      </c>
      <c r="ES77" s="561" t="str">
        <f>VLOOKUP(138,Sprachindex!$A:$Z,Info!$O$7,FALSE)</f>
        <v>Abdeckkappe für Rohrschellendorn</v>
      </c>
      <c r="ET77" s="562"/>
      <c r="EU77" s="562"/>
      <c r="EV77" s="562"/>
      <c r="EW77" s="562"/>
      <c r="EX77" s="352"/>
      <c r="EY77" s="326"/>
      <c r="EZ77" s="344"/>
      <c r="FA77" s="343"/>
      <c r="FB77" s="326"/>
      <c r="FC77" s="344"/>
      <c r="FD77" s="343"/>
      <c r="FE77" s="326"/>
      <c r="FF77" s="344"/>
      <c r="FG77" s="343"/>
      <c r="FH77" s="326"/>
      <c r="FI77" s="344"/>
      <c r="FJ77" s="343"/>
      <c r="FK77" s="326"/>
      <c r="FL77" s="344"/>
      <c r="FM77" s="343"/>
      <c r="FN77" s="326"/>
      <c r="FO77" s="344"/>
      <c r="FP77" s="343"/>
      <c r="FQ77" s="326"/>
      <c r="FR77" s="344"/>
      <c r="FS77" s="343"/>
      <c r="FT77" s="326"/>
      <c r="FU77" s="344"/>
      <c r="FV77" s="343"/>
      <c r="FW77" s="326"/>
      <c r="FX77" s="344"/>
      <c r="FY77" s="343"/>
      <c r="FZ77" s="326"/>
      <c r="GA77" s="344"/>
      <c r="GB77" s="343"/>
      <c r="GC77" s="326"/>
      <c r="GD77" s="344"/>
      <c r="GE77" s="343"/>
      <c r="GF77" s="326"/>
      <c r="GG77" s="344"/>
      <c r="GH77" s="343"/>
      <c r="GI77" s="326"/>
      <c r="GJ77" s="344"/>
      <c r="GK77" s="343"/>
      <c r="GL77" s="326"/>
      <c r="GM77" s="344"/>
      <c r="GN77" s="343"/>
      <c r="GO77" s="326"/>
      <c r="GP77" s="353"/>
      <c r="GQ77" s="1">
        <v>0.61</v>
      </c>
      <c r="GV77" s="334">
        <f>GQ77</f>
        <v>0.61</v>
      </c>
    </row>
    <row r="78" spans="1:204" ht="32.1" customHeight="1">
      <c r="A78" s="109"/>
      <c r="B78" s="79" t="str">
        <f>VLOOKUP(878,Sprachindex!$A:$Z,Info!$O$7,FALSE)</f>
        <v>Stk.</v>
      </c>
      <c r="C78" s="78"/>
      <c r="D78" s="78">
        <f>IF(J78=Formeln!G194,150052,IF(RI!J78=Formeln!G195,150053,0))</f>
        <v>0</v>
      </c>
      <c r="E78" s="561" t="str">
        <f>VLOOKUP(444,Sprachindex!$A:$Z,Info!$O$7,FALSE)</f>
        <v>Gummidichtung passend für HT/KG</v>
      </c>
      <c r="F78" s="562"/>
      <c r="G78" s="562"/>
      <c r="H78" s="562"/>
      <c r="I78" s="551" t="str">
        <f>VLOOKUP(306,Sprachindex!$A:$Z,Info!$O$7,FALSE)</f>
        <v>Dimension wählen:</v>
      </c>
      <c r="J78" s="614"/>
      <c r="K78" s="615"/>
      <c r="L78" s="79" t="str">
        <f t="shared" si="5"/>
        <v xml:space="preserve"> </v>
      </c>
      <c r="M78" s="440" t="str">
        <f t="shared" si="2"/>
        <v>Stk.</v>
      </c>
      <c r="N78" s="80"/>
      <c r="O78" s="202" t="str">
        <f t="shared" si="15"/>
        <v xml:space="preserve"> </v>
      </c>
      <c r="R78" s="195"/>
      <c r="S78" s="195"/>
      <c r="T78" s="195"/>
      <c r="U78" s="1"/>
      <c r="V78" s="149">
        <f t="shared" si="13"/>
        <v>0</v>
      </c>
      <c r="W78" s="149">
        <f t="shared" si="14"/>
        <v>0</v>
      </c>
      <c r="X78" s="149">
        <v>1</v>
      </c>
      <c r="Y78" s="149">
        <v>1</v>
      </c>
      <c r="ES78" s="561" t="str">
        <f>VLOOKUP(444,Sprachindex!$A:$Z,Info!$O$7,FALSE)</f>
        <v>Gummidichtung passend für HT/KG</v>
      </c>
      <c r="ET78" s="562"/>
      <c r="EU78" s="562"/>
      <c r="EV78" s="562"/>
      <c r="EW78" s="562"/>
      <c r="EX78" s="352"/>
      <c r="EY78" s="326"/>
      <c r="EZ78" s="344"/>
      <c r="FA78" s="343"/>
      <c r="FB78" s="326"/>
      <c r="FC78" s="344"/>
      <c r="FD78" s="343"/>
      <c r="FE78" s="326"/>
      <c r="FF78" s="344"/>
      <c r="FG78" s="343"/>
      <c r="FH78" s="326"/>
      <c r="FI78" s="344"/>
      <c r="FJ78" s="343"/>
      <c r="FK78" s="326"/>
      <c r="FL78" s="344"/>
      <c r="FM78" s="343"/>
      <c r="FN78" s="326"/>
      <c r="FO78" s="344"/>
      <c r="FP78" s="343"/>
      <c r="FQ78" s="326"/>
      <c r="FR78" s="344"/>
      <c r="FS78" s="343"/>
      <c r="FT78" s="326"/>
      <c r="FU78" s="344"/>
      <c r="FV78" s="343"/>
      <c r="FW78" s="326"/>
      <c r="FX78" s="344"/>
      <c r="FY78" s="343"/>
      <c r="FZ78" s="326"/>
      <c r="GA78" s="344"/>
      <c r="GB78" s="343"/>
      <c r="GC78" s="326"/>
      <c r="GD78" s="344"/>
      <c r="GE78" s="343"/>
      <c r="GF78" s="326"/>
      <c r="GG78" s="344"/>
      <c r="GH78" s="343"/>
      <c r="GI78" s="326"/>
      <c r="GJ78" s="344"/>
      <c r="GK78" s="343"/>
      <c r="GL78" s="326"/>
      <c r="GM78" s="344"/>
      <c r="GN78" s="343"/>
      <c r="GO78" s="326"/>
      <c r="GP78" s="353"/>
      <c r="GQ78" s="1">
        <v>6.98</v>
      </c>
      <c r="GV78" s="334">
        <f>GQ78</f>
        <v>6.98</v>
      </c>
    </row>
    <row r="79" spans="1:204" ht="32.1" customHeight="1">
      <c r="A79" s="109"/>
      <c r="B79" s="79" t="str">
        <f>VLOOKUP(878,Sprachindex!$A:$Z,Info!$O$7,FALSE)</f>
        <v>Stk.</v>
      </c>
      <c r="C79" s="78"/>
      <c r="D79" s="78">
        <f>AJ79</f>
        <v>0</v>
      </c>
      <c r="E79" s="561" t="str">
        <f>VLOOKUP(893,Sprachindex!$A:$Z,Info!$O$7,FALSE)</f>
        <v>Stutzen mit Klebeflansch (passend für Ablaufrohr ⌀ 60)</v>
      </c>
      <c r="F79" s="562"/>
      <c r="G79" s="562"/>
      <c r="H79" s="562"/>
      <c r="I79" s="562"/>
      <c r="J79" s="627"/>
      <c r="K79" s="628"/>
      <c r="L79" s="79" t="str">
        <f t="shared" si="5"/>
        <v xml:space="preserve"> </v>
      </c>
      <c r="M79" s="440" t="str">
        <f t="shared" si="2"/>
        <v>Stk.</v>
      </c>
      <c r="N79" s="80"/>
      <c r="O79" s="202" t="str">
        <f t="shared" si="15"/>
        <v xml:space="preserve"> </v>
      </c>
      <c r="R79" s="195"/>
      <c r="S79" s="195"/>
      <c r="T79" s="195"/>
      <c r="U79" s="1"/>
      <c r="V79" s="149">
        <f t="shared" si="13"/>
        <v>0</v>
      </c>
      <c r="W79" s="149">
        <f t="shared" si="14"/>
        <v>0</v>
      </c>
      <c r="X79" s="149">
        <v>1</v>
      </c>
      <c r="Y79" s="149">
        <v>1</v>
      </c>
      <c r="Z79" s="58" t="s">
        <v>1717</v>
      </c>
      <c r="AA79" s="58" t="s">
        <v>1718</v>
      </c>
      <c r="AB79" s="58" t="s">
        <v>1719</v>
      </c>
      <c r="AC79" s="58"/>
      <c r="AD79" s="58" t="s">
        <v>1720</v>
      </c>
      <c r="AE79" s="58"/>
      <c r="AF79" s="58"/>
      <c r="AG79" s="58"/>
      <c r="AH79" s="58"/>
      <c r="AI79" s="58"/>
      <c r="AJ79" s="61">
        <f t="shared" ref="AJ79:AJ86" si="16">IF($O$21=1,AB79,IF($O$21=2,AD79,IF($O$21=3,AC79,IF($O$21=4,AE79,IF($O$21=5,AF79,IF($O$21=6,AA79,IF($O$21=7,AG79,IF($O$21=8,AH79,IF($O$21=9,Z79,0)))))))))</f>
        <v>0</v>
      </c>
      <c r="AK79" s="61" t="s">
        <v>1077</v>
      </c>
      <c r="ES79" s="561" t="str">
        <f>VLOOKUP(893,Sprachindex!$A:$Z,Info!$O$7,FALSE)</f>
        <v>Stutzen mit Klebeflansch (passend für Ablaufrohr ⌀ 60)</v>
      </c>
      <c r="ET79" s="562"/>
      <c r="EU79" s="562"/>
      <c r="EV79" s="562"/>
      <c r="EW79" s="562"/>
      <c r="EX79" s="352"/>
      <c r="EY79" s="326"/>
      <c r="EZ79" s="344"/>
      <c r="FA79" s="343"/>
      <c r="FB79" s="326"/>
      <c r="FC79" s="344"/>
      <c r="FD79" s="343"/>
      <c r="FE79" s="326"/>
      <c r="FF79" s="344"/>
      <c r="FG79" s="343"/>
      <c r="FH79" s="326"/>
      <c r="FI79" s="344"/>
      <c r="FJ79" s="343"/>
      <c r="FK79" s="326"/>
      <c r="FL79" s="344"/>
      <c r="FM79" s="343"/>
      <c r="FN79" s="326"/>
      <c r="FO79" s="344"/>
      <c r="FP79" s="343"/>
      <c r="FQ79" s="326"/>
      <c r="FR79" s="344"/>
      <c r="FS79" s="343"/>
      <c r="FT79" s="326"/>
      <c r="FU79" s="344"/>
      <c r="FV79" s="343"/>
      <c r="FW79" s="326"/>
      <c r="FX79" s="344"/>
      <c r="FY79" s="343"/>
      <c r="FZ79" s="326"/>
      <c r="GA79" s="344"/>
      <c r="GB79" s="343"/>
      <c r="GC79" s="326"/>
      <c r="GD79" s="344"/>
      <c r="GE79" s="343"/>
      <c r="GF79" s="326"/>
      <c r="GG79" s="344"/>
      <c r="GH79" s="343"/>
      <c r="GI79" s="326"/>
      <c r="GJ79" s="344"/>
      <c r="GK79" s="343">
        <v>14.32</v>
      </c>
      <c r="GL79" s="326"/>
      <c r="GM79" s="344">
        <v>13.03</v>
      </c>
      <c r="GN79" s="343"/>
      <c r="GO79" s="326"/>
      <c r="GP79" s="353"/>
      <c r="GQ79" s="1" t="str">
        <f>IF($O$21=9,GM79,IF(OR($O$21=1,$O$21=2,$O$21=6),GK79," "))</f>
        <v xml:space="preserve"> </v>
      </c>
      <c r="GV79" s="334" t="str">
        <f>GQ79</f>
        <v xml:space="preserve"> </v>
      </c>
    </row>
    <row r="80" spans="1:204" ht="32.1" customHeight="1">
      <c r="A80" s="109"/>
      <c r="B80" s="79" t="str">
        <f>VLOOKUP(878,Sprachindex!$A:$Z,Info!$O$7,FALSE)</f>
        <v>Stk.</v>
      </c>
      <c r="C80" s="78"/>
      <c r="D80" s="78">
        <f>IF($O$25=2,AV80,IF($O$25=3,BH80,IF($O$25=4,BT80,IF($O$25=5,CF80,IF($O$25=1,AJ80,0)))))</f>
        <v>0</v>
      </c>
      <c r="E80" s="561" t="str">
        <f>VLOOKUP(728,Sprachindex!$A:$Z,Info!$O$7,FALSE)</f>
        <v>Rohrbogen 72°</v>
      </c>
      <c r="F80" s="562"/>
      <c r="G80" s="562"/>
      <c r="H80" s="562"/>
      <c r="I80" s="562"/>
      <c r="J80" s="627" t="str">
        <f>Formeln!A236</f>
        <v/>
      </c>
      <c r="K80" s="628"/>
      <c r="L80" s="79" t="str">
        <f t="shared" si="5"/>
        <v xml:space="preserve"> </v>
      </c>
      <c r="M80" s="440" t="str">
        <f t="shared" si="2"/>
        <v>Stk.</v>
      </c>
      <c r="N80" s="80"/>
      <c r="O80" s="202" t="str">
        <f t="shared" si="15"/>
        <v xml:space="preserve"> </v>
      </c>
      <c r="R80" s="195"/>
      <c r="S80" s="195"/>
      <c r="T80" s="195"/>
      <c r="U80" s="1"/>
      <c r="V80" s="149" t="e">
        <f t="shared" si="13"/>
        <v>#VALUE!</v>
      </c>
      <c r="W80" s="149">
        <f t="shared" si="14"/>
        <v>0</v>
      </c>
      <c r="X80" s="149" t="str">
        <f>IF($O$25=1,1,IF($O$25=2,8,IF($O$25=3,8,IF($O$25=4,4,IF($O$25=5,1,"")))))</f>
        <v/>
      </c>
      <c r="Y80" s="149">
        <v>1</v>
      </c>
      <c r="Z80" s="58" t="s">
        <v>1721</v>
      </c>
      <c r="AA80" s="58" t="s">
        <v>1722</v>
      </c>
      <c r="AB80" s="58" t="s">
        <v>1723</v>
      </c>
      <c r="AC80" s="58"/>
      <c r="AD80" s="58" t="s">
        <v>1724</v>
      </c>
      <c r="AE80" s="58"/>
      <c r="AF80" s="58"/>
      <c r="AG80" s="58"/>
      <c r="AH80" s="58"/>
      <c r="AI80" s="58"/>
      <c r="AJ80" s="61">
        <f t="shared" si="16"/>
        <v>0</v>
      </c>
      <c r="AK80" s="61">
        <v>60</v>
      </c>
      <c r="AL80" t="s">
        <v>1725</v>
      </c>
      <c r="AM80" t="s">
        <v>1726</v>
      </c>
      <c r="AN80" t="s">
        <v>1727</v>
      </c>
      <c r="AO80" t="s">
        <v>1728</v>
      </c>
      <c r="AP80" t="s">
        <v>1729</v>
      </c>
      <c r="AQ80" t="s">
        <v>1730</v>
      </c>
      <c r="AR80" t="s">
        <v>1731</v>
      </c>
      <c r="AS80" t="s">
        <v>1732</v>
      </c>
      <c r="AT80" t="s">
        <v>1733</v>
      </c>
      <c r="AU80"/>
      <c r="AV80" s="61">
        <f t="shared" ref="AV80:AV85" si="17">IF($O$21=1,AN80,IF($O$21=2,AP80,IF($O$21=3,AO80,IF($O$21=4,AQ80,IF($O$21=5,AR80,IF($O$21=6,AM80,IF($O$21=7,AS80,IF($O$21=8,AT80,IF($O$21=9,AL80,0)))))))))</f>
        <v>0</v>
      </c>
      <c r="AW80" s="61">
        <v>80</v>
      </c>
      <c r="AX80" t="s">
        <v>1734</v>
      </c>
      <c r="AY80" t="s">
        <v>1735</v>
      </c>
      <c r="AZ80" t="s">
        <v>1736</v>
      </c>
      <c r="BA80" t="s">
        <v>1737</v>
      </c>
      <c r="BB80" t="s">
        <v>1738</v>
      </c>
      <c r="BC80" t="s">
        <v>1739</v>
      </c>
      <c r="BD80" t="s">
        <v>1740</v>
      </c>
      <c r="BE80" t="s">
        <v>1741</v>
      </c>
      <c r="BF80" t="s">
        <v>1742</v>
      </c>
      <c r="BG80">
        <v>526029</v>
      </c>
      <c r="BH80" s="61">
        <f>IF($O$21=1,AZ80,IF($O$21=2,BB80,IF($O$21=3,BA80,IF($O$21=4,BC80,IF($O$21=5,BD80,IF($O$21=6,AY80,IF($O$21=7,BE80,IF($O$21=8,BF80,IF($O$21=9,AX80,IF($O$21=10,BG80,0))))))))))</f>
        <v>0</v>
      </c>
      <c r="BI80" s="61">
        <v>100</v>
      </c>
      <c r="BJ80" t="s">
        <v>1743</v>
      </c>
      <c r="BK80" t="s">
        <v>1744</v>
      </c>
      <c r="BL80" t="s">
        <v>1745</v>
      </c>
      <c r="BM80" t="s">
        <v>1746</v>
      </c>
      <c r="BN80" t="s">
        <v>1747</v>
      </c>
      <c r="BO80" t="s">
        <v>1748</v>
      </c>
      <c r="BP80" t="s">
        <v>1749</v>
      </c>
      <c r="BQ80" t="s">
        <v>1750</v>
      </c>
      <c r="BR80" t="s">
        <v>1751</v>
      </c>
      <c r="BS80"/>
      <c r="BT80" s="61">
        <f>IF($O$21=1,BL80,IF($O$21=2,BN80,IF($O$21=3,BM80,IF($O$21=4,BO80,IF($O$21=5,BP80,IF($O$21=6,BK80,IF($O$21=7,BQ80,IF($O$21=8,BR80,IF($O$21=9,BJ80,0)))))))))</f>
        <v>0</v>
      </c>
      <c r="BU80" s="61">
        <v>120</v>
      </c>
      <c r="BV80" t="s">
        <v>1752</v>
      </c>
      <c r="BW80" t="s">
        <v>1753</v>
      </c>
      <c r="BX80" t="s">
        <v>1754</v>
      </c>
      <c r="BY80" s="59"/>
      <c r="BZ80" t="s">
        <v>1755</v>
      </c>
      <c r="CA80" s="59"/>
      <c r="CB80" s="59"/>
      <c r="CC80" s="59"/>
      <c r="CD80" s="59"/>
      <c r="CE80" s="59"/>
      <c r="CF80" s="61">
        <f>IF($O$21=1,BX80,IF($O$21=2,BZ80,IF($O$21=3,BY80,IF($O$21=4,CA80,IF($O$21=5,CB80,IF($O$21=6,BW80,IF($O$21=7,CC80,IF($O$21=8,CD80,IF($O$21=9,BV80,0)))))))))</f>
        <v>0</v>
      </c>
      <c r="CG80" s="61">
        <v>150</v>
      </c>
      <c r="ES80" s="561" t="str">
        <f>VLOOKUP(728,Sprachindex!$A:$Z,Info!$O$7,FALSE)</f>
        <v>Rohrbogen 72°</v>
      </c>
      <c r="ET80" s="562"/>
      <c r="EU80" s="562"/>
      <c r="EV80" s="562"/>
      <c r="EW80" s="562"/>
      <c r="EX80" s="352"/>
      <c r="EY80" s="326"/>
      <c r="EZ80" s="344"/>
      <c r="FA80" s="343"/>
      <c r="FB80" s="326"/>
      <c r="FC80" s="344"/>
      <c r="FD80" s="343">
        <v>15.46</v>
      </c>
      <c r="FE80" s="414" t="s">
        <v>1714</v>
      </c>
      <c r="FF80" s="344">
        <v>14.07</v>
      </c>
      <c r="FG80" s="343"/>
      <c r="FH80" s="326"/>
      <c r="FJ80" s="343">
        <v>16.82</v>
      </c>
      <c r="FK80" s="410" t="s">
        <v>1685</v>
      </c>
      <c r="FL80" s="344">
        <v>12.95</v>
      </c>
      <c r="FM80" s="343"/>
      <c r="FN80" s="326"/>
      <c r="FP80" s="343">
        <v>18.510000000000002</v>
      </c>
      <c r="FQ80" s="411" t="s">
        <v>1686</v>
      </c>
      <c r="FR80" s="344">
        <v>14.21</v>
      </c>
      <c r="FS80" s="343"/>
      <c r="FT80" s="326"/>
      <c r="FU80" s="409"/>
      <c r="FV80" s="343">
        <v>24.44</v>
      </c>
      <c r="FW80" s="412" t="s">
        <v>1687</v>
      </c>
      <c r="FX80" s="344">
        <v>20.23</v>
      </c>
      <c r="FY80" s="343"/>
      <c r="FZ80" s="326"/>
      <c r="GA80" s="344"/>
      <c r="GB80" s="343">
        <v>45.59</v>
      </c>
      <c r="GC80" s="413" t="s">
        <v>1688</v>
      </c>
      <c r="GD80" s="344">
        <v>40.6</v>
      </c>
      <c r="GE80" s="343"/>
      <c r="GF80" s="326"/>
      <c r="GG80" s="344"/>
      <c r="GH80" s="343"/>
      <c r="GI80" s="326"/>
      <c r="GJ80" s="344"/>
      <c r="GK80" s="343"/>
      <c r="GL80" s="326"/>
      <c r="GM80" s="344"/>
      <c r="GN80" s="343"/>
      <c r="GO80" s="326"/>
      <c r="GP80" s="353"/>
      <c r="GQ80" s="424" t="str">
        <f>IF(OR($O$21=1,$O$21=2,$O$21=6),FD80,IF($O$21=9,FF80," "))</f>
        <v xml:space="preserve"> </v>
      </c>
      <c r="GR80" s="318">
        <f>IF($O$21=9,FL80,FJ80)</f>
        <v>16.82</v>
      </c>
      <c r="GS80" s="319">
        <f>IF($O$21=9,FR80,FP80)</f>
        <v>18.510000000000002</v>
      </c>
      <c r="GT80" s="320">
        <f>IF($O$21=9,FX80,FV80)</f>
        <v>24.44</v>
      </c>
      <c r="GU80" s="425" t="str">
        <f>IF(OR($O$21=1,$O$21=2,$O$21=6),GB80,IF($O$21=9,GD80," "))</f>
        <v xml:space="preserve"> </v>
      </c>
      <c r="GV80" s="334" t="str">
        <f>IF($O$25=1,GQ80,IF($O$25=2,GR80,IF($O$25=3,GS80,IF($O$25=4,GT80,IF($O$25=5,GU80," ")))))</f>
        <v xml:space="preserve"> </v>
      </c>
    </row>
    <row r="81" spans="1:204" ht="32.1" customHeight="1">
      <c r="A81" s="109"/>
      <c r="B81" s="79" t="str">
        <f>VLOOKUP(878,Sprachindex!$A:$Z,Info!$O$7,FALSE)</f>
        <v>Stk.</v>
      </c>
      <c r="C81" s="78"/>
      <c r="D81" s="78">
        <f>IF($O$25=2,AV81,IF($O$25=3,BH81,IF($O$25=4,BT81,IF($O$25=5,CF81,IF($O$25=1,AJ81,0)))))</f>
        <v>0</v>
      </c>
      <c r="E81" s="561" t="str">
        <f>VLOOKUP(729,Sprachindex!$A:$Z,Info!$O$7,FALSE)</f>
        <v>Rohrbogen 85°</v>
      </c>
      <c r="F81" s="562"/>
      <c r="G81" s="562"/>
      <c r="H81" s="562"/>
      <c r="I81" s="562"/>
      <c r="J81" s="627" t="str">
        <f>Formeln!A276</f>
        <v/>
      </c>
      <c r="K81" s="628"/>
      <c r="L81" s="79" t="str">
        <f t="shared" si="5"/>
        <v xml:space="preserve"> </v>
      </c>
      <c r="M81" s="440" t="str">
        <f t="shared" si="2"/>
        <v>Stk.</v>
      </c>
      <c r="N81" s="80"/>
      <c r="O81" s="202" t="str">
        <f t="shared" si="15"/>
        <v xml:space="preserve"> </v>
      </c>
      <c r="R81" s="195"/>
      <c r="S81" s="195"/>
      <c r="T81" s="195"/>
      <c r="U81" s="1"/>
      <c r="V81" s="149" t="e">
        <f t="shared" si="13"/>
        <v>#VALUE!</v>
      </c>
      <c r="W81" s="149">
        <f t="shared" si="14"/>
        <v>0</v>
      </c>
      <c r="X81" s="149" t="str">
        <f>IF($O$25=1,1,IF($O$25=2,8,IF($O$25=3,8,IF($O$25=4,3,IF($O$25=5,"","")))))</f>
        <v/>
      </c>
      <c r="Y81" s="149">
        <v>1</v>
      </c>
      <c r="Z81" s="58" t="s">
        <v>1756</v>
      </c>
      <c r="AA81" s="58"/>
      <c r="AB81" s="58"/>
      <c r="AC81" s="58"/>
      <c r="AD81" s="58"/>
      <c r="AE81" s="58"/>
      <c r="AF81" s="58"/>
      <c r="AG81" s="58"/>
      <c r="AH81" s="58"/>
      <c r="AI81" s="58"/>
      <c r="AJ81" s="61">
        <f t="shared" si="16"/>
        <v>0</v>
      </c>
      <c r="AK81" s="61">
        <v>60</v>
      </c>
      <c r="AL81" t="s">
        <v>1757</v>
      </c>
      <c r="AM81" t="s">
        <v>1758</v>
      </c>
      <c r="AN81" t="s">
        <v>1759</v>
      </c>
      <c r="AO81" s="59"/>
      <c r="AP81" t="s">
        <v>1760</v>
      </c>
      <c r="AQ81" s="59"/>
      <c r="AR81" s="59"/>
      <c r="AS81" s="59"/>
      <c r="AT81" t="s">
        <v>1761</v>
      </c>
      <c r="AU81"/>
      <c r="AV81" s="61">
        <f t="shared" si="17"/>
        <v>0</v>
      </c>
      <c r="AW81" s="61">
        <v>80</v>
      </c>
      <c r="AX81" t="s">
        <v>1762</v>
      </c>
      <c r="AY81" t="s">
        <v>1763</v>
      </c>
      <c r="AZ81" t="s">
        <v>1764</v>
      </c>
      <c r="BA81" s="59"/>
      <c r="BB81" t="s">
        <v>1765</v>
      </c>
      <c r="BC81" s="59"/>
      <c r="BD81" s="59"/>
      <c r="BE81" s="59"/>
      <c r="BF81" t="s">
        <v>1766</v>
      </c>
      <c r="BG81">
        <v>526309</v>
      </c>
      <c r="BH81" s="61">
        <f>IF($O$21=1,AZ81,IF($O$21=2,BB81,IF($O$21=3,BA81,IF($O$21=4,BC81,IF($O$21=5,BD81,IF($O$21=6,AY81,IF($O$21=7,BE81,IF($O$21=8,BF81,IF($O$21=9,AX81,IF($O$21=10,BG81,0))))))))))</f>
        <v>0</v>
      </c>
      <c r="BI81" s="61">
        <v>100</v>
      </c>
      <c r="BJ81" t="s">
        <v>1767</v>
      </c>
      <c r="BK81" t="s">
        <v>1768</v>
      </c>
      <c r="BL81" t="s">
        <v>1769</v>
      </c>
      <c r="BM81" s="59"/>
      <c r="BN81" t="s">
        <v>1770</v>
      </c>
      <c r="BO81" s="59"/>
      <c r="BP81" s="59"/>
      <c r="BQ81" s="59"/>
      <c r="BR81" s="59"/>
      <c r="BS81" s="59"/>
      <c r="BT81" s="61">
        <f>IF($O$21=1,BL81,IF($O$21=2,BN81,IF($O$21=3,BM81,IF($O$21=4,BO81,IF($O$21=5,BP81,IF($O$21=6,BK81,IF($O$21=7,BQ81,IF($O$21=8,BR81,IF($O$21=9,BJ81,0)))))))))</f>
        <v>0</v>
      </c>
      <c r="BU81" s="61">
        <v>120</v>
      </c>
      <c r="ES81" s="561" t="str">
        <f>VLOOKUP(729,Sprachindex!$A:$Z,Info!$O$7,FALSE)</f>
        <v>Rohrbogen 85°</v>
      </c>
      <c r="ET81" s="562"/>
      <c r="EU81" s="562"/>
      <c r="EV81" s="562"/>
      <c r="EW81" s="562"/>
      <c r="EX81" s="352"/>
      <c r="EY81" s="326"/>
      <c r="EZ81" s="344"/>
      <c r="FA81" s="343"/>
      <c r="FB81" s="326"/>
      <c r="FC81" s="344"/>
      <c r="FD81" s="343">
        <v>21.31</v>
      </c>
      <c r="FE81" s="414" t="s">
        <v>1714</v>
      </c>
      <c r="FF81" s="344">
        <v>19.46</v>
      </c>
      <c r="FG81" s="343"/>
      <c r="FH81" s="326"/>
      <c r="FI81" s="344"/>
      <c r="FJ81" s="343">
        <v>23.23</v>
      </c>
      <c r="FK81" s="410" t="s">
        <v>1685</v>
      </c>
      <c r="FL81" s="344">
        <v>21.88</v>
      </c>
      <c r="FM81" s="343"/>
      <c r="FN81" s="326"/>
      <c r="FO81" s="344"/>
      <c r="FP81" s="343">
        <v>24.23</v>
      </c>
      <c r="FQ81" s="411" t="s">
        <v>1686</v>
      </c>
      <c r="FR81" s="344">
        <v>23.28</v>
      </c>
      <c r="FS81" s="343"/>
      <c r="FT81" s="326"/>
      <c r="FU81" s="51"/>
      <c r="FV81" s="343">
        <v>30.76</v>
      </c>
      <c r="FW81" s="412" t="s">
        <v>1687</v>
      </c>
      <c r="FX81" s="344">
        <v>27.16</v>
      </c>
      <c r="FY81" s="343"/>
      <c r="FZ81" s="326"/>
      <c r="GA81" s="344"/>
      <c r="GB81" s="343"/>
      <c r="GC81" s="326"/>
      <c r="GD81" s="344"/>
      <c r="GE81" s="343"/>
      <c r="GF81" s="326"/>
      <c r="GG81" s="344"/>
      <c r="GH81" s="343"/>
      <c r="GI81" s="326"/>
      <c r="GJ81" s="344"/>
      <c r="GK81" s="343"/>
      <c r="GL81" s="326"/>
      <c r="GM81" s="344"/>
      <c r="GN81" s="343"/>
      <c r="GO81" s="326"/>
      <c r="GP81" s="353"/>
      <c r="GQ81" s="424" t="str">
        <f>IF(OR($O$21=1,$O$21=2,$O$21=6),FD81,IF($O$21=9,FF81," "))</f>
        <v xml:space="preserve"> </v>
      </c>
      <c r="GR81" s="318" t="str">
        <f>IF(OR($O$21=1,$O$21=2,$O$21=6,$O$21=8),FJ81,IF($O$21=9,FL81," "))</f>
        <v xml:space="preserve"> </v>
      </c>
      <c r="GS81" s="319" t="str">
        <f>IF(OR($O$21=1,$O$21=2,$O$21=6,$O$21=8),FP81,IF($O$21=9,FR81," "))</f>
        <v xml:space="preserve"> </v>
      </c>
      <c r="GT81" s="320" t="str">
        <f>IF(OR($O$21=1,$O$21=2,$O$21=6),FV81,IF($O$21=9,FX81," "))</f>
        <v xml:space="preserve"> </v>
      </c>
      <c r="GV81" s="334" t="str">
        <f>IF($O$25=1,GQ81,IF($O$25=2,GR81,IF($O$25=3,GS81,IF($O$25=4,GT81," "))))</f>
        <v xml:space="preserve"> </v>
      </c>
    </row>
    <row r="82" spans="1:204" ht="32.1" customHeight="1">
      <c r="A82" s="109"/>
      <c r="B82" s="79" t="str">
        <f>VLOOKUP(878,Sprachindex!$A:$Z,Info!$O$7,FALSE)</f>
        <v>Stk.</v>
      </c>
      <c r="C82" s="78"/>
      <c r="D82" s="78">
        <f>IF($O$25=2,AV82,IF($O$25=3,BH82,IF($O$25=4,BT82,IF($O$25=5,CF82,IF($O$25=1,AJ82,0)))))</f>
        <v>0</v>
      </c>
      <c r="E82" s="561" t="str">
        <f>VLOOKUP(727,Sprachindex!$A:$Z,Info!$O$7,FALSE)</f>
        <v>Rohrbogen 40°</v>
      </c>
      <c r="F82" s="562"/>
      <c r="G82" s="562"/>
      <c r="H82" s="562"/>
      <c r="I82" s="562"/>
      <c r="J82" s="627" t="str">
        <f>Formeln!A276</f>
        <v/>
      </c>
      <c r="K82" s="628"/>
      <c r="L82" s="79" t="str">
        <f t="shared" si="5"/>
        <v xml:space="preserve"> </v>
      </c>
      <c r="M82" s="440" t="str">
        <f t="shared" si="2"/>
        <v>Stk.</v>
      </c>
      <c r="N82" s="80"/>
      <c r="O82" s="202" t="str">
        <f t="shared" si="15"/>
        <v xml:space="preserve"> </v>
      </c>
      <c r="R82" s="195"/>
      <c r="S82" s="195"/>
      <c r="T82" s="195"/>
      <c r="U82" s="1"/>
      <c r="V82" s="149" t="e">
        <f t="shared" si="13"/>
        <v>#VALUE!</v>
      </c>
      <c r="W82" s="149">
        <f t="shared" si="14"/>
        <v>0</v>
      </c>
      <c r="X82" s="149" t="str">
        <f>IF($O$25=1,1,IF($O$25=2,12,IF($O$25=3,6,IF($O$25=4,3,IF($O$25=5,"","")))))</f>
        <v/>
      </c>
      <c r="Y82" s="149">
        <v>1</v>
      </c>
      <c r="Z82" s="58" t="s">
        <v>1771</v>
      </c>
      <c r="AA82" s="58"/>
      <c r="AB82" s="58"/>
      <c r="AC82" s="58"/>
      <c r="AD82" s="58"/>
      <c r="AE82" s="58"/>
      <c r="AF82" s="58"/>
      <c r="AG82" s="58"/>
      <c r="AH82" s="58"/>
      <c r="AI82" s="58"/>
      <c r="AJ82" s="61">
        <f t="shared" si="16"/>
        <v>0</v>
      </c>
      <c r="AK82" s="61">
        <v>60</v>
      </c>
      <c r="AL82" t="s">
        <v>1772</v>
      </c>
      <c r="AM82" t="s">
        <v>1773</v>
      </c>
      <c r="AN82" t="s">
        <v>1774</v>
      </c>
      <c r="AO82" t="s">
        <v>1775</v>
      </c>
      <c r="AP82" t="s">
        <v>1776</v>
      </c>
      <c r="AQ82" t="s">
        <v>1777</v>
      </c>
      <c r="AR82" t="s">
        <v>1778</v>
      </c>
      <c r="AS82" t="s">
        <v>1779</v>
      </c>
      <c r="AT82" t="s">
        <v>1780</v>
      </c>
      <c r="AU82"/>
      <c r="AV82" s="61">
        <f t="shared" si="17"/>
        <v>0</v>
      </c>
      <c r="AW82" s="61">
        <v>80</v>
      </c>
      <c r="AX82" t="s">
        <v>1781</v>
      </c>
      <c r="AY82" t="s">
        <v>1782</v>
      </c>
      <c r="AZ82" t="s">
        <v>1783</v>
      </c>
      <c r="BA82" t="s">
        <v>1784</v>
      </c>
      <c r="BB82" t="s">
        <v>1785</v>
      </c>
      <c r="BC82" t="s">
        <v>1786</v>
      </c>
      <c r="BD82" t="s">
        <v>1787</v>
      </c>
      <c r="BE82" t="s">
        <v>1788</v>
      </c>
      <c r="BF82" t="s">
        <v>1789</v>
      </c>
      <c r="BG82">
        <v>526089</v>
      </c>
      <c r="BH82" s="61">
        <f>IF($O$21=1,AZ82,IF($O$21=2,BB82,IF($O$21=3,BA82,IF($O$21=4,BC82,IF($O$21=5,BD82,IF($O$21=6,AY82,IF($O$21=7,BE82,IF($O$21=8,BF82,IF($O$21=9,AX82,IF($O$21=10,BG82,0))))))))))</f>
        <v>0</v>
      </c>
      <c r="BI82" s="61">
        <v>100</v>
      </c>
      <c r="BJ82" t="s">
        <v>1790</v>
      </c>
      <c r="BK82" t="s">
        <v>1791</v>
      </c>
      <c r="BL82" t="s">
        <v>1792</v>
      </c>
      <c r="BM82" t="s">
        <v>1793</v>
      </c>
      <c r="BN82" t="s">
        <v>1794</v>
      </c>
      <c r="BO82" t="s">
        <v>1795</v>
      </c>
      <c r="BP82" t="s">
        <v>1796</v>
      </c>
      <c r="BQ82" t="s">
        <v>1797</v>
      </c>
      <c r="BR82" t="s">
        <v>1798</v>
      </c>
      <c r="BS82"/>
      <c r="BT82" s="61">
        <f>IF($O$21=1,BL82,IF($O$21=2,BN82,IF($O$21=3,BM82,IF($O$21=4,BO82,IF($O$21=5,BP82,IF($O$21=6,BK82,IF($O$21=7,BQ82,IF($O$21=8,BR82,IF($O$21=9,BJ82,0)))))))))</f>
        <v>0</v>
      </c>
      <c r="BU82" s="61">
        <v>120</v>
      </c>
      <c r="ES82" s="561" t="str">
        <f>VLOOKUP(727,Sprachindex!$A:$Z,Info!$O$7,FALSE)</f>
        <v>Rohrbogen 40°</v>
      </c>
      <c r="ET82" s="562"/>
      <c r="EU82" s="562"/>
      <c r="EV82" s="562"/>
      <c r="EW82" s="562"/>
      <c r="EX82" s="352"/>
      <c r="EY82" s="326"/>
      <c r="EZ82" s="344"/>
      <c r="FA82" s="343"/>
      <c r="FB82" s="326"/>
      <c r="FC82" s="344"/>
      <c r="FD82" s="343">
        <v>15.42</v>
      </c>
      <c r="FE82" s="414" t="s">
        <v>1714</v>
      </c>
      <c r="FF82" s="344">
        <v>14.01</v>
      </c>
      <c r="FG82" s="343"/>
      <c r="FH82" s="326"/>
      <c r="FI82" s="344"/>
      <c r="FJ82" s="343">
        <v>17.11</v>
      </c>
      <c r="FK82" s="410" t="s">
        <v>1685</v>
      </c>
      <c r="FL82" s="344">
        <v>13.44</v>
      </c>
      <c r="FM82" s="343"/>
      <c r="FN82" s="326"/>
      <c r="FO82" s="344"/>
      <c r="FP82" s="343">
        <v>19.010000000000002</v>
      </c>
      <c r="FQ82" s="411" t="s">
        <v>1686</v>
      </c>
      <c r="FR82" s="344">
        <v>14.72</v>
      </c>
      <c r="FS82" s="343"/>
      <c r="FT82" s="326"/>
      <c r="FU82" s="13"/>
      <c r="FV82" s="343">
        <v>25.08</v>
      </c>
      <c r="FW82" s="412" t="s">
        <v>1687</v>
      </c>
      <c r="FX82" s="344">
        <v>20.43</v>
      </c>
      <c r="FY82" s="343"/>
      <c r="FZ82" s="326"/>
      <c r="GA82" s="344"/>
      <c r="GB82" s="343"/>
      <c r="GC82" s="326"/>
      <c r="GD82" s="344"/>
      <c r="GE82" s="343"/>
      <c r="GF82" s="326"/>
      <c r="GG82" s="344"/>
      <c r="GH82" s="343"/>
      <c r="GI82" s="326"/>
      <c r="GJ82" s="344"/>
      <c r="GK82" s="343"/>
      <c r="GL82" s="326"/>
      <c r="GM82" s="344"/>
      <c r="GN82" s="343"/>
      <c r="GO82" s="326"/>
      <c r="GP82" s="353"/>
      <c r="GQ82" s="424" t="str">
        <f>IF(OR($O$21=1,$O$21=2,$O$21=6),FD82,IF($O$21=9,FF82," "))</f>
        <v xml:space="preserve"> </v>
      </c>
      <c r="GR82" s="318">
        <f>IF($O$21=9,FL82,FJ82)</f>
        <v>17.11</v>
      </c>
      <c r="GS82" s="319">
        <f>IF($O$21=9,FR82,FP82)</f>
        <v>19.010000000000002</v>
      </c>
      <c r="GT82" s="320">
        <f>IF($O$21=9,FX82,FV82)</f>
        <v>25.08</v>
      </c>
      <c r="GV82" s="334" t="str">
        <f>IF($O$25=1,GQ82,IF($O$25=2,GR82,IF($O$25=3,GS82,IF($O$25=4,GT82," "))))</f>
        <v xml:space="preserve"> </v>
      </c>
    </row>
    <row r="83" spans="1:204" ht="32.1" customHeight="1">
      <c r="A83" s="109"/>
      <c r="B83" s="79" t="str">
        <f>VLOOKUP(878,Sprachindex!$A:$Z,Info!$O$7,FALSE)</f>
        <v>Stk.</v>
      </c>
      <c r="C83" s="78"/>
      <c r="D83" s="78">
        <f>IF($O$25=2,AJ83,IF($O$25=3,AV83,IF($O$25=4,BH83,IF($O$25=5,BT83,0))))</f>
        <v>0</v>
      </c>
      <c r="E83" s="561" t="str">
        <f>VLOOKUP(839,Sprachindex!$A:$Z,Info!$O$7,FALSE)</f>
        <v>Sockelknie (Ausladung: 60 mm)</v>
      </c>
      <c r="F83" s="562"/>
      <c r="G83" s="562"/>
      <c r="H83" s="562"/>
      <c r="I83" s="562"/>
      <c r="J83" s="627" t="str">
        <f>Formeln!A230</f>
        <v/>
      </c>
      <c r="K83" s="628"/>
      <c r="L83" s="79" t="str">
        <f t="shared" si="5"/>
        <v xml:space="preserve"> </v>
      </c>
      <c r="M83" s="440" t="str">
        <f t="shared" si="2"/>
        <v>Stk.</v>
      </c>
      <c r="N83" s="80"/>
      <c r="O83" s="202" t="str">
        <f>IF(ISNUMBER(L83),L83*GV83," ")</f>
        <v xml:space="preserve"> </v>
      </c>
      <c r="R83" s="195"/>
      <c r="S83" s="195"/>
      <c r="T83" s="195"/>
      <c r="U83" s="1"/>
      <c r="V83" s="149" t="e">
        <f t="shared" si="13"/>
        <v>#VALUE!</v>
      </c>
      <c r="W83" s="149">
        <f t="shared" si="14"/>
        <v>0</v>
      </c>
      <c r="X83" s="149" t="str">
        <f>IF($O$25=1,"",IF($O$25=2,2,IF($O$25=3,8,IF($O$25=4,4,IF($O$25=5,1,"")))))</f>
        <v/>
      </c>
      <c r="Y83" s="149">
        <v>1</v>
      </c>
      <c r="Z83" s="58" t="s">
        <v>1799</v>
      </c>
      <c r="AA83" s="58" t="s">
        <v>1800</v>
      </c>
      <c r="AB83" s="58" t="s">
        <v>1801</v>
      </c>
      <c r="AC83" s="58" t="s">
        <v>1802</v>
      </c>
      <c r="AD83" s="58" t="s">
        <v>1803</v>
      </c>
      <c r="AE83" s="58" t="s">
        <v>1804</v>
      </c>
      <c r="AF83" s="58" t="s">
        <v>1805</v>
      </c>
      <c r="AG83" s="58" t="s">
        <v>1806</v>
      </c>
      <c r="AH83" s="58" t="s">
        <v>1807</v>
      </c>
      <c r="AI83" s="58"/>
      <c r="AJ83" s="61">
        <f t="shared" si="16"/>
        <v>0</v>
      </c>
      <c r="AK83" s="61">
        <v>80</v>
      </c>
      <c r="AL83" t="s">
        <v>1808</v>
      </c>
      <c r="AM83" t="s">
        <v>1809</v>
      </c>
      <c r="AN83" t="s">
        <v>1810</v>
      </c>
      <c r="AO83" t="s">
        <v>1811</v>
      </c>
      <c r="AP83" t="s">
        <v>1812</v>
      </c>
      <c r="AQ83" t="s">
        <v>1813</v>
      </c>
      <c r="AR83" t="s">
        <v>1814</v>
      </c>
      <c r="AS83" t="s">
        <v>1815</v>
      </c>
      <c r="AT83" t="s">
        <v>1816</v>
      </c>
      <c r="AU83">
        <v>527029</v>
      </c>
      <c r="AV83" s="61">
        <f>IF($O$21=1,AN83,IF($O$21=2,AP83,IF($O$21=3,AO83,IF($O$21=4,AQ83,IF($O$21=5,AR83,IF($O$21=6,AM83,IF($O$21=7,AS83,IF($O$21=8,AT83,IF($O$21=9,AL83,IF($O$21=10,AU83,0))))))))))</f>
        <v>0</v>
      </c>
      <c r="AW83" s="61">
        <v>100</v>
      </c>
      <c r="AX83" t="s">
        <v>1817</v>
      </c>
      <c r="AY83" t="s">
        <v>1818</v>
      </c>
      <c r="AZ83" t="s">
        <v>1819</v>
      </c>
      <c r="BA83" t="s">
        <v>1820</v>
      </c>
      <c r="BB83" t="s">
        <v>1821</v>
      </c>
      <c r="BC83" t="s">
        <v>1822</v>
      </c>
      <c r="BD83" t="s">
        <v>1823</v>
      </c>
      <c r="BE83" t="s">
        <v>1824</v>
      </c>
      <c r="BF83" t="s">
        <v>1825</v>
      </c>
      <c r="BG83"/>
      <c r="BH83" s="61">
        <f t="shared" ref="BH83:BH86" si="18">IF($O$21=1,AZ83,IF($O$21=2,BB83,IF($O$21=3,BA83,IF($O$21=4,BC83,IF($O$21=5,BD83,IF($O$21=6,AY83,IF($O$21=7,BE83,IF($O$21=8,BF83,IF($O$21=9,AX83,0)))))))))</f>
        <v>0</v>
      </c>
      <c r="BI83" s="61">
        <v>120</v>
      </c>
      <c r="BJ83" t="s">
        <v>1826</v>
      </c>
      <c r="BK83" t="s">
        <v>1827</v>
      </c>
      <c r="BL83" t="s">
        <v>1828</v>
      </c>
      <c r="BM83" s="59"/>
      <c r="BN83" t="s">
        <v>1829</v>
      </c>
      <c r="BO83" s="59"/>
      <c r="BP83" s="59"/>
      <c r="BQ83" s="59"/>
      <c r="BR83" s="59"/>
      <c r="BS83" s="59"/>
      <c r="BT83" s="61">
        <f>IF($O$21=1,BL83,IF($O$21=2,BN83,IF($O$21=3,BM83,IF($O$21=4,BO83,IF($O$21=5,BP83,IF($O$21=6,BK83,IF($O$21=7,BQ83,IF($O$21=8,BR83,IF($O$21=9,BJ83,0)))))))))</f>
        <v>0</v>
      </c>
      <c r="BU83" s="61">
        <v>150</v>
      </c>
      <c r="ES83" s="561" t="str">
        <f>VLOOKUP(839,Sprachindex!$A:$Z,Info!$O$7,FALSE)</f>
        <v>Sockelknie (Ausladung: 60 mm)</v>
      </c>
      <c r="ET83" s="562"/>
      <c r="EU83" s="562"/>
      <c r="EV83" s="562"/>
      <c r="EW83" s="562"/>
      <c r="EX83" s="352"/>
      <c r="EY83" s="326"/>
      <c r="EZ83" s="344"/>
      <c r="FA83" s="343"/>
      <c r="FB83" s="326"/>
      <c r="FC83" s="344"/>
      <c r="FD83" s="343"/>
      <c r="FE83" s="326"/>
      <c r="FF83" s="344"/>
      <c r="FG83" s="343"/>
      <c r="FH83" s="326"/>
      <c r="FI83" s="344"/>
      <c r="FJ83" s="343">
        <v>22.57</v>
      </c>
      <c r="FK83" s="410" t="s">
        <v>1685</v>
      </c>
      <c r="FL83" s="344">
        <v>19.78</v>
      </c>
      <c r="FM83" s="343"/>
      <c r="FN83" s="326"/>
      <c r="FO83" s="344"/>
      <c r="FP83" s="343">
        <v>23.31</v>
      </c>
      <c r="FQ83" s="411" t="s">
        <v>1686</v>
      </c>
      <c r="FR83" s="344">
        <v>20.399999999999999</v>
      </c>
      <c r="FS83" s="343"/>
      <c r="FT83" s="326"/>
      <c r="FU83" s="13"/>
      <c r="FV83" s="343">
        <v>29.53</v>
      </c>
      <c r="FW83" s="412" t="s">
        <v>1687</v>
      </c>
      <c r="FX83" s="344">
        <v>27.16</v>
      </c>
      <c r="FY83" s="343"/>
      <c r="FZ83" s="326"/>
      <c r="GA83" s="344"/>
      <c r="GB83" s="343">
        <v>54.63</v>
      </c>
      <c r="GC83" s="413" t="s">
        <v>1688</v>
      </c>
      <c r="GD83" s="344">
        <v>50.59</v>
      </c>
      <c r="GF83" s="326"/>
      <c r="GG83" s="344"/>
      <c r="GH83" s="343"/>
      <c r="GI83" s="326"/>
      <c r="GJ83" s="344"/>
      <c r="GK83" s="343"/>
      <c r="GL83" s="326"/>
      <c r="GM83" s="344"/>
      <c r="GN83" s="343"/>
      <c r="GO83" s="326"/>
      <c r="GP83" s="353"/>
      <c r="GR83" s="318">
        <f>IF($O$21=9,FL83,FJ83)</f>
        <v>22.57</v>
      </c>
      <c r="GS83" s="319">
        <f>IF($O$21=9,FR83,FP83)</f>
        <v>23.31</v>
      </c>
      <c r="GT83" s="320">
        <f>IF($O$21=9,FX83,FV83)</f>
        <v>29.53</v>
      </c>
      <c r="GU83" s="423" t="str">
        <f>IF(OR($O$21=1,$O$21=2,$O$21=6),GB83,IF($O$21=9,GD83," "))</f>
        <v xml:space="preserve"> </v>
      </c>
      <c r="GV83" s="334" t="str">
        <f>IF($O$25=2,GR83,IF($O$25=3,GS83,IF($O$25=4,GT83,IF($O$25=5,GU83," "))))</f>
        <v xml:space="preserve"> </v>
      </c>
    </row>
    <row r="84" spans="1:204" ht="32.1" customHeight="1">
      <c r="A84" s="109"/>
      <c r="B84" s="79" t="str">
        <f>VLOOKUP(878,Sprachindex!$A:$Z,Info!$O$7,FALSE)</f>
        <v>Stk.</v>
      </c>
      <c r="C84" s="78"/>
      <c r="D84" s="78">
        <f>IF($O$25=3,AJ84,0)</f>
        <v>0</v>
      </c>
      <c r="E84" s="561" t="str">
        <f>VLOOKUP(1425,Sprachindex!$A:$Z,Info!$O$7,FALSE)</f>
        <v>Sockelknie (Ausladung: 30 mm)</v>
      </c>
      <c r="F84" s="562"/>
      <c r="G84" s="562"/>
      <c r="H84" s="562"/>
      <c r="I84" s="562"/>
      <c r="J84" s="627" t="str">
        <f>IF($O$25="","",IF($O$25=1,Formeln!$A$177,IF($O$25=2,Formeln!$A$177,IF($O$25=3,Formeln!$F$194,IF($O$25=4,Formeln!$A$177,IF($O$25=5,Formeln!$A$177,""))))))</f>
        <v/>
      </c>
      <c r="K84" s="628"/>
      <c r="L84" s="79" t="str">
        <f t="shared" si="5"/>
        <v xml:space="preserve"> </v>
      </c>
      <c r="M84" s="440" t="str">
        <f t="shared" si="2"/>
        <v>Stk.</v>
      </c>
      <c r="N84" s="80"/>
      <c r="O84" s="202" t="str">
        <f>IF(ISNUMBER(L84),L84*GV84," ")</f>
        <v xml:space="preserve"> </v>
      </c>
      <c r="R84" s="195"/>
      <c r="S84" s="195"/>
      <c r="T84" s="195"/>
      <c r="U84" s="1"/>
      <c r="V84" s="149" t="e">
        <f t="shared" si="13"/>
        <v>#VALUE!</v>
      </c>
      <c r="W84" s="149">
        <f t="shared" si="14"/>
        <v>0</v>
      </c>
      <c r="X84" s="149" t="str">
        <f>IF($O$25=3,8,"")</f>
        <v/>
      </c>
      <c r="Y84" s="149">
        <v>1</v>
      </c>
      <c r="Z84" s="58" t="s">
        <v>1830</v>
      </c>
      <c r="AA84" s="58"/>
      <c r="AB84" s="58"/>
      <c r="AC84" s="58"/>
      <c r="AD84" s="58"/>
      <c r="AE84" s="58"/>
      <c r="AF84" s="58"/>
      <c r="AG84" s="58"/>
      <c r="AH84" s="58"/>
      <c r="AI84" s="58"/>
      <c r="AJ84" s="61">
        <f t="shared" si="16"/>
        <v>0</v>
      </c>
      <c r="AK84" s="61">
        <v>100</v>
      </c>
      <c r="AL84"/>
      <c r="AM84"/>
      <c r="AN84"/>
      <c r="AO84"/>
      <c r="AP84"/>
      <c r="AQ84"/>
      <c r="AR84"/>
      <c r="AS84"/>
      <c r="AT84"/>
      <c r="AU84"/>
      <c r="AV84" s="61">
        <f t="shared" si="17"/>
        <v>0</v>
      </c>
      <c r="AW84" s="61"/>
      <c r="AX84"/>
      <c r="AY84"/>
      <c r="AZ84"/>
      <c r="BA84"/>
      <c r="BB84"/>
      <c r="BC84"/>
      <c r="BD84"/>
      <c r="BE84"/>
      <c r="BF84"/>
      <c r="BG84"/>
      <c r="BH84" s="61">
        <f t="shared" si="18"/>
        <v>0</v>
      </c>
      <c r="BI84" s="61"/>
      <c r="BJ84"/>
      <c r="BK84"/>
      <c r="BL84"/>
      <c r="BM84" s="131"/>
      <c r="BN84"/>
      <c r="BO84" s="131"/>
      <c r="BP84" s="131"/>
      <c r="BQ84" s="131"/>
      <c r="BR84" s="131"/>
      <c r="BS84" s="131"/>
      <c r="BT84" s="132"/>
      <c r="BU84" s="132"/>
      <c r="ES84" s="561" t="str">
        <f>VLOOKUP(1425,Sprachindex!$A:$Z,Info!$O$7,FALSE)</f>
        <v>Sockelknie (Ausladung: 30 mm)</v>
      </c>
      <c r="ET84" s="562"/>
      <c r="EU84" s="562"/>
      <c r="EV84" s="562"/>
      <c r="EW84" s="562"/>
      <c r="EX84" s="352"/>
      <c r="EY84" s="326"/>
      <c r="EZ84" s="344"/>
      <c r="FA84" s="343"/>
      <c r="FB84" s="326"/>
      <c r="FC84" s="344"/>
      <c r="FD84" s="343"/>
      <c r="FE84" s="326"/>
      <c r="FF84" s="344"/>
      <c r="FG84" s="343"/>
      <c r="FH84" s="326"/>
      <c r="FI84" s="344"/>
      <c r="FJ84" s="343"/>
      <c r="FK84" s="326"/>
      <c r="FL84" s="344"/>
      <c r="FM84" s="343"/>
      <c r="FN84" s="326"/>
      <c r="FO84" s="344"/>
      <c r="FP84" s="343">
        <v>24.56</v>
      </c>
      <c r="FQ84" s="411" t="s">
        <v>1686</v>
      </c>
      <c r="FR84" s="344">
        <v>22.85</v>
      </c>
      <c r="FS84" s="343"/>
      <c r="FT84" s="326"/>
      <c r="FU84" s="344"/>
      <c r="FV84" s="343"/>
      <c r="FW84" s="326"/>
      <c r="FX84" s="344"/>
      <c r="FY84" s="343"/>
      <c r="FZ84" s="326"/>
      <c r="GA84" s="344"/>
      <c r="GB84" s="343"/>
      <c r="GC84" s="326"/>
      <c r="GD84" s="344"/>
      <c r="GE84" s="343"/>
      <c r="GF84" s="326"/>
      <c r="GG84" s="344"/>
      <c r="GH84" s="343"/>
      <c r="GI84" s="326"/>
      <c r="GJ84" s="344"/>
      <c r="GK84" s="343"/>
      <c r="GL84" s="326"/>
      <c r="GM84" s="344"/>
      <c r="GN84" s="343"/>
      <c r="GO84" s="326"/>
      <c r="GP84" s="353"/>
      <c r="GS84" s="319">
        <f>IF($O$21=9,FR84,FP84)</f>
        <v>24.56</v>
      </c>
      <c r="GT84" s="320"/>
      <c r="GV84" s="334" t="str">
        <f>IF($O$25=3,GS84," ")</f>
        <v xml:space="preserve"> </v>
      </c>
    </row>
    <row r="85" spans="1:204" ht="32.1" customHeight="1">
      <c r="A85" s="109"/>
      <c r="B85" s="79" t="str">
        <f>VLOOKUP(878,Sprachindex!$A:$Z,Info!$O$7,FALSE)</f>
        <v>Stk.</v>
      </c>
      <c r="C85" s="78"/>
      <c r="D85" s="78">
        <f>IF($O$25=2,AJ85,IF($O$25=3,AV85,IF($O$25=4,BH85,IF($O$25=5,BT85,0))))</f>
        <v>0</v>
      </c>
      <c r="E85" s="561" t="str">
        <f>VLOOKUP(1013,Sprachindex!$A:$Z,Info!$O$7,FALSE)</f>
        <v>Wassersammler</v>
      </c>
      <c r="F85" s="562"/>
      <c r="G85" s="562"/>
      <c r="H85" s="562"/>
      <c r="I85" s="562"/>
      <c r="J85" s="627" t="str">
        <f>Formeln!A239</f>
        <v/>
      </c>
      <c r="K85" s="628"/>
      <c r="L85" s="79" t="str">
        <f t="shared" ref="L85:L102" si="19">IF(OR(A85="",X85="",Y85="")," ",IF($O$11=1,$V85,IF($O$11=2,W85,0)))</f>
        <v xml:space="preserve"> </v>
      </c>
      <c r="M85" s="440" t="str">
        <f t="shared" si="2"/>
        <v>Stk.</v>
      </c>
      <c r="N85" s="80"/>
      <c r="O85" s="202" t="str">
        <f>IF(ISNUMBER(L85),L85*GV85," ")</f>
        <v xml:space="preserve"> </v>
      </c>
      <c r="R85" s="195"/>
      <c r="S85" s="195"/>
      <c r="T85" s="195"/>
      <c r="U85" s="1"/>
      <c r="V85" s="149" t="e">
        <f t="shared" si="13"/>
        <v>#VALUE!</v>
      </c>
      <c r="W85" s="149">
        <f t="shared" si="14"/>
        <v>0</v>
      </c>
      <c r="X85" s="149" t="str">
        <f>IF($O$25=1,"",IF($O$25=2,1,IF($O$25=3,1,IF($O$25=4,1,IF($O$25=5,"","")))))</f>
        <v/>
      </c>
      <c r="Y85" s="149">
        <v>1</v>
      </c>
      <c r="Z85" s="58" t="s">
        <v>1831</v>
      </c>
      <c r="AA85" s="58" t="s">
        <v>1832</v>
      </c>
      <c r="AB85" s="58" t="s">
        <v>1833</v>
      </c>
      <c r="AC85" s="58" t="s">
        <v>1834</v>
      </c>
      <c r="AD85" s="58" t="s">
        <v>1835</v>
      </c>
      <c r="AE85" s="58" t="s">
        <v>1836</v>
      </c>
      <c r="AF85" s="58" t="s">
        <v>1837</v>
      </c>
      <c r="AG85" s="58" t="s">
        <v>1838</v>
      </c>
      <c r="AH85" s="58" t="s">
        <v>1839</v>
      </c>
      <c r="AI85" s="58"/>
      <c r="AJ85" s="61">
        <f t="shared" si="16"/>
        <v>0</v>
      </c>
      <c r="AK85" s="61">
        <v>80</v>
      </c>
      <c r="AL85" t="s">
        <v>1840</v>
      </c>
      <c r="AM85" t="s">
        <v>1841</v>
      </c>
      <c r="AN85" t="s">
        <v>1842</v>
      </c>
      <c r="AO85" t="s">
        <v>1843</v>
      </c>
      <c r="AP85" t="s">
        <v>1844</v>
      </c>
      <c r="AQ85" t="s">
        <v>1845</v>
      </c>
      <c r="AR85" t="s">
        <v>1846</v>
      </c>
      <c r="AS85" t="s">
        <v>1847</v>
      </c>
      <c r="AT85" t="s">
        <v>1848</v>
      </c>
      <c r="AU85"/>
      <c r="AV85" s="61">
        <f t="shared" si="17"/>
        <v>0</v>
      </c>
      <c r="AW85" s="61">
        <v>100</v>
      </c>
      <c r="AX85" t="s">
        <v>1849</v>
      </c>
      <c r="AY85" t="s">
        <v>1850</v>
      </c>
      <c r="AZ85" t="s">
        <v>1851</v>
      </c>
      <c r="BA85" t="s">
        <v>1852</v>
      </c>
      <c r="BB85" t="s">
        <v>1853</v>
      </c>
      <c r="BC85" t="s">
        <v>1854</v>
      </c>
      <c r="BD85" t="s">
        <v>1855</v>
      </c>
      <c r="BE85" t="s">
        <v>1856</v>
      </c>
      <c r="BF85" t="s">
        <v>1857</v>
      </c>
      <c r="BG85"/>
      <c r="BH85" s="61">
        <f t="shared" si="18"/>
        <v>0</v>
      </c>
      <c r="BI85" s="61">
        <v>120</v>
      </c>
      <c r="ES85" s="561" t="str">
        <f>VLOOKUP(1013,Sprachindex!$A:$Z,Info!$O$7,FALSE)</f>
        <v>Wassersammler</v>
      </c>
      <c r="ET85" s="562"/>
      <c r="EU85" s="562"/>
      <c r="EV85" s="562"/>
      <c r="EW85" s="562"/>
      <c r="EX85" s="352"/>
      <c r="EY85" s="326"/>
      <c r="EZ85" s="344"/>
      <c r="FA85" s="343"/>
      <c r="FB85" s="326"/>
      <c r="FC85" s="344"/>
      <c r="FD85" s="343"/>
      <c r="FE85" s="326"/>
      <c r="FF85" s="344"/>
      <c r="FG85" s="343"/>
      <c r="FH85" s="326"/>
      <c r="FI85" s="344"/>
      <c r="FJ85" s="343">
        <v>133.4</v>
      </c>
      <c r="FK85" s="410" t="s">
        <v>1685</v>
      </c>
      <c r="FL85" s="344">
        <v>129.5</v>
      </c>
      <c r="FM85" s="343"/>
      <c r="FN85" s="326"/>
      <c r="FO85" s="344"/>
      <c r="FP85" s="343">
        <v>139.5</v>
      </c>
      <c r="FQ85" s="411" t="s">
        <v>1686</v>
      </c>
      <c r="FR85" s="344">
        <v>134.30000000000001</v>
      </c>
      <c r="FS85" s="343"/>
      <c r="FT85" s="326"/>
      <c r="FU85" s="13"/>
      <c r="FV85" s="343">
        <v>190.7</v>
      </c>
      <c r="FW85" s="412" t="s">
        <v>1687</v>
      </c>
      <c r="FX85" s="344">
        <v>184.2</v>
      </c>
      <c r="FY85" s="343"/>
      <c r="FZ85" s="326"/>
      <c r="GA85" s="344"/>
      <c r="GB85" s="343"/>
      <c r="GC85" s="326"/>
      <c r="GD85" s="344"/>
      <c r="GE85" s="343"/>
      <c r="GF85" s="326"/>
      <c r="GG85" s="344"/>
      <c r="GH85" s="343"/>
      <c r="GI85" s="326"/>
      <c r="GJ85" s="344"/>
      <c r="GK85" s="343"/>
      <c r="GL85" s="326"/>
      <c r="GM85" s="344"/>
      <c r="GN85" s="343"/>
      <c r="GO85" s="326"/>
      <c r="GP85" s="353"/>
      <c r="GR85" s="318">
        <f>IF($O$21=9,FL85,FJ85)</f>
        <v>133.4</v>
      </c>
      <c r="GS85" s="319">
        <f>IF($O$21=9,FR85,FP85)</f>
        <v>139.5</v>
      </c>
      <c r="GT85" s="320">
        <f>IF($O$21=9,FX85,FV85)</f>
        <v>190.7</v>
      </c>
      <c r="GV85" s="334" t="str">
        <f>IF($O$25=2,GR85,IF($O$25=3,GS85,IF($O$25=4,GT85," ")))</f>
        <v xml:space="preserve"> </v>
      </c>
    </row>
    <row r="86" spans="1:204" ht="32.1" customHeight="1">
      <c r="A86" s="109"/>
      <c r="B86" s="79" t="str">
        <f>VLOOKUP(878,Sprachindex!$A:$Z,Info!$O$7,FALSE)</f>
        <v>Stk.</v>
      </c>
      <c r="C86" s="78"/>
      <c r="D86" s="78">
        <f>IF($O$25=2,AJ86,IF($O$25=3,AV86,IF($O$25=4,BH86,IF($O$25=5,BT86,0))))</f>
        <v>0</v>
      </c>
      <c r="E86" s="561" t="str">
        <f>VLOOKUP(702,Sprachindex!$A:$Z,Info!$O$7,FALSE)</f>
        <v>Regenklappe</v>
      </c>
      <c r="F86" s="562"/>
      <c r="G86" s="562"/>
      <c r="H86" s="562"/>
      <c r="I86" s="562"/>
      <c r="J86" s="627" t="str">
        <f>Formeln!A239</f>
        <v/>
      </c>
      <c r="K86" s="628"/>
      <c r="L86" s="79" t="str">
        <f t="shared" si="19"/>
        <v xml:space="preserve"> </v>
      </c>
      <c r="M86" s="440" t="str">
        <f t="shared" si="2"/>
        <v>Stk.</v>
      </c>
      <c r="N86" s="80"/>
      <c r="O86" s="202" t="str">
        <f>IF(ISNUMBER(L86),L86*GV86," ")</f>
        <v xml:space="preserve"> </v>
      </c>
      <c r="R86" s="195"/>
      <c r="S86" s="195"/>
      <c r="T86" s="195"/>
      <c r="U86" s="1"/>
      <c r="V86" s="149" t="e">
        <f t="shared" si="13"/>
        <v>#VALUE!</v>
      </c>
      <c r="W86" s="149">
        <f t="shared" si="14"/>
        <v>0</v>
      </c>
      <c r="X86" s="149" t="str">
        <f>IF($O$25=1,"",IF($O$25=2,1,IF($O$25=3,1,IF($O$25=4,1,IF($O$25=5,"","")))))</f>
        <v/>
      </c>
      <c r="Y86" s="149">
        <v>1</v>
      </c>
      <c r="Z86" s="58" t="s">
        <v>1858</v>
      </c>
      <c r="AA86" s="58" t="s">
        <v>1859</v>
      </c>
      <c r="AB86" s="58" t="s">
        <v>1860</v>
      </c>
      <c r="AC86" s="58" t="s">
        <v>1861</v>
      </c>
      <c r="AD86" s="58" t="s">
        <v>1862</v>
      </c>
      <c r="AE86" s="58" t="s">
        <v>1863</v>
      </c>
      <c r="AF86" s="58" t="s">
        <v>1864</v>
      </c>
      <c r="AG86" s="58" t="s">
        <v>1865</v>
      </c>
      <c r="AH86" s="58" t="s">
        <v>1866</v>
      </c>
      <c r="AI86" s="58"/>
      <c r="AJ86" s="61">
        <f t="shared" si="16"/>
        <v>0</v>
      </c>
      <c r="AK86" s="61">
        <v>80</v>
      </c>
      <c r="AL86" t="s">
        <v>1867</v>
      </c>
      <c r="AM86" t="s">
        <v>1868</v>
      </c>
      <c r="AN86" t="s">
        <v>1869</v>
      </c>
      <c r="AO86" t="s">
        <v>1870</v>
      </c>
      <c r="AP86" t="s">
        <v>1871</v>
      </c>
      <c r="AQ86" t="s">
        <v>1872</v>
      </c>
      <c r="AR86" t="s">
        <v>1873</v>
      </c>
      <c r="AS86" t="s">
        <v>1874</v>
      </c>
      <c r="AT86" t="s">
        <v>1875</v>
      </c>
      <c r="AU86">
        <v>539029</v>
      </c>
      <c r="AV86" s="61">
        <f>IF($O$21=1,AN86,IF($O$21=2,AP86,IF($O$21=3,AO86,IF($O$21=4,AQ86,IF($O$21=5,AR86,IF($O$21=6,AM86,IF($O$21=7,AS86,IF($O$21=8,AT86,IF($O$21=9,AL86,IF($O$21=10,AU86,0))))))))))</f>
        <v>0</v>
      </c>
      <c r="AW86" s="61">
        <v>100</v>
      </c>
      <c r="AX86" t="s">
        <v>1876</v>
      </c>
      <c r="AY86" t="s">
        <v>1877</v>
      </c>
      <c r="AZ86" t="s">
        <v>1878</v>
      </c>
      <c r="BA86" t="s">
        <v>1879</v>
      </c>
      <c r="BB86" t="s">
        <v>1880</v>
      </c>
      <c r="BC86" t="s">
        <v>1881</v>
      </c>
      <c r="BD86" t="s">
        <v>1882</v>
      </c>
      <c r="BE86" t="s">
        <v>1883</v>
      </c>
      <c r="BF86" t="s">
        <v>1884</v>
      </c>
      <c r="BG86"/>
      <c r="BH86" s="61">
        <f t="shared" si="18"/>
        <v>0</v>
      </c>
      <c r="BI86" s="61">
        <v>120</v>
      </c>
      <c r="ES86" s="561" t="str">
        <f>VLOOKUP(702,Sprachindex!$A:$Z,Info!$O$7,FALSE)</f>
        <v>Regenklappe</v>
      </c>
      <c r="ET86" s="562"/>
      <c r="EU86" s="562"/>
      <c r="EV86" s="562"/>
      <c r="EW86" s="562"/>
      <c r="EX86" s="352"/>
      <c r="EY86" s="326"/>
      <c r="EZ86" s="344"/>
      <c r="FA86" s="343"/>
      <c r="FB86" s="326"/>
      <c r="FC86" s="344"/>
      <c r="FD86" s="343"/>
      <c r="FE86" s="326"/>
      <c r="FF86" s="344"/>
      <c r="FG86" s="343"/>
      <c r="FH86" s="326"/>
      <c r="FI86" s="344"/>
      <c r="FJ86" s="343">
        <v>58.59</v>
      </c>
      <c r="FK86" s="410" t="s">
        <v>1685</v>
      </c>
      <c r="FL86" s="344">
        <v>46.19</v>
      </c>
      <c r="FM86" s="343"/>
      <c r="FN86" s="326"/>
      <c r="FO86" s="344"/>
      <c r="FP86" s="343">
        <v>65.39</v>
      </c>
      <c r="FQ86" s="411" t="s">
        <v>1686</v>
      </c>
      <c r="FR86" s="344">
        <v>51.36</v>
      </c>
      <c r="FS86" s="343"/>
      <c r="FT86" s="326"/>
      <c r="FU86" s="13"/>
      <c r="FV86" s="343">
        <v>75.89</v>
      </c>
      <c r="FW86" s="412" t="s">
        <v>1687</v>
      </c>
      <c r="FX86" s="344">
        <v>61.98</v>
      </c>
      <c r="FY86" s="343"/>
      <c r="FZ86" s="326"/>
      <c r="GA86" s="344"/>
      <c r="GB86" s="343"/>
      <c r="GC86" s="326"/>
      <c r="GD86" s="344"/>
      <c r="GE86" s="343"/>
      <c r="GF86" s="326"/>
      <c r="GG86" s="344"/>
      <c r="GH86" s="343"/>
      <c r="GI86" s="326"/>
      <c r="GJ86" s="344"/>
      <c r="GK86" s="343"/>
      <c r="GL86" s="326"/>
      <c r="GM86" s="344"/>
      <c r="GN86" s="343"/>
      <c r="GO86" s="326"/>
      <c r="GP86" s="353"/>
      <c r="GR86" s="318">
        <f>IF($O$21=9,FL86,FJ86)</f>
        <v>58.59</v>
      </c>
      <c r="GS86" s="319">
        <f>IF($O$21=9,FR86,FP86)</f>
        <v>65.39</v>
      </c>
      <c r="GT86" s="320">
        <f>IF($O$21=9,FX86,FV86)</f>
        <v>75.89</v>
      </c>
      <c r="GV86" s="334" t="str">
        <f>IF($O$25=2,GR86,IF($O$25=3,GS86,IF($O$25=4,GT86," ")))</f>
        <v xml:space="preserve"> </v>
      </c>
    </row>
    <row r="87" spans="1:204" ht="32.1" customHeight="1">
      <c r="A87" s="109"/>
      <c r="B87" s="79" t="str">
        <f>VLOOKUP(878,Sprachindex!$A:$Z,Info!$O$7,FALSE)</f>
        <v>Stk.</v>
      </c>
      <c r="C87" s="78"/>
      <c r="D87" s="78" t="str">
        <f>IF(O25=2,AJ87,IF(O25=3,AV87,IF(O25=4,BH87,"")))</f>
        <v/>
      </c>
      <c r="E87" s="561" t="str">
        <f>VLOOKUP(373,Sprachindex!$A:$Z,Info!$O$7,FALSE)</f>
        <v>Ersatzgitter für Regenklappe</v>
      </c>
      <c r="F87" s="562"/>
      <c r="G87" s="562"/>
      <c r="H87" s="562"/>
      <c r="I87" s="562"/>
      <c r="J87" s="627" t="str">
        <f>Formeln!A239</f>
        <v/>
      </c>
      <c r="K87" s="628"/>
      <c r="L87" s="79" t="str">
        <f t="shared" si="19"/>
        <v xml:space="preserve"> </v>
      </c>
      <c r="M87" s="440" t="str">
        <f t="shared" si="2"/>
        <v>Stk.</v>
      </c>
      <c r="N87" s="80"/>
      <c r="O87" s="202" t="str">
        <f>IF(ISNUMBER(L87),L87*GV87," ")</f>
        <v xml:space="preserve"> </v>
      </c>
      <c r="R87" s="195"/>
      <c r="S87" s="195"/>
      <c r="T87" s="195"/>
      <c r="U87" s="1"/>
      <c r="V87" s="149" t="e">
        <f t="shared" si="13"/>
        <v>#VALUE!</v>
      </c>
      <c r="W87" s="149">
        <f t="shared" si="14"/>
        <v>0</v>
      </c>
      <c r="X87" s="149" t="str">
        <f>IF($O$25=1,"",IF($O$25=2,1,IF($O$25=3,1,IF($O$25=4,1,IF($O$25=5,"","")))))</f>
        <v/>
      </c>
      <c r="Y87" s="149">
        <v>1</v>
      </c>
      <c r="Z87" s="58"/>
      <c r="AA87" s="58"/>
      <c r="AB87" s="58"/>
      <c r="AC87" s="58"/>
      <c r="AD87" s="58"/>
      <c r="AE87" s="58"/>
      <c r="AF87" s="58"/>
      <c r="AG87" s="58"/>
      <c r="AH87" s="58"/>
      <c r="AI87" s="58"/>
      <c r="AJ87" s="61">
        <v>539089</v>
      </c>
      <c r="AK87" s="61">
        <v>80</v>
      </c>
      <c r="AL87"/>
      <c r="AM87"/>
      <c r="AN87"/>
      <c r="AO87"/>
      <c r="AP87"/>
      <c r="AQ87"/>
      <c r="AR87"/>
      <c r="AS87"/>
      <c r="AT87"/>
      <c r="AU87"/>
      <c r="AV87" s="61">
        <v>539090</v>
      </c>
      <c r="AW87" s="61">
        <v>100</v>
      </c>
      <c r="AX87"/>
      <c r="AY87"/>
      <c r="AZ87"/>
      <c r="BA87"/>
      <c r="BB87"/>
      <c r="BC87"/>
      <c r="BD87"/>
      <c r="BE87"/>
      <c r="BF87"/>
      <c r="BG87"/>
      <c r="BH87" s="61">
        <v>539091</v>
      </c>
      <c r="BI87" s="61">
        <v>120</v>
      </c>
      <c r="CH87" s="47" t="s">
        <v>95</v>
      </c>
      <c r="CI87" s="47" t="s">
        <v>113</v>
      </c>
      <c r="CJ87" s="47" t="s">
        <v>108</v>
      </c>
      <c r="CK87" s="47" t="s">
        <v>111</v>
      </c>
      <c r="CL87" s="47" t="s">
        <v>109</v>
      </c>
      <c r="CM87" s="47" t="s">
        <v>112</v>
      </c>
      <c r="CN87" s="47" t="s">
        <v>116</v>
      </c>
      <c r="CO87" s="47" t="s">
        <v>117</v>
      </c>
      <c r="CP87" s="47" t="s">
        <v>1483</v>
      </c>
      <c r="CQ87" s="61"/>
      <c r="CS87" s="47" t="s">
        <v>95</v>
      </c>
      <c r="CT87" s="47" t="s">
        <v>113</v>
      </c>
      <c r="CU87" s="47" t="s">
        <v>108</v>
      </c>
      <c r="CV87" s="47" t="s">
        <v>111</v>
      </c>
      <c r="CW87" s="47" t="s">
        <v>109</v>
      </c>
      <c r="CX87" s="47" t="s">
        <v>112</v>
      </c>
      <c r="CY87" s="47" t="s">
        <v>116</v>
      </c>
      <c r="CZ87" s="47" t="s">
        <v>117</v>
      </c>
      <c r="DA87" s="47" t="s">
        <v>1483</v>
      </c>
      <c r="DD87" s="47" t="s">
        <v>95</v>
      </c>
      <c r="DE87" s="47" t="s">
        <v>113</v>
      </c>
      <c r="DF87" s="47" t="s">
        <v>108</v>
      </c>
      <c r="DG87" s="47" t="s">
        <v>111</v>
      </c>
      <c r="DH87" s="47" t="s">
        <v>109</v>
      </c>
      <c r="DI87" s="47" t="s">
        <v>112</v>
      </c>
      <c r="DJ87" s="47" t="s">
        <v>116</v>
      </c>
      <c r="DK87" s="47" t="s">
        <v>117</v>
      </c>
      <c r="DL87" s="47" t="s">
        <v>1483</v>
      </c>
      <c r="ES87" s="561" t="str">
        <f>VLOOKUP(373,Sprachindex!$A:$Z,Info!$O$7,FALSE)</f>
        <v>Ersatzgitter für Regenklappe</v>
      </c>
      <c r="ET87" s="562"/>
      <c r="EU87" s="562"/>
      <c r="EV87" s="562"/>
      <c r="EW87" s="562"/>
      <c r="EX87" s="352"/>
      <c r="EY87" s="326"/>
      <c r="EZ87" s="344"/>
      <c r="FA87" s="343"/>
      <c r="FB87" s="326"/>
      <c r="FC87" s="344"/>
      <c r="FD87" s="343"/>
      <c r="FE87" s="326"/>
      <c r="FF87" s="344"/>
      <c r="FG87" s="343"/>
      <c r="FH87" s="326"/>
      <c r="FI87" s="344"/>
      <c r="FJ87" s="343"/>
      <c r="FK87" s="326"/>
      <c r="FL87" s="344"/>
      <c r="FM87" s="343"/>
      <c r="FN87" s="326"/>
      <c r="FO87" s="344"/>
      <c r="FP87" s="343"/>
      <c r="FQ87" s="326"/>
      <c r="FR87" s="344"/>
      <c r="FS87" s="343"/>
      <c r="FT87" s="326"/>
      <c r="FU87" s="344"/>
      <c r="FV87" s="343"/>
      <c r="FW87" s="326"/>
      <c r="FX87" s="344"/>
      <c r="FY87" s="343"/>
      <c r="FZ87" s="326"/>
      <c r="GA87" s="344"/>
      <c r="GB87" s="343"/>
      <c r="GC87" s="326"/>
      <c r="GD87" s="344"/>
      <c r="GE87" s="343"/>
      <c r="GF87" s="326"/>
      <c r="GG87" s="344"/>
      <c r="GH87" s="343"/>
      <c r="GI87" s="326"/>
      <c r="GJ87" s="344"/>
      <c r="GK87" s="343"/>
      <c r="GL87" s="326"/>
      <c r="GM87" s="344"/>
      <c r="GN87" s="343"/>
      <c r="GO87" s="326"/>
      <c r="GP87" s="353"/>
      <c r="GR87" s="318">
        <v>25.23</v>
      </c>
      <c r="GS87" s="319">
        <v>25.23</v>
      </c>
      <c r="GT87" s="320">
        <v>25.23</v>
      </c>
      <c r="GV87" s="334" t="str">
        <f>IF($O$25=2,GR87,IF($O$25=3,GS87,IF($O$25=4,GT87," ")))</f>
        <v xml:space="preserve"> </v>
      </c>
    </row>
    <row r="88" spans="1:204" ht="32.1" customHeight="1">
      <c r="A88" s="109"/>
      <c r="B88" s="79" t="str">
        <f>VLOOKUP(878,Sprachindex!$A:$Z,Info!$O$7,FALSE)</f>
        <v>Stk.</v>
      </c>
      <c r="C88" s="78"/>
      <c r="D88" s="78">
        <f>IF(AND($O$25=2,J88=Formeln!A243),AJ88,IF(AND($O$25=3,J88=Formeln!A244),BT88,IF(AND($O$25=3,J88=Formeln!A245),CF88,IF(AND($O$25=4,J88=Formeln!A243),CQ88,IF(AND($O$25=4,J88=Formeln!A244),DB88,IF(AND($O$25=4,J88=Formeln!A245),DM88,IF(AND($O$25=2,J88=Formeln!A244),AV88,IF(AND($O$25=3,J88=Formeln!A243),BH88,0))))))))</f>
        <v>0</v>
      </c>
      <c r="E88" s="561" t="str">
        <f>VLOOKUP(732,Sprachindex!$A:$Z,Info!$O$7,FALSE)</f>
        <v>Rohreinmündung</v>
      </c>
      <c r="F88" s="562"/>
      <c r="G88" s="562"/>
      <c r="H88" s="562"/>
      <c r="I88" s="562"/>
      <c r="J88" s="614" t="s">
        <v>1234</v>
      </c>
      <c r="K88" s="630"/>
      <c r="L88" s="79" t="str">
        <f t="shared" si="19"/>
        <v xml:space="preserve"> </v>
      </c>
      <c r="M88" s="440" t="str">
        <f t="shared" si="2"/>
        <v>Stk.</v>
      </c>
      <c r="N88" s="80"/>
      <c r="O88" s="202" t="str">
        <f>IF(ISNUMBER(A88),L88*GV88," ")</f>
        <v xml:space="preserve"> </v>
      </c>
      <c r="R88" s="195"/>
      <c r="S88" s="195"/>
      <c r="T88" s="195"/>
      <c r="U88" s="1"/>
      <c r="V88" s="149">
        <f t="shared" si="13"/>
        <v>0</v>
      </c>
      <c r="W88" s="149">
        <f t="shared" si="14"/>
        <v>0</v>
      </c>
      <c r="X88" s="149">
        <v>2</v>
      </c>
      <c r="Y88" s="149">
        <v>1</v>
      </c>
      <c r="Z88" s="543" t="s">
        <v>1885</v>
      </c>
      <c r="AA88" s="543" t="s">
        <v>1886</v>
      </c>
      <c r="AB88" s="543" t="s">
        <v>1887</v>
      </c>
      <c r="AC88" s="543"/>
      <c r="AD88" s="543" t="s">
        <v>1888</v>
      </c>
      <c r="AE88" s="543"/>
      <c r="AF88" s="543"/>
      <c r="AG88" s="543"/>
      <c r="AH88" s="543"/>
      <c r="AI88" s="543"/>
      <c r="AJ88" s="61">
        <f t="shared" ref="AJ88:AJ96" si="20">IF($O$21=1,AB88,IF($O$21=2,AD88,IF($O$21=3,AC88,IF($O$21=4,AE88,IF($O$21=5,AF88,IF($O$21=6,AA88,IF($O$21=7,AG88,IF($O$21=8,AH88,IF($O$21=9,Z88,0)))))))))</f>
        <v>0</v>
      </c>
      <c r="AK88" s="61" t="s">
        <v>1245</v>
      </c>
      <c r="AL88" s="19" t="s">
        <v>1889</v>
      </c>
      <c r="AM88" s="19" t="s">
        <v>1890</v>
      </c>
      <c r="AN88" s="19" t="s">
        <v>1891</v>
      </c>
      <c r="AO88" s="19" t="s">
        <v>1892</v>
      </c>
      <c r="AP88" s="19" t="s">
        <v>1893</v>
      </c>
      <c r="AQ88" s="19" t="s">
        <v>1894</v>
      </c>
      <c r="AR88" s="19" t="s">
        <v>1895</v>
      </c>
      <c r="AS88" s="19" t="s">
        <v>1896</v>
      </c>
      <c r="AT88" s="19" t="s">
        <v>1897</v>
      </c>
      <c r="AU88" s="19"/>
      <c r="AV88" s="61">
        <f>IF($O$21=1,AN88,IF($O$21=2,AP88,IF($O$21=3,AO88,IF($O$21=4,AQ88,IF($O$21=5,AR88,IF($O$21=6,AM88,IF($O$21=7,AS88,IF($O$21=8,AT88,IF($O$21=9,AL88,0)))))))))</f>
        <v>0</v>
      </c>
      <c r="AW88" s="61" t="s">
        <v>1253</v>
      </c>
      <c r="AX88" s="19" t="s">
        <v>1898</v>
      </c>
      <c r="AY88" s="19" t="s">
        <v>1899</v>
      </c>
      <c r="AZ88" s="19" t="s">
        <v>1900</v>
      </c>
      <c r="BA88" s="19"/>
      <c r="BB88" s="19" t="s">
        <v>1901</v>
      </c>
      <c r="BC88" s="19"/>
      <c r="BD88" s="19"/>
      <c r="BE88" s="19"/>
      <c r="BF88" s="19"/>
      <c r="BG88" s="19"/>
      <c r="BH88" s="61">
        <f>IF($O$21=1,AZ88,IF($O$21=2,BB88,IF($O$21=3,BA88,IF($O$21=4,BC88,IF($O$21=5,BD88,IF($O$21=6,AY88,IF($O$21=7,BE88,IF($O$21=8,BF88,IF($O$21=9,AX88,0)))))))))</f>
        <v>0</v>
      </c>
      <c r="BI88" s="61" t="s">
        <v>1261</v>
      </c>
      <c r="BJ88" s="19">
        <v>542015</v>
      </c>
      <c r="BK88" s="19" t="s">
        <v>1902</v>
      </c>
      <c r="BL88" s="19" t="s">
        <v>1903</v>
      </c>
      <c r="BM88" s="19" t="s">
        <v>1904</v>
      </c>
      <c r="BN88" s="19" t="s">
        <v>1905</v>
      </c>
      <c r="BO88" s="19" t="s">
        <v>1906</v>
      </c>
      <c r="BP88" s="19" t="s">
        <v>1907</v>
      </c>
      <c r="BQ88" s="19" t="s">
        <v>1908</v>
      </c>
      <c r="BR88" s="19" t="s">
        <v>1909</v>
      </c>
      <c r="BS88" s="19"/>
      <c r="BT88" s="61">
        <f>IF($O$21=1,BL88,IF($O$21=2,BN88,IF($O$21=3,BM88,IF($O$21=4,BO88,IF($O$21=5,BP88,IF($O$21=6,BK88,IF($O$21=7,BQ88,IF($O$21=8,BR88,IF($O$21=9,BJ88,0)))))))))</f>
        <v>0</v>
      </c>
      <c r="BU88" s="61" t="s">
        <v>1268</v>
      </c>
      <c r="BV88" s="19" t="s">
        <v>1910</v>
      </c>
      <c r="BW88" s="19" t="s">
        <v>1911</v>
      </c>
      <c r="BX88" s="19" t="s">
        <v>1912</v>
      </c>
      <c r="BY88" s="19" t="s">
        <v>1913</v>
      </c>
      <c r="BZ88" s="19" t="s">
        <v>1914</v>
      </c>
      <c r="CA88" s="19" t="s">
        <v>1915</v>
      </c>
      <c r="CB88" s="19" t="s">
        <v>1916</v>
      </c>
      <c r="CC88" s="19" t="s">
        <v>1917</v>
      </c>
      <c r="CD88" s="19" t="s">
        <v>1918</v>
      </c>
      <c r="CE88" s="19">
        <v>542049</v>
      </c>
      <c r="CF88" s="61">
        <f>IF($O$21=1,BX88,IF($O$21=2,BZ88,IF($O$21=3,BY88,IF($O$21=4,CA88,IF($O$21=5,CB88,IF($O$21=6,BW88,IF($O$21=7,CC88,IF($O$21=8,CD88,IF($O$21=9,BV88,IF($O$21=10,CE88,0))))))))))</f>
        <v>0</v>
      </c>
      <c r="CG88" s="61" t="s">
        <v>1276</v>
      </c>
      <c r="CH88" s="19">
        <v>542038</v>
      </c>
      <c r="CI88" s="19">
        <v>542041</v>
      </c>
      <c r="CJ88" s="19">
        <v>542039</v>
      </c>
      <c r="CK88" s="19">
        <v>542043</v>
      </c>
      <c r="CL88" s="19">
        <v>542040</v>
      </c>
      <c r="CM88" s="19">
        <v>542055</v>
      </c>
      <c r="CN88" s="19">
        <v>542044</v>
      </c>
      <c r="CO88" s="19">
        <v>542063</v>
      </c>
      <c r="CP88" s="19">
        <v>542069</v>
      </c>
      <c r="CQ88" s="61">
        <f>IF($O$21=1,CJ88,IF($O$21=2,CL88,IF($O$21=3,CK88,IF($O$21=4,CM88,IF($O$21=5,CN88,IF($O$21=6,CI88,IF($O$21=7,CO88,IF($O$21=8,CP88,IF($O$21=9,CH88,0)))))))))</f>
        <v>0</v>
      </c>
      <c r="CR88" s="61" t="s">
        <v>1284</v>
      </c>
      <c r="CS88" s="19">
        <v>542005</v>
      </c>
      <c r="CT88" s="19">
        <v>542006</v>
      </c>
      <c r="CU88" s="19">
        <v>542013</v>
      </c>
      <c r="CV88" s="19">
        <v>542036</v>
      </c>
      <c r="CW88" s="19">
        <v>542014</v>
      </c>
      <c r="CX88" s="19">
        <v>542053</v>
      </c>
      <c r="CY88" s="19">
        <v>542031</v>
      </c>
      <c r="CZ88" s="19">
        <v>542064</v>
      </c>
      <c r="DA88" s="19">
        <v>542070</v>
      </c>
      <c r="DB88" s="61">
        <f>IF($O$21=1,CU88,IF($O$21=2,CW88,IF($O$21=3,CV88,IF($O$21=4,CX88,IF($O$21=5,CY88,IF($O$21=6,CT88,IF($O$21=7,CZ88,IF($O$21=8,DA88,IF($O$21=9,CS88,0)))))))))</f>
        <v>0</v>
      </c>
      <c r="DC88" s="61" t="s">
        <v>1292</v>
      </c>
      <c r="DD88" s="19">
        <v>542007</v>
      </c>
      <c r="DE88" s="19">
        <v>542008</v>
      </c>
      <c r="DF88" s="19">
        <v>542010</v>
      </c>
      <c r="DG88" s="19">
        <v>542037</v>
      </c>
      <c r="DH88" s="19">
        <v>542011</v>
      </c>
      <c r="DI88" s="19">
        <v>542054</v>
      </c>
      <c r="DJ88" s="19">
        <v>542032</v>
      </c>
      <c r="DK88" s="19">
        <v>542065</v>
      </c>
      <c r="DL88" s="19">
        <v>542071</v>
      </c>
      <c r="DM88" s="61">
        <f>IF($O$21=1,DF88,IF($O$21=2,DH88,IF($O$21=3,DG88,IF($O$21=4,DI88,IF($O$21=5,DJ88,IF($O$21=6,DE88,IF($O$21=7,DK88,IF($O$21=8,DL88,IF($O$21=9,DD88,0)))))))))</f>
        <v>0</v>
      </c>
      <c r="DN88" s="61" t="s">
        <v>1300</v>
      </c>
      <c r="ES88" s="561" t="str">
        <f>VLOOKUP(732,Sprachindex!$A:$Z,Info!$O$7,FALSE)</f>
        <v>Rohreinmündung</v>
      </c>
      <c r="ET88" s="562"/>
      <c r="EU88" s="562"/>
      <c r="EV88" s="562"/>
      <c r="EW88" s="562"/>
      <c r="EX88" s="352">
        <v>66.739999999999995</v>
      </c>
      <c r="EY88" s="410" t="s">
        <v>1230</v>
      </c>
      <c r="EZ88" s="415">
        <v>64.64</v>
      </c>
      <c r="FA88" s="402" t="str">
        <f>IF(OR($O$21=1,$O$21=2,$O$21=6),EX88,IF($O$21=9,EZ88," "))</f>
        <v xml:space="preserve"> </v>
      </c>
      <c r="FB88" s="326"/>
      <c r="FC88" s="410" t="s">
        <v>1231</v>
      </c>
      <c r="FD88" s="343">
        <v>68.81</v>
      </c>
      <c r="FE88" s="135">
        <v>70.88</v>
      </c>
      <c r="FF88" s="344">
        <v>59.5</v>
      </c>
      <c r="FG88" s="402" t="str">
        <f>IF(OR($O$21=1,$O$21=2,$O$21=6),FD88,IF(OR($O$21=3,$O$21=4,$O$21=5,$O$21=7,$O$21=8),FE88,IF($O$21=9,FF88," ")))</f>
        <v xml:space="preserve"> </v>
      </c>
      <c r="FH88" s="405"/>
      <c r="FI88" s="344">
        <v>67.53</v>
      </c>
      <c r="FJ88" s="421" t="s">
        <v>1232</v>
      </c>
      <c r="FK88" s="405">
        <v>65.42</v>
      </c>
      <c r="FL88" s="419" t="str">
        <f>IF(OR($O$21=1,$O$21=2,$O$21=6),FI88,IF($O$21=9,FK88," "))</f>
        <v xml:space="preserve"> </v>
      </c>
      <c r="FM88" s="407"/>
      <c r="FN88" s="420" t="s">
        <v>1233</v>
      </c>
      <c r="FO88" s="344">
        <v>69.64</v>
      </c>
      <c r="FP88" s="407">
        <v>71.73</v>
      </c>
      <c r="FQ88" s="405">
        <v>60.21</v>
      </c>
      <c r="FR88" s="419" t="str">
        <f>IF(OR($O$21=1,$O$21=2,$O$21=6),FO88,IF(OR($O$21=3,$O$21=4,$O$21=5,$O$21=7,$O$21=8),FP88,IF($O$21=9,FQ88," ")))</f>
        <v xml:space="preserve"> </v>
      </c>
      <c r="FS88" s="407"/>
      <c r="FT88" s="420" t="s">
        <v>1234</v>
      </c>
      <c r="FU88" s="344">
        <v>70.37</v>
      </c>
      <c r="FV88" s="407">
        <v>72.48</v>
      </c>
      <c r="FW88" s="405">
        <v>60.27</v>
      </c>
      <c r="FX88" s="419" t="str">
        <f>IF(OR($O$21=1,$O$21=2,$O$21=6),FU88,IF(OR($O$21=3,$O$21=4,$O$21=5,$O$21=7,$O$21=8),FV88,IF($O$21=9,FW88," ")))</f>
        <v xml:space="preserve"> </v>
      </c>
      <c r="FY88" s="407"/>
      <c r="FZ88" s="418" t="s">
        <v>1235</v>
      </c>
      <c r="GA88" s="344">
        <v>71.11</v>
      </c>
      <c r="GB88" s="407">
        <v>73.27</v>
      </c>
      <c r="GC88" s="405">
        <v>60.92</v>
      </c>
      <c r="GD88" s="417" t="str">
        <f>IF(OR($O$21=1,$O$21=2,$O$21=6),GA88,IF(OR($O$21=3,$O$21=4,$O$21=5,$O$21=7,$O$21=8),GB88,IF($O$21=9,GC88," ")))</f>
        <v xml:space="preserve"> </v>
      </c>
      <c r="GE88" s="407"/>
      <c r="GF88" s="422" t="s">
        <v>1236</v>
      </c>
      <c r="GG88" s="344">
        <v>71.11</v>
      </c>
      <c r="GH88" s="407">
        <v>73.27</v>
      </c>
      <c r="GI88" s="405">
        <v>60.92</v>
      </c>
      <c r="GJ88" s="417" t="str">
        <f>IF(OR($O$21=1,$O$21=2,$O$21=6),GG88,IF(OR($O$21=3,$O$21=4,$O$21=5,$O$21=7,$O$21=8),GH88,IF($O$21=9,GI88," ")))</f>
        <v xml:space="preserve"> </v>
      </c>
      <c r="GL88" s="323" t="s">
        <v>1237</v>
      </c>
      <c r="GM88" s="344">
        <v>78.66</v>
      </c>
      <c r="GN88" s="407">
        <v>80.56</v>
      </c>
      <c r="GO88" s="405">
        <v>66.709999999999994</v>
      </c>
      <c r="GP88" s="416" t="str">
        <f>IF(OR($O$21=1,$O$21=2,$O$21=6),GM88,IF(OR($O$21=3,$O$21=4,$O$21=5,$O$21=7,$O$21=8),GN88,IF($O$21=9,GO88," ")))</f>
        <v xml:space="preserve"> </v>
      </c>
      <c r="GR88" s="318" t="str">
        <f>IF($J$88=EY88,FA88,IF($J$88=FC88,FG88," "))</f>
        <v xml:space="preserve"> </v>
      </c>
      <c r="GS88" s="319" t="str">
        <f>IF($J$88=FJ88,FL88,IF($J$88=FN88,FR88,IF($J$88=FT88,FX88," ")))</f>
        <v xml:space="preserve"> </v>
      </c>
      <c r="GT88" s="320" t="str">
        <f>IF($J$88=FZ88,GD88,IF($J$88=GF88,GJ88,IF($J$88=GL88,GP88," ")))</f>
        <v xml:space="preserve"> </v>
      </c>
      <c r="GV88" s="334" t="str">
        <f>IF($O$25=2,GR88,IF($O$25=3,GS88,IF($O$25=4,GT88," ")))</f>
        <v xml:space="preserve"> </v>
      </c>
    </row>
    <row r="89" spans="1:204" ht="32.1" customHeight="1">
      <c r="A89" s="109"/>
      <c r="B89" s="79" t="str">
        <f>VLOOKUP(878,Sprachindex!$A:$Z,Info!$O$7,FALSE)</f>
        <v>Stk.</v>
      </c>
      <c r="C89" s="78"/>
      <c r="D89" s="78" t="str">
        <f>IF(O25=3,AJ89,"")</f>
        <v/>
      </c>
      <c r="E89" s="561" t="str">
        <f>VLOOKUP(733,Sprachindex!$A:$Z,Info!$O$7,FALSE)</f>
        <v>Rohreinmündung konisch</v>
      </c>
      <c r="F89" s="562"/>
      <c r="G89" s="562"/>
      <c r="H89" s="562"/>
      <c r="I89" s="562"/>
      <c r="J89" s="627" t="s">
        <v>1919</v>
      </c>
      <c r="K89" s="628"/>
      <c r="L89" s="79" t="str">
        <f t="shared" si="19"/>
        <v xml:space="preserve"> </v>
      </c>
      <c r="M89" s="440" t="str">
        <f t="shared" si="2"/>
        <v>Stk.</v>
      </c>
      <c r="N89" s="80"/>
      <c r="O89" s="202" t="str">
        <f>IF(ISNUMBER(L89),L89*GV89," ")</f>
        <v xml:space="preserve"> </v>
      </c>
      <c r="R89" s="195"/>
      <c r="S89" s="195"/>
      <c r="T89" s="195"/>
      <c r="U89" s="1"/>
      <c r="V89" s="149" t="e">
        <f t="shared" si="13"/>
        <v>#VALUE!</v>
      </c>
      <c r="W89" s="149">
        <f t="shared" si="14"/>
        <v>0</v>
      </c>
      <c r="X89" s="149" t="str">
        <f>IF($O$25=3,2,"")</f>
        <v/>
      </c>
      <c r="Y89" s="149">
        <v>1</v>
      </c>
      <c r="Z89" s="58" t="s">
        <v>1920</v>
      </c>
      <c r="AA89" s="58" t="s">
        <v>1921</v>
      </c>
      <c r="AB89" s="58" t="s">
        <v>1922</v>
      </c>
      <c r="AC89" s="58" t="s">
        <v>1923</v>
      </c>
      <c r="AD89" s="58" t="s">
        <v>1924</v>
      </c>
      <c r="AE89" s="58" t="s">
        <v>1925</v>
      </c>
      <c r="AF89" s="58" t="s">
        <v>1926</v>
      </c>
      <c r="AG89" s="58" t="s">
        <v>1927</v>
      </c>
      <c r="AH89" s="58" t="s">
        <v>1928</v>
      </c>
      <c r="AI89" s="58"/>
      <c r="AJ89" s="61">
        <f t="shared" si="20"/>
        <v>0</v>
      </c>
      <c r="AK89" s="61" t="s">
        <v>1309</v>
      </c>
      <c r="ES89" s="561" t="str">
        <f>VLOOKUP(733,Sprachindex!$A:$Z,Info!$O$7,FALSE)</f>
        <v>Rohreinmündung konisch</v>
      </c>
      <c r="ET89" s="562"/>
      <c r="EU89" s="562"/>
      <c r="EV89" s="562"/>
      <c r="EW89" s="562"/>
      <c r="EX89" s="352">
        <v>94.91</v>
      </c>
      <c r="EY89" s="326"/>
      <c r="EZ89" s="344">
        <v>88.34</v>
      </c>
      <c r="FA89" s="343"/>
      <c r="FB89" s="326"/>
      <c r="FC89" s="344"/>
      <c r="FD89" s="343"/>
      <c r="FE89" s="326"/>
      <c r="FF89" s="344"/>
      <c r="FG89" s="343"/>
      <c r="FH89" s="326"/>
      <c r="FI89" s="344"/>
      <c r="FJ89" s="343"/>
      <c r="FK89" s="326"/>
      <c r="FL89" s="344"/>
      <c r="FM89" s="343"/>
      <c r="FN89" s="326"/>
      <c r="FO89" s="344"/>
      <c r="FP89" s="343"/>
      <c r="FQ89" s="326"/>
      <c r="FR89" s="344"/>
      <c r="FS89" s="343"/>
      <c r="FT89" s="326"/>
      <c r="FU89" s="344"/>
      <c r="FV89" s="343"/>
      <c r="FW89" s="326"/>
      <c r="FX89" s="344"/>
      <c r="FY89" s="343"/>
      <c r="FZ89" s="326"/>
      <c r="GA89" s="344"/>
      <c r="GB89" s="343"/>
      <c r="GC89" s="326"/>
      <c r="GD89" s="344"/>
      <c r="GE89" s="343"/>
      <c r="GF89" s="326"/>
      <c r="GG89" s="344"/>
      <c r="GH89" s="343"/>
      <c r="GI89" s="326"/>
      <c r="GJ89" s="344"/>
      <c r="GK89" s="343"/>
      <c r="GL89" s="326"/>
      <c r="GM89" s="344"/>
      <c r="GN89" s="343"/>
      <c r="GO89" s="326"/>
      <c r="GP89" s="353"/>
      <c r="GQ89" s="1">
        <f>IF($O$21=9,EZ89,EX89)</f>
        <v>94.91</v>
      </c>
      <c r="GV89" s="334">
        <f>GQ89</f>
        <v>94.91</v>
      </c>
    </row>
    <row r="90" spans="1:204" ht="32.1" customHeight="1">
      <c r="A90" s="109"/>
      <c r="B90" s="79" t="str">
        <f>VLOOKUP(878,Sprachindex!$A:$Z,Info!$O$7,FALSE)</f>
        <v>Stk.</v>
      </c>
      <c r="C90" s="78"/>
      <c r="D90" s="78">
        <f>IF(O25=2,AV90,IF(AND(O25=3,J90=Formeln!A258),BH90,IF(AND(O25=3,J90=Formeln!A259),BT90,IF(O25=4,CF90,0))))</f>
        <v>0</v>
      </c>
      <c r="E90" s="561" t="str">
        <f>VLOOKUP(861,Sprachindex!$A:$Z,Info!$O$7,FALSE)</f>
        <v>Standrohrkappe</v>
      </c>
      <c r="F90" s="562"/>
      <c r="G90" s="562"/>
      <c r="H90" s="562"/>
      <c r="I90" s="562"/>
      <c r="J90" s="614" t="s">
        <v>1310</v>
      </c>
      <c r="K90" s="630"/>
      <c r="L90" s="79" t="str">
        <f t="shared" si="19"/>
        <v xml:space="preserve"> </v>
      </c>
      <c r="M90" s="440" t="str">
        <f t="shared" si="2"/>
        <v>Stk.</v>
      </c>
      <c r="N90" s="80"/>
      <c r="O90" s="202" t="str">
        <f>IF(ISNUMBER(A90),L90*GV90," ")</f>
        <v xml:space="preserve"> </v>
      </c>
      <c r="R90" s="195"/>
      <c r="S90" s="195"/>
      <c r="T90" s="195"/>
      <c r="U90" s="1"/>
      <c r="V90" s="149">
        <f t="shared" si="13"/>
        <v>0</v>
      </c>
      <c r="W90" s="149">
        <f t="shared" si="14"/>
        <v>0</v>
      </c>
      <c r="X90" s="149">
        <f>IF(J90="60/115",20,IF(J90="80/115",20,IF(J90="100/115",20,IF(J90="100/150",10,IF(J90="120/150",10,"")))))</f>
        <v>10</v>
      </c>
      <c r="Y90" s="149">
        <v>1</v>
      </c>
      <c r="Z90" s="58" t="s">
        <v>1929</v>
      </c>
      <c r="AA90" s="58" t="s">
        <v>1930</v>
      </c>
      <c r="AB90" s="58" t="s">
        <v>1931</v>
      </c>
      <c r="AC90" s="58"/>
      <c r="AD90" s="58" t="s">
        <v>1932</v>
      </c>
      <c r="AE90" s="58"/>
      <c r="AF90" s="58"/>
      <c r="AG90" s="58"/>
      <c r="AH90" s="58"/>
      <c r="AI90" s="58"/>
      <c r="AJ90" s="61">
        <f t="shared" si="20"/>
        <v>0</v>
      </c>
      <c r="AK90" s="61" t="s">
        <v>1318</v>
      </c>
      <c r="AL90" t="s">
        <v>1933</v>
      </c>
      <c r="AM90" t="s">
        <v>1934</v>
      </c>
      <c r="AN90" t="s">
        <v>1935</v>
      </c>
      <c r="AO90" t="s">
        <v>1936</v>
      </c>
      <c r="AP90" t="s">
        <v>1937</v>
      </c>
      <c r="AQ90" t="s">
        <v>1938</v>
      </c>
      <c r="AR90" t="s">
        <v>1939</v>
      </c>
      <c r="AS90" t="s">
        <v>1940</v>
      </c>
      <c r="AT90" t="s">
        <v>1941</v>
      </c>
      <c r="AU90"/>
      <c r="AV90" s="61">
        <f>IF($O$21=1,AN90,IF($O$21=2,AP90,IF($O$21=3,AO90,IF($O$21=4,AQ90,IF($O$21=5,AR90,IF($O$21=6,AM90,IF($O$21=7,AS90,IF($O$21=8,AT90,IF($O$21=9,AL90,0)))))))))</f>
        <v>0</v>
      </c>
      <c r="AW90" s="61" t="s">
        <v>1326</v>
      </c>
      <c r="AX90" t="s">
        <v>1942</v>
      </c>
      <c r="AY90" t="s">
        <v>1943</v>
      </c>
      <c r="AZ90" t="s">
        <v>1944</v>
      </c>
      <c r="BA90" t="s">
        <v>1945</v>
      </c>
      <c r="BB90" t="s">
        <v>1946</v>
      </c>
      <c r="BC90" t="s">
        <v>1947</v>
      </c>
      <c r="BD90" t="s">
        <v>1948</v>
      </c>
      <c r="BE90" t="s">
        <v>1949</v>
      </c>
      <c r="BF90" t="s">
        <v>1950</v>
      </c>
      <c r="BG90">
        <v>537228</v>
      </c>
      <c r="BH90" s="61">
        <f>IF($O$21=1,AZ90,IF($O$21=2,BB90,IF($O$21=3,BA90,IF($O$21=4,BC90,IF($O$21=5,BD90,IF($O$21=6,AY90,IF($O$21=7,BE90,IF($O$21=8,BF90,IF($O$21=9,AX90,IF($O$21=10,BG90,0))))))))))</f>
        <v>0</v>
      </c>
      <c r="BI90" s="61" t="s">
        <v>1334</v>
      </c>
      <c r="BJ90" t="s">
        <v>1951</v>
      </c>
      <c r="BK90" t="s">
        <v>1952</v>
      </c>
      <c r="BL90" t="s">
        <v>1953</v>
      </c>
      <c r="BM90" t="s">
        <v>1954</v>
      </c>
      <c r="BN90" t="s">
        <v>1955</v>
      </c>
      <c r="BO90" t="s">
        <v>1956</v>
      </c>
      <c r="BP90" t="s">
        <v>1957</v>
      </c>
      <c r="BQ90" t="s">
        <v>1958</v>
      </c>
      <c r="BR90" t="s">
        <v>1959</v>
      </c>
      <c r="BS90">
        <v>537238</v>
      </c>
      <c r="BT90" s="61">
        <f>IF($O$21=1,BL90,IF($O$21=2,BN90,IF($O$21=3,BM90,IF($O$21=4,BO90,IF($O$21=5,BP90,IF($O$21=6,BK90,IF($O$21=7,BQ90,IF($O$21=8,BR90,IF($O$21=9,BJ90,IF($O$21=10,BS90,0))))))))))</f>
        <v>0</v>
      </c>
      <c r="BU90" s="61" t="s">
        <v>1310</v>
      </c>
      <c r="BV90" t="s">
        <v>1960</v>
      </c>
      <c r="BW90" t="s">
        <v>1961</v>
      </c>
      <c r="BX90" t="s">
        <v>1962</v>
      </c>
      <c r="BY90" t="s">
        <v>1963</v>
      </c>
      <c r="BZ90" t="s">
        <v>1964</v>
      </c>
      <c r="CA90" t="s">
        <v>1965</v>
      </c>
      <c r="CB90" t="s">
        <v>1966</v>
      </c>
      <c r="CC90" t="s">
        <v>1967</v>
      </c>
      <c r="CD90" t="s">
        <v>1968</v>
      </c>
      <c r="CE90"/>
      <c r="CF90" s="61">
        <f>IF($O$21=1,BX90,IF($O$21=2,BZ90,IF($O$21=3,BY90,IF($O$21=4,CA90,IF($O$21=5,CB90,IF($O$21=6,BW90,IF($O$21=7,CC90,IF($O$21=8,CD90,IF($O$21=9,BV90,0)))))))))</f>
        <v>0</v>
      </c>
      <c r="CG90" s="61" t="s">
        <v>1349</v>
      </c>
      <c r="ES90" s="561" t="str">
        <f>VLOOKUP(861,Sprachindex!$A:$Z,Info!$O$7,FALSE)</f>
        <v>Standrohrkappe</v>
      </c>
      <c r="ET90" s="562"/>
      <c r="EU90" s="562"/>
      <c r="EV90" s="562"/>
      <c r="EW90" s="562"/>
      <c r="EX90" s="352"/>
      <c r="EY90" s="326"/>
      <c r="EZ90" s="344"/>
      <c r="FA90" s="408"/>
      <c r="FB90" s="404"/>
      <c r="FC90" s="253"/>
      <c r="FD90" s="343">
        <v>6.76</v>
      </c>
      <c r="FE90" s="414" t="s">
        <v>1714</v>
      </c>
      <c r="FF90" s="344">
        <v>5.85</v>
      </c>
      <c r="FG90" s="343"/>
      <c r="FH90" s="326"/>
      <c r="FI90" s="344"/>
      <c r="FJ90" s="343">
        <v>6.96</v>
      </c>
      <c r="FK90" s="410" t="s">
        <v>1685</v>
      </c>
      <c r="FL90" s="344">
        <v>6.01</v>
      </c>
      <c r="FM90" s="343"/>
      <c r="FN90" s="326"/>
      <c r="FO90" s="344"/>
      <c r="FP90" s="343">
        <v>7.12</v>
      </c>
      <c r="FQ90" s="411" t="s">
        <v>1334</v>
      </c>
      <c r="FR90" s="344">
        <v>6.15</v>
      </c>
      <c r="FS90" s="426">
        <f>IF($O$21=9,FR90,FP90)</f>
        <v>7.12</v>
      </c>
      <c r="FT90" s="407"/>
      <c r="FU90" s="344"/>
      <c r="FV90" s="343">
        <v>8.2200000000000006</v>
      </c>
      <c r="FW90" s="411" t="s">
        <v>1310</v>
      </c>
      <c r="FX90" s="344">
        <v>7.28</v>
      </c>
      <c r="FY90" s="426">
        <f>IF($O$21=9,FX90,FV90)</f>
        <v>8.2200000000000006</v>
      </c>
      <c r="FZ90" s="326"/>
      <c r="GA90" s="344"/>
      <c r="GB90" s="343">
        <v>9.4600000000000009</v>
      </c>
      <c r="GC90" s="412" t="s">
        <v>1687</v>
      </c>
      <c r="GD90" s="344">
        <v>8.57</v>
      </c>
      <c r="GE90" s="343"/>
      <c r="GF90" s="326"/>
      <c r="GG90" s="344"/>
      <c r="GH90" s="343"/>
      <c r="GI90" s="326"/>
      <c r="GJ90" s="344"/>
      <c r="GK90" s="343"/>
      <c r="GL90" s="326"/>
      <c r="GM90" s="344"/>
      <c r="GN90" s="343"/>
      <c r="GO90" s="326"/>
      <c r="GP90" s="353"/>
      <c r="GQ90" s="424" t="str">
        <f>IF(OR($O$21=1,$O$21=2,$O$21=6),FD90,IF($O$21=9,FF90," "))</f>
        <v xml:space="preserve"> </v>
      </c>
      <c r="GR90" s="318">
        <f>IF($O$21=9,FL90,FJ90)</f>
        <v>6.96</v>
      </c>
      <c r="GS90" s="319">
        <f>IF($J$90=FQ90,FS90,IF($J$90=FW90,FY90," "))</f>
        <v>8.2200000000000006</v>
      </c>
      <c r="GT90" s="320">
        <f>IF($O$21=9,GD90,GB90)</f>
        <v>9.4600000000000009</v>
      </c>
      <c r="GV90" s="334" t="str">
        <f>IF($O$25=1,GQ90,IF($O$25=2,GR90,IF($O$25=3,GS90,IF($O$25=4,GT90," "))))</f>
        <v xml:space="preserve"> </v>
      </c>
    </row>
    <row r="91" spans="1:204" ht="32.1" customHeight="1">
      <c r="A91" s="109"/>
      <c r="B91" s="79" t="str">
        <f>VLOOKUP(878,Sprachindex!$A:$Z,Info!$O$7,FALSE)</f>
        <v>Stk.</v>
      </c>
      <c r="C91" s="78"/>
      <c r="D91" s="78">
        <f>IF($O$25=2,AJ91,IF($O$25=3,AV91,IF($O$25=4,BH91,IF($O$25=5,BT91,0))))</f>
        <v>0</v>
      </c>
      <c r="E91" s="561" t="str">
        <f>VLOOKUP(860,Sprachindex!$A:$Z,Info!$O$7,FALSE)</f>
        <v>Standrohr mit Reinigungsöffnung</v>
      </c>
      <c r="F91" s="562"/>
      <c r="G91" s="562"/>
      <c r="H91" s="562"/>
      <c r="I91" s="562"/>
      <c r="J91" s="627" t="str">
        <f>Formeln!A262</f>
        <v/>
      </c>
      <c r="K91" s="628"/>
      <c r="L91" s="79" t="str">
        <f t="shared" si="19"/>
        <v xml:space="preserve"> </v>
      </c>
      <c r="M91" s="440" t="str">
        <f t="shared" si="2"/>
        <v>Stk.</v>
      </c>
      <c r="N91" s="80"/>
      <c r="O91" s="202" t="str">
        <f>IF(ISNUMBER(L91),L91*GV91," ")</f>
        <v xml:space="preserve"> </v>
      </c>
      <c r="R91" s="195"/>
      <c r="S91" s="195"/>
      <c r="T91" s="195"/>
      <c r="U91" s="1"/>
      <c r="V91" s="149" t="e">
        <f t="shared" si="13"/>
        <v>#VALUE!</v>
      </c>
      <c r="W91" s="149">
        <f t="shared" si="14"/>
        <v>0</v>
      </c>
      <c r="X91" s="149" t="str">
        <f>IF($O$25=2,1,IF($O$25=3,1,IF($O$25=4,1,"")))</f>
        <v/>
      </c>
      <c r="Y91" s="149">
        <v>1</v>
      </c>
      <c r="Z91" s="58" t="s">
        <v>1969</v>
      </c>
      <c r="AA91" s="58" t="s">
        <v>1970</v>
      </c>
      <c r="AB91" s="58" t="s">
        <v>1971</v>
      </c>
      <c r="AC91" s="58" t="s">
        <v>1972</v>
      </c>
      <c r="AD91" s="58" t="s">
        <v>1973</v>
      </c>
      <c r="AE91" s="58" t="s">
        <v>1974</v>
      </c>
      <c r="AF91" s="58" t="s">
        <v>1975</v>
      </c>
      <c r="AG91" s="58" t="s">
        <v>1976</v>
      </c>
      <c r="AH91" s="58" t="s">
        <v>1977</v>
      </c>
      <c r="AI91" s="58"/>
      <c r="AJ91" s="61">
        <f t="shared" si="20"/>
        <v>0</v>
      </c>
      <c r="AK91" s="61" t="s">
        <v>1357</v>
      </c>
      <c r="AL91" t="s">
        <v>1978</v>
      </c>
      <c r="AM91" t="s">
        <v>1979</v>
      </c>
      <c r="AN91" t="s">
        <v>1980</v>
      </c>
      <c r="AO91" t="s">
        <v>1981</v>
      </c>
      <c r="AP91" t="s">
        <v>1982</v>
      </c>
      <c r="AQ91" t="s">
        <v>1983</v>
      </c>
      <c r="AR91" t="s">
        <v>1984</v>
      </c>
      <c r="AS91" t="s">
        <v>1985</v>
      </c>
      <c r="AT91" t="s">
        <v>1986</v>
      </c>
      <c r="AU91">
        <v>668142</v>
      </c>
      <c r="AV91" s="61">
        <f>IF($O$21=1,AN91,IF($O$21=2,AP91,IF($O$21=3,AO91,IF($O$21=4,AQ91,IF($O$21=5,AR91,IF($O$21=6,AM91,IF($O$21=7,AS91,IF($O$21=8,AT91,IF($O$21=9,AL91,IF($O$21=10,AU91,0))))))))))</f>
        <v>0</v>
      </c>
      <c r="AW91" s="61" t="s">
        <v>1365</v>
      </c>
      <c r="AX91" t="s">
        <v>1987</v>
      </c>
      <c r="AY91" t="s">
        <v>1988</v>
      </c>
      <c r="AZ91" t="s">
        <v>1989</v>
      </c>
      <c r="BA91" t="s">
        <v>1990</v>
      </c>
      <c r="BB91" t="s">
        <v>1991</v>
      </c>
      <c r="BC91" t="s">
        <v>1992</v>
      </c>
      <c r="BD91" t="s">
        <v>1993</v>
      </c>
      <c r="BE91" t="s">
        <v>1994</v>
      </c>
      <c r="BF91" t="s">
        <v>1995</v>
      </c>
      <c r="BG91"/>
      <c r="BH91" s="61">
        <f>IF($O$21=1,AZ91,IF($O$21=2,BB91,IF($O$21=3,BA91,IF($O$21=4,BC91,IF($O$21=5,BD91,IF($O$21=6,AY91,IF($O$21=7,BE91,IF($O$21=8,BF91,IF($O$21=9,AX91,0)))))))))</f>
        <v>0</v>
      </c>
      <c r="BI91" s="61" t="s">
        <v>1373</v>
      </c>
      <c r="ES91" s="561" t="str">
        <f>VLOOKUP(860,Sprachindex!$A:$Z,Info!$O$7,FALSE)</f>
        <v>Standrohr mit Reinigungsöffnung</v>
      </c>
      <c r="ET91" s="562"/>
      <c r="EU91" s="562"/>
      <c r="EV91" s="562"/>
      <c r="EW91" s="562"/>
      <c r="EX91" s="352"/>
      <c r="EY91" s="326"/>
      <c r="EZ91" s="344"/>
      <c r="FA91" s="343"/>
      <c r="FB91" s="326"/>
      <c r="FC91" s="344"/>
      <c r="FD91" s="343"/>
      <c r="FE91" s="326"/>
      <c r="FF91" s="344"/>
      <c r="FG91" s="343"/>
      <c r="FH91" s="326"/>
      <c r="FI91" s="344"/>
      <c r="FJ91" s="343">
        <v>86.32</v>
      </c>
      <c r="FK91" s="410" t="s">
        <v>1685</v>
      </c>
      <c r="FL91" s="344">
        <v>84.71</v>
      </c>
      <c r="FM91" s="343"/>
      <c r="FN91" s="326"/>
      <c r="FO91" s="344"/>
      <c r="FP91" s="343">
        <v>93.51</v>
      </c>
      <c r="FQ91" s="411" t="s">
        <v>1686</v>
      </c>
      <c r="FR91" s="344">
        <v>90.18</v>
      </c>
      <c r="FS91" s="343"/>
      <c r="FT91" s="326"/>
      <c r="FU91" s="344"/>
      <c r="FV91" s="343">
        <v>204.3</v>
      </c>
      <c r="FW91" s="412" t="s">
        <v>1687</v>
      </c>
      <c r="FX91" s="344">
        <v>186</v>
      </c>
      <c r="FY91" s="343"/>
      <c r="FZ91" s="326"/>
      <c r="GA91" s="344"/>
      <c r="GB91" s="343"/>
      <c r="GC91" s="326"/>
      <c r="GD91" s="344"/>
      <c r="GE91" s="343"/>
      <c r="GF91" s="326"/>
      <c r="GG91" s="344"/>
      <c r="GH91" s="343"/>
      <c r="GI91" s="326"/>
      <c r="GJ91" s="344"/>
      <c r="GK91" s="343"/>
      <c r="GL91" s="326"/>
      <c r="GM91" s="344"/>
      <c r="GN91" s="343"/>
      <c r="GO91" s="326"/>
      <c r="GP91" s="353"/>
      <c r="GR91" s="318">
        <f>IF($O$21=9,FL91,FJ91)</f>
        <v>86.32</v>
      </c>
      <c r="GS91" s="319">
        <f>IF($O$21=9,FR91,FP91)</f>
        <v>93.51</v>
      </c>
      <c r="GT91" s="320">
        <f>IF($O$21=9,FX91,FV91)</f>
        <v>204.3</v>
      </c>
      <c r="GV91" s="334" t="str">
        <f>IF($O$25=2,GR91,IF($O$25=3,GS91,IF($O$25=4,GT91," ")))</f>
        <v xml:space="preserve"> </v>
      </c>
    </row>
    <row r="92" spans="1:204" ht="32.1" customHeight="1">
      <c r="A92" s="109"/>
      <c r="B92" s="79" t="str">
        <f>VLOOKUP(878,Sprachindex!$A:$Z,Info!$O$7,FALSE)</f>
        <v>Stk.</v>
      </c>
      <c r="C92" s="78"/>
      <c r="D92" s="78">
        <f>IF($O$25=2,AV92,IF($O$25=3,BH92,IF($O$25=4,BT92,IF($O$25=1,AJ92,IF($O$25=5,CF92,0)))))</f>
        <v>0</v>
      </c>
      <c r="E92" s="561" t="str">
        <f>VLOOKUP(747,Sprachindex!$A:$Z,Info!$O$7,FALSE)</f>
        <v>Rohrverbinder</v>
      </c>
      <c r="F92" s="562"/>
      <c r="G92" s="562"/>
      <c r="H92" s="562"/>
      <c r="I92" s="562"/>
      <c r="J92" s="627" t="str">
        <f>Formeln!A193</f>
        <v/>
      </c>
      <c r="K92" s="628"/>
      <c r="L92" s="79" t="str">
        <f t="shared" si="19"/>
        <v xml:space="preserve"> </v>
      </c>
      <c r="M92" s="440" t="str">
        <f t="shared" si="2"/>
        <v>Stk.</v>
      </c>
      <c r="N92" s="80"/>
      <c r="O92" s="202" t="str">
        <f>IF(ISNUMBER(A92),L92*GV92," ")</f>
        <v xml:space="preserve"> </v>
      </c>
      <c r="R92" s="195"/>
      <c r="S92" s="195"/>
      <c r="T92" s="195"/>
      <c r="U92" s="1"/>
      <c r="V92" s="149" t="e">
        <f t="shared" si="13"/>
        <v>#VALUE!</v>
      </c>
      <c r="W92" s="149">
        <f t="shared" si="14"/>
        <v>0</v>
      </c>
      <c r="X92" s="149" t="str">
        <f>IF($O$25=1,2,IF($O$25=2,2,IF($O$25=3,2,IF($O$25=4,2,IF($O$25=5,"","")))))</f>
        <v/>
      </c>
      <c r="Y92" s="149">
        <v>1</v>
      </c>
      <c r="Z92" s="58" t="s">
        <v>1996</v>
      </c>
      <c r="AA92" s="58" t="s">
        <v>1997</v>
      </c>
      <c r="AB92" s="58" t="s">
        <v>1998</v>
      </c>
      <c r="AC92" s="58"/>
      <c r="AD92" s="58" t="s">
        <v>1999</v>
      </c>
      <c r="AE92" s="58"/>
      <c r="AF92" s="58"/>
      <c r="AG92" s="58"/>
      <c r="AH92" s="58"/>
      <c r="AI92" s="58"/>
      <c r="AJ92" s="61">
        <f t="shared" si="20"/>
        <v>0</v>
      </c>
      <c r="AK92" s="61">
        <v>60</v>
      </c>
      <c r="AL92" t="s">
        <v>2000</v>
      </c>
      <c r="AM92" t="s">
        <v>2001</v>
      </c>
      <c r="AN92" t="s">
        <v>2002</v>
      </c>
      <c r="AO92" t="s">
        <v>2003</v>
      </c>
      <c r="AP92" t="s">
        <v>2004</v>
      </c>
      <c r="AQ92" t="s">
        <v>2005</v>
      </c>
      <c r="AR92" t="s">
        <v>2006</v>
      </c>
      <c r="AS92" t="s">
        <v>2007</v>
      </c>
      <c r="AT92" t="s">
        <v>2008</v>
      </c>
      <c r="AU92"/>
      <c r="AV92" s="61">
        <f>IF($O$21=1,AN92,IF($O$21=2,AP92,IF($O$21=3,AO92,IF($O$21=4,AQ92,IF($O$21=5,AR92,IF($O$21=6,AM92,IF($O$21=7,AS92,IF($O$21=8,AT92,IF($O$21=9,AL92,0)))))))))</f>
        <v>0</v>
      </c>
      <c r="AW92" s="61">
        <v>80</v>
      </c>
      <c r="AX92" t="s">
        <v>2009</v>
      </c>
      <c r="AY92" t="s">
        <v>2010</v>
      </c>
      <c r="AZ92" t="s">
        <v>2011</v>
      </c>
      <c r="BA92" t="s">
        <v>2012</v>
      </c>
      <c r="BB92" t="s">
        <v>2013</v>
      </c>
      <c r="BC92" t="s">
        <v>2014</v>
      </c>
      <c r="BD92" t="s">
        <v>2015</v>
      </c>
      <c r="BE92" t="s">
        <v>2016</v>
      </c>
      <c r="BF92" t="s">
        <v>2017</v>
      </c>
      <c r="BG92"/>
      <c r="BH92" s="61">
        <f>IF($O$21=1,AZ92,IF($O$21=2,BB92,IF($O$21=3,BA92,IF($O$21=4,BC92,IF($O$21=5,BD92,IF($O$21=6,AY92,IF($O$21=7,BE92,IF($O$21=8,BF92,IF($O$21=9,AX92,0)))))))))</f>
        <v>0</v>
      </c>
      <c r="BI92" s="61">
        <v>100</v>
      </c>
      <c r="BJ92" t="s">
        <v>2018</v>
      </c>
      <c r="BK92" t="s">
        <v>2019</v>
      </c>
      <c r="BL92" t="s">
        <v>2020</v>
      </c>
      <c r="BM92" t="s">
        <v>2021</v>
      </c>
      <c r="BN92" t="s">
        <v>2022</v>
      </c>
      <c r="BO92" t="s">
        <v>2023</v>
      </c>
      <c r="BP92" t="s">
        <v>2024</v>
      </c>
      <c r="BQ92" t="s">
        <v>2025</v>
      </c>
      <c r="BR92" t="s">
        <v>2026</v>
      </c>
      <c r="BS92"/>
      <c r="BT92" s="61">
        <f>IF($O$21=1,BL92,IF($O$21=2,BN92,IF($O$21=3,BM92,IF($O$21=4,BO92,IF($O$21=5,BP92,IF($O$21=6,BK92,IF($O$21=7,BQ92,IF($O$21=8,BR92,IF($O$21=9,BJ92,0)))))))))</f>
        <v>0</v>
      </c>
      <c r="BU92" s="61">
        <v>120</v>
      </c>
      <c r="BV92">
        <v>527305</v>
      </c>
      <c r="BW92"/>
      <c r="BX92"/>
      <c r="BY92"/>
      <c r="BZ92"/>
      <c r="CA92"/>
      <c r="CB92"/>
      <c r="CC92"/>
      <c r="CD92"/>
      <c r="CE92"/>
      <c r="CF92" s="61">
        <f>IF($O$21=1,BX92,IF($O$21=2,BZ92,IF($O$21=3,BY92,IF($O$21=4,CA92,IF($O$21=5,CB92,IF($O$21=6,BW92,IF($O$21=7,CC92,IF($O$21=8,CD92,IF($O$21=9,BV92,0)))))))))</f>
        <v>0</v>
      </c>
      <c r="CG92" s="61">
        <v>150</v>
      </c>
      <c r="ES92" s="561" t="str">
        <f>VLOOKUP(747,Sprachindex!$A:$Z,Info!$O$7,FALSE)</f>
        <v>Rohrverbinder</v>
      </c>
      <c r="ET92" s="562"/>
      <c r="EU92" s="562"/>
      <c r="EV92" s="562"/>
      <c r="EW92" s="562"/>
      <c r="EX92" s="352"/>
      <c r="EY92" s="326"/>
      <c r="EZ92" s="344"/>
      <c r="FA92" s="343"/>
      <c r="FB92" s="326"/>
      <c r="FC92" s="344"/>
      <c r="FD92" s="343">
        <v>8.31</v>
      </c>
      <c r="FE92" s="414" t="s">
        <v>1714</v>
      </c>
      <c r="FF92" s="344">
        <v>7.63</v>
      </c>
      <c r="FG92" s="343"/>
      <c r="FH92" s="326"/>
      <c r="FI92" s="344"/>
      <c r="FJ92" s="343">
        <v>6.48</v>
      </c>
      <c r="FK92" s="410" t="s">
        <v>1685</v>
      </c>
      <c r="FL92" s="344">
        <v>6.05</v>
      </c>
      <c r="FM92" s="343"/>
      <c r="FN92" s="326"/>
      <c r="FO92" s="344"/>
      <c r="FP92" s="343">
        <v>6.66</v>
      </c>
      <c r="FQ92" s="411" t="s">
        <v>1686</v>
      </c>
      <c r="FR92" s="344">
        <v>6.2</v>
      </c>
      <c r="FS92" s="343"/>
      <c r="FT92" s="326"/>
      <c r="FU92" s="344"/>
      <c r="FV92" s="343">
        <v>9.48</v>
      </c>
      <c r="FW92" s="412" t="s">
        <v>1687</v>
      </c>
      <c r="FX92" s="344">
        <v>9.0500000000000007</v>
      </c>
      <c r="FY92" s="343"/>
      <c r="FZ92" s="326"/>
      <c r="GA92" s="344"/>
      <c r="GB92" s="343">
        <v>62.42</v>
      </c>
      <c r="GC92" s="413" t="s">
        <v>1688</v>
      </c>
      <c r="GD92" s="344">
        <v>56.74</v>
      </c>
      <c r="GE92" s="343"/>
      <c r="GF92" s="326"/>
      <c r="GG92" s="344"/>
      <c r="GH92" s="343"/>
      <c r="GI92" s="326"/>
      <c r="GJ92" s="344"/>
      <c r="GK92" s="343"/>
      <c r="GL92" s="326"/>
      <c r="GM92" s="344"/>
      <c r="GN92" s="343"/>
      <c r="GO92" s="326"/>
      <c r="GP92" s="353"/>
      <c r="GQ92" s="424" t="str">
        <f>IF(OR($O$21=1,$O$21=2,$O$21=6),FD92,IF($O$21=9,FF92," "))</f>
        <v xml:space="preserve"> </v>
      </c>
      <c r="GR92" s="318">
        <f>IF($O$21=9,FL92,FJ92)</f>
        <v>6.48</v>
      </c>
      <c r="GS92" s="319">
        <f>IF($O$21=9,FR92,FP92)</f>
        <v>6.66</v>
      </c>
      <c r="GT92" s="320">
        <f>IF($O$21=9,FX92,FV92)</f>
        <v>9.48</v>
      </c>
      <c r="GU92" s="423">
        <f>IF($O$21=9,GD92,GB92)</f>
        <v>62.42</v>
      </c>
      <c r="GV92" s="334" t="str">
        <f>IF($O$25=1,GQ92,IF($O$25=2,GR92,IF($O$25=3,GS92,IF($O$25=4,GT92,IF($O$25=5,GU92," ")))))</f>
        <v xml:space="preserve"> </v>
      </c>
    </row>
    <row r="93" spans="1:204" ht="32.1" customHeight="1">
      <c r="A93" s="109"/>
      <c r="B93" s="79" t="str">
        <f>VLOOKUP(878,Sprachindex!$A:$Z,Info!$O$7,FALSE)</f>
        <v>Stk.</v>
      </c>
      <c r="C93" s="78"/>
      <c r="D93" s="78">
        <f>IF($O$25=3,AJ93,0)</f>
        <v>0</v>
      </c>
      <c r="E93" s="561" t="str">
        <f>VLOOKUP(1876,Sprachindex!$A:$Z,Info!$O$7,FALSE)</f>
        <v>Rohrverbinder Stärke 1,6 mm</v>
      </c>
      <c r="F93" s="562"/>
      <c r="G93" s="562"/>
      <c r="H93" s="562"/>
      <c r="I93" s="562"/>
      <c r="J93" s="627" t="str">
        <f>IF($O$25="","",IF($O$25=1,Formeln!$A$177,IF($O$25=2,Formeln!$A$177,IF($O$25=3,Formeln!$F$194,IF($O$25=4,Formeln!$A$177,IF($O$25=5,Formeln!$A$177,""))))))</f>
        <v/>
      </c>
      <c r="K93" s="628"/>
      <c r="L93" s="79" t="str">
        <f>IF(OR(A93="",X93="",Y93="")," ",IF($O$11=1,$V93,IF($O$11=2,W93,0)))</f>
        <v xml:space="preserve"> </v>
      </c>
      <c r="M93" s="440" t="str">
        <f t="shared" si="2"/>
        <v>Stk.</v>
      </c>
      <c r="N93" s="80"/>
      <c r="O93" s="202" t="str">
        <f>IF(ISNUMBER(L93),L93*GV93," ")</f>
        <v xml:space="preserve"> </v>
      </c>
      <c r="R93" s="195"/>
      <c r="S93" s="195"/>
      <c r="T93" s="195"/>
      <c r="U93" s="1"/>
      <c r="V93" s="149" t="e">
        <f t="shared" si="13"/>
        <v>#VALUE!</v>
      </c>
      <c r="W93" s="149">
        <f t="shared" si="14"/>
        <v>0</v>
      </c>
      <c r="X93" s="149" t="str">
        <f>IF($O$25=3,1," ")</f>
        <v xml:space="preserve"> </v>
      </c>
      <c r="Y93" s="149">
        <v>1</v>
      </c>
      <c r="Z93" s="544">
        <v>527303</v>
      </c>
      <c r="AA93" s="58"/>
      <c r="AB93" s="58"/>
      <c r="AC93" s="58"/>
      <c r="AD93" s="58"/>
      <c r="AE93" s="58"/>
      <c r="AF93" s="58"/>
      <c r="AG93" s="58"/>
      <c r="AH93" s="58"/>
      <c r="AI93" s="58"/>
      <c r="AJ93" s="61">
        <f t="shared" si="20"/>
        <v>0</v>
      </c>
      <c r="AK93" s="61"/>
      <c r="ES93" s="561" t="str">
        <f>VLOOKUP(1876,Sprachindex!$A:$Z,Info!$O$7,FALSE)</f>
        <v>Rohrverbinder Stärke 1,6 mm</v>
      </c>
      <c r="ET93" s="562"/>
      <c r="EU93" s="562"/>
      <c r="EV93" s="562"/>
      <c r="EW93" s="562"/>
      <c r="EX93" s="352"/>
      <c r="EY93" s="326"/>
      <c r="EZ93" s="344"/>
      <c r="FA93" s="343"/>
      <c r="FB93" s="326"/>
      <c r="FC93" s="344"/>
      <c r="FD93" s="343"/>
      <c r="FE93" s="326"/>
      <c r="FF93" s="344"/>
      <c r="FG93" s="343"/>
      <c r="FH93" s="326"/>
      <c r="FI93" s="344"/>
      <c r="FJ93" s="343"/>
      <c r="FK93" s="326"/>
      <c r="FL93" s="344"/>
      <c r="FM93" s="343"/>
      <c r="FN93" s="326"/>
      <c r="FO93" s="344"/>
      <c r="FP93" s="343">
        <v>7.85</v>
      </c>
      <c r="FQ93" s="411" t="s">
        <v>1686</v>
      </c>
      <c r="FR93" s="344">
        <v>7.29</v>
      </c>
      <c r="FS93" s="343"/>
      <c r="FT93" s="326"/>
      <c r="FU93" s="344"/>
      <c r="FV93" s="343"/>
      <c r="FW93" s="139"/>
      <c r="FX93" s="344"/>
      <c r="FY93" s="343"/>
      <c r="FZ93" s="326"/>
      <c r="GA93" s="344"/>
      <c r="GB93" s="343"/>
      <c r="GC93" s="326"/>
      <c r="GD93" s="344"/>
      <c r="GE93" s="343"/>
      <c r="GF93" s="326"/>
      <c r="GG93" s="344"/>
      <c r="GH93" s="343"/>
      <c r="GI93" s="326"/>
      <c r="GJ93" s="344"/>
      <c r="GK93" s="343"/>
      <c r="GL93" s="326"/>
      <c r="GM93" s="344"/>
      <c r="GN93" s="343"/>
      <c r="GO93" s="326"/>
      <c r="GP93" s="353"/>
      <c r="GS93" s="319">
        <f>IF($O$21=9,FR93,FP93)</f>
        <v>7.85</v>
      </c>
      <c r="GV93" s="334" t="str">
        <f>IF($O$25=3,GS93," ")</f>
        <v xml:space="preserve"> </v>
      </c>
    </row>
    <row r="94" spans="1:204" ht="32.1" customHeight="1">
      <c r="A94" s="109"/>
      <c r="B94" s="79" t="str">
        <f>VLOOKUP(878,Sprachindex!$A:$Z,Info!$O$7,FALSE)</f>
        <v>Stk.</v>
      </c>
      <c r="C94" s="78"/>
      <c r="D94" s="78" t="str">
        <f>IF(J94=Formeln!G193,AJ94,IF(J94=Formeln!G194,AV94,IF(J94=Formeln!G195,BH94,"")))</f>
        <v/>
      </c>
      <c r="E94" s="561" t="str">
        <f>VLOOKUP(788,Sprachindex!$A:$Z,Info!$O$7,FALSE)</f>
        <v>Schiebemuffe</v>
      </c>
      <c r="F94" s="562"/>
      <c r="G94" s="562"/>
      <c r="H94" s="562"/>
      <c r="I94" s="84" t="str">
        <f>VLOOKUP(306,Sprachindex!$A:$Z,Info!$O$7,FALSE)</f>
        <v>Dimension wählen:</v>
      </c>
      <c r="J94" s="614"/>
      <c r="K94" s="615"/>
      <c r="L94" s="79" t="str">
        <f t="shared" si="19"/>
        <v xml:space="preserve"> </v>
      </c>
      <c r="M94" s="440" t="str">
        <f t="shared" si="2"/>
        <v>Stk.</v>
      </c>
      <c r="N94" s="80"/>
      <c r="O94" s="202" t="str">
        <f>IF(ISNUMBER(L94),L94*GV94," ")</f>
        <v xml:space="preserve"> </v>
      </c>
      <c r="R94" s="195"/>
      <c r="S94" s="195"/>
      <c r="T94" s="195"/>
      <c r="U94" s="1"/>
      <c r="V94" s="149" t="e">
        <f t="shared" si="13"/>
        <v>#VALUE!</v>
      </c>
      <c r="W94" s="149">
        <f t="shared" si="14"/>
        <v>0</v>
      </c>
      <c r="X94" s="149" t="str">
        <f>IF(J94=Formeln!G192,"",IF(J94=Formeln!$G$193,1,IF(J94=Formeln!G194,1,IF(J94=Formeln!G195,1,""))))</f>
        <v/>
      </c>
      <c r="Y94" s="149">
        <v>1</v>
      </c>
      <c r="Z94" s="58" t="s">
        <v>2027</v>
      </c>
      <c r="AA94" s="58"/>
      <c r="AB94" s="58"/>
      <c r="AC94" s="58"/>
      <c r="AD94" s="58" t="s">
        <v>2028</v>
      </c>
      <c r="AE94" s="58"/>
      <c r="AF94" s="58"/>
      <c r="AG94" s="58"/>
      <c r="AH94" s="58" t="s">
        <v>2029</v>
      </c>
      <c r="AI94" s="58"/>
      <c r="AJ94" s="61">
        <f t="shared" si="20"/>
        <v>0</v>
      </c>
      <c r="AK94" s="61">
        <v>80</v>
      </c>
      <c r="AL94" t="s">
        <v>2030</v>
      </c>
      <c r="AM94"/>
      <c r="AN94"/>
      <c r="AO94"/>
      <c r="AP94" t="s">
        <v>2031</v>
      </c>
      <c r="AQ94"/>
      <c r="AR94"/>
      <c r="AS94"/>
      <c r="AT94" t="s">
        <v>2032</v>
      </c>
      <c r="AU94"/>
      <c r="AV94" s="61">
        <f>IF($O$21=1,AN94,IF($O$21=2,AP94,IF($O$21=3,AO94,IF($O$21=4,AQ94,IF($O$21=5,AR94,IF($O$21=6,AM94,IF($O$21=7,AS94,IF($O$21=8,AT94,IF($O$21=9,AL94,0)))))))))</f>
        <v>0</v>
      </c>
      <c r="AW94" s="61">
        <v>100</v>
      </c>
      <c r="AX94" t="s">
        <v>2033</v>
      </c>
      <c r="AY94"/>
      <c r="AZ94"/>
      <c r="BA94"/>
      <c r="BB94"/>
      <c r="BC94"/>
      <c r="BD94"/>
      <c r="BE94"/>
      <c r="BF94"/>
      <c r="BG94"/>
      <c r="BH94" s="61">
        <f>IF($O$21=1,AZ94,IF($O$21=2,BB94,IF($O$21=3,BA94,IF($O$21=4,BC94,IF($O$21=5,BD94,IF($O$21=6,AY94,IF($O$21=7,BE94,IF($O$21=8,BF94,IF($O$21=9,AX94,0)))))))))</f>
        <v>0</v>
      </c>
      <c r="BI94" s="61">
        <v>120</v>
      </c>
      <c r="BJ94"/>
      <c r="BK94"/>
      <c r="BL94"/>
      <c r="BM94"/>
      <c r="BN94"/>
      <c r="BO94"/>
      <c r="BP94"/>
      <c r="BQ94"/>
      <c r="BR94"/>
      <c r="BS94"/>
      <c r="BT94" s="132"/>
      <c r="BU94" s="132"/>
      <c r="ES94" s="561" t="str">
        <f>VLOOKUP(788,Sprachindex!$A:$Z,Info!$O$7,FALSE)</f>
        <v>Schiebemuffe</v>
      </c>
      <c r="ET94" s="562"/>
      <c r="EU94" s="562"/>
      <c r="EV94" s="562"/>
      <c r="EW94" s="562"/>
      <c r="EX94" s="352"/>
      <c r="EY94" s="326"/>
      <c r="EZ94" s="344"/>
      <c r="FA94" s="343"/>
      <c r="FB94" s="326"/>
      <c r="FC94" s="344"/>
      <c r="FD94" s="343"/>
      <c r="FE94" s="326"/>
      <c r="FF94" s="344"/>
      <c r="FG94" s="343"/>
      <c r="FH94" s="326"/>
      <c r="FI94" s="344"/>
      <c r="FJ94" s="343">
        <v>50.81</v>
      </c>
      <c r="FK94" s="410" t="s">
        <v>1685</v>
      </c>
      <c r="FL94" s="344">
        <v>48.21</v>
      </c>
      <c r="FM94" s="343"/>
      <c r="FN94" s="326"/>
      <c r="FO94" s="344"/>
      <c r="FP94" s="343">
        <v>51.24</v>
      </c>
      <c r="FQ94" s="411" t="s">
        <v>1686</v>
      </c>
      <c r="FR94" s="344">
        <v>48.21</v>
      </c>
      <c r="FS94" s="343"/>
      <c r="FT94" s="326"/>
      <c r="FU94" s="344"/>
      <c r="FV94" s="343">
        <v>58.68</v>
      </c>
      <c r="FW94" s="412" t="s">
        <v>1687</v>
      </c>
      <c r="FX94" s="344">
        <v>55.52</v>
      </c>
      <c r="FY94" s="343"/>
      <c r="FZ94" s="326"/>
      <c r="GA94" s="344"/>
      <c r="GB94" s="343"/>
      <c r="GC94" s="326"/>
      <c r="GD94" s="344"/>
      <c r="GE94" s="343"/>
      <c r="GF94" s="326"/>
      <c r="GG94" s="344"/>
      <c r="GH94" s="343"/>
      <c r="GI94" s="326"/>
      <c r="GJ94" s="344"/>
      <c r="GK94" s="343"/>
      <c r="GL94" s="326"/>
      <c r="GM94" s="344"/>
      <c r="GN94" s="343"/>
      <c r="GO94" s="326"/>
      <c r="GP94" s="353"/>
      <c r="GR94" s="318">
        <f>IF($O$21=9,FL94,FJ94)</f>
        <v>50.81</v>
      </c>
      <c r="GS94" s="319">
        <f>IF($O$21=9,FR94,FP94)</f>
        <v>51.24</v>
      </c>
      <c r="GT94" s="320">
        <f>IF($O$21=9,FX94,FV94)</f>
        <v>58.68</v>
      </c>
      <c r="GV94" s="334" t="str">
        <f>IF($O$25=2,GR94,IF($O$25=3,GS94,IF($O$25=4,GT94," ")))</f>
        <v xml:space="preserve"> </v>
      </c>
    </row>
    <row r="95" spans="1:204" ht="32.1" customHeight="1">
      <c r="A95" s="109"/>
      <c r="B95" s="79" t="s">
        <v>32</v>
      </c>
      <c r="C95" s="78"/>
      <c r="D95" s="111">
        <f>IF(J95=Formeln!A293,AJ95,IF(J95=Formeln!A294,AV95,0))</f>
        <v>0</v>
      </c>
      <c r="E95" s="561" t="str">
        <f>VLOOKUP(1439,Sprachindex!$A:$Z,Info!$O$7,FALSE)</f>
        <v>Rohrübergang</v>
      </c>
      <c r="F95" s="562"/>
      <c r="G95" s="562"/>
      <c r="H95" s="562"/>
      <c r="I95" s="84" t="str">
        <f>VLOOKUP(306,Sprachindex!$A:$Z,Info!$O$7,FALSE)</f>
        <v>Dimension wählen:</v>
      </c>
      <c r="J95" s="614"/>
      <c r="K95" s="615"/>
      <c r="L95" s="79" t="str">
        <f t="shared" si="19"/>
        <v xml:space="preserve"> </v>
      </c>
      <c r="M95" s="440" t="str">
        <f t="shared" si="2"/>
        <v>STK</v>
      </c>
      <c r="N95" s="80"/>
      <c r="O95" s="202" t="str">
        <f>IF(ISNUMBER(A95),L95*GV95," ")</f>
        <v xml:space="preserve"> </v>
      </c>
      <c r="R95" s="195"/>
      <c r="S95" s="195"/>
      <c r="T95" s="195"/>
      <c r="U95" s="1"/>
      <c r="V95" s="149" t="e">
        <f t="shared" si="13"/>
        <v>#VALUE!</v>
      </c>
      <c r="W95" s="149">
        <f t="shared" si="14"/>
        <v>0</v>
      </c>
      <c r="X95" s="149" t="str">
        <f>IF(J95=Formeln!A292,"",IF(J95=Formeln!A293,1,IF(J95=Formeln!A294,1,"")))</f>
        <v/>
      </c>
      <c r="Y95" s="149">
        <v>1</v>
      </c>
      <c r="Z95" s="58" t="s">
        <v>2034</v>
      </c>
      <c r="AA95" s="58"/>
      <c r="AB95" s="58"/>
      <c r="AC95" s="58"/>
      <c r="AD95" s="58"/>
      <c r="AE95" s="58"/>
      <c r="AF95" s="58"/>
      <c r="AG95" s="58"/>
      <c r="AH95" s="58"/>
      <c r="AI95" s="58"/>
      <c r="AJ95" s="61">
        <f t="shared" si="20"/>
        <v>0</v>
      </c>
      <c r="AK95" s="61" t="s">
        <v>2035</v>
      </c>
      <c r="AL95" t="s">
        <v>2036</v>
      </c>
      <c r="AM95"/>
      <c r="AN95"/>
      <c r="AO95"/>
      <c r="AP95"/>
      <c r="AQ95"/>
      <c r="AR95"/>
      <c r="AS95"/>
      <c r="AT95"/>
      <c r="AU95"/>
      <c r="AV95" s="61">
        <f>IF($O$21=1,AN95,IF($O$21=2,AP95,IF($O$21=3,AO95,IF($O$21=4,AQ95,IF($O$21=5,AR95,IF($O$21=6,AM95,IF($O$21=7,AS95,IF($O$21=8,AT95,IF($O$21=9,AL95,0)))))))))</f>
        <v>0</v>
      </c>
      <c r="AW95" s="61" t="s">
        <v>2037</v>
      </c>
      <c r="AX95"/>
      <c r="AY95"/>
      <c r="AZ95"/>
      <c r="BA95"/>
      <c r="BB95"/>
      <c r="BC95"/>
      <c r="BD95"/>
      <c r="BE95"/>
      <c r="BF95"/>
      <c r="BG95"/>
      <c r="BH95" s="61"/>
      <c r="BI95" s="61"/>
      <c r="BJ95"/>
      <c r="BK95"/>
      <c r="BL95"/>
      <c r="BM95"/>
      <c r="BN95"/>
      <c r="BO95"/>
      <c r="BP95"/>
      <c r="BQ95"/>
      <c r="BR95"/>
      <c r="BS95"/>
      <c r="BT95" s="132"/>
      <c r="BU95" s="132"/>
      <c r="ES95" s="561" t="str">
        <f>VLOOKUP(1439,Sprachindex!$A:$Z,Info!$O$7,FALSE)</f>
        <v>Rohrübergang</v>
      </c>
      <c r="ET95" s="562"/>
      <c r="EU95" s="562"/>
      <c r="EV95" s="562"/>
      <c r="EW95" s="562"/>
      <c r="EX95" s="352"/>
      <c r="EY95" s="326"/>
      <c r="EZ95" s="344">
        <v>83.34</v>
      </c>
      <c r="FA95" s="343"/>
      <c r="FB95" s="326" t="s">
        <v>1420</v>
      </c>
      <c r="FC95" s="344"/>
      <c r="FD95" s="343">
        <v>77.540000000000006</v>
      </c>
      <c r="FE95" s="383">
        <f>IF($O$21=9,FD95,EZ95)</f>
        <v>83.34</v>
      </c>
      <c r="FF95" s="344"/>
      <c r="FG95" s="343"/>
      <c r="FH95" s="326"/>
      <c r="FI95" s="344">
        <v>115.07</v>
      </c>
      <c r="FJ95" s="343"/>
      <c r="FK95" s="326" t="s">
        <v>1421</v>
      </c>
      <c r="FL95" s="344"/>
      <c r="FM95" s="343">
        <v>109.6</v>
      </c>
      <c r="FN95" s="383">
        <f>IF($O$21=9,FM95,FI95)</f>
        <v>115.07</v>
      </c>
      <c r="FO95" s="344"/>
      <c r="FP95" s="343"/>
      <c r="FQ95" s="326"/>
      <c r="FR95" s="344"/>
      <c r="FS95" s="343"/>
      <c r="FT95" s="326"/>
      <c r="FU95" s="344"/>
      <c r="FV95" s="343"/>
      <c r="FW95" s="326"/>
      <c r="FX95" s="344"/>
      <c r="FY95" s="343"/>
      <c r="FZ95" s="326"/>
      <c r="GA95" s="344"/>
      <c r="GB95" s="343"/>
      <c r="GC95" s="326"/>
      <c r="GD95" s="344"/>
      <c r="GE95" s="343"/>
      <c r="GF95" s="326"/>
      <c r="GG95" s="344"/>
      <c r="GH95" s="343"/>
      <c r="GI95" s="326"/>
      <c r="GJ95" s="344"/>
      <c r="GK95" s="343"/>
      <c r="GL95" s="326"/>
      <c r="GM95" s="344"/>
      <c r="GN95" s="343"/>
      <c r="GO95" s="326"/>
      <c r="GP95" s="353"/>
      <c r="GV95" s="334" t="str">
        <f>IF($J$95=FB95,FE95,IF($J$95=FK95,FN95," "))</f>
        <v xml:space="preserve"> </v>
      </c>
    </row>
    <row r="96" spans="1:204" ht="32.1" customHeight="1">
      <c r="A96" s="109"/>
      <c r="B96" s="79" t="str">
        <f>VLOOKUP(878,Sprachindex!$A:$Z,Info!$O$7,FALSE)</f>
        <v>Stk.</v>
      </c>
      <c r="C96" s="78"/>
      <c r="D96" s="78">
        <f>IF($O$25=2,AJ96,IF($O$25=3,AV96,IF($O$25=4,BH96,IF($O$25=5,BT96,0))))</f>
        <v>0</v>
      </c>
      <c r="E96" s="561" t="str">
        <f>VLOOKUP(741,Sprachindex!$A:$Z,Info!$O$7,FALSE)</f>
        <v>Rohrschelle für Standrohr</v>
      </c>
      <c r="F96" s="562"/>
      <c r="G96" s="562"/>
      <c r="H96" s="562"/>
      <c r="I96" s="562"/>
      <c r="J96" s="627" t="str">
        <f>Formeln!A239</f>
        <v/>
      </c>
      <c r="K96" s="628"/>
      <c r="L96" s="79" t="str">
        <f t="shared" si="19"/>
        <v xml:space="preserve"> </v>
      </c>
      <c r="M96" s="440" t="str">
        <f t="shared" si="2"/>
        <v>Stk.</v>
      </c>
      <c r="N96" s="80"/>
      <c r="O96" s="202" t="str">
        <f>IF(ISNUMBER(A96),L96*GV96," ")</f>
        <v xml:space="preserve"> </v>
      </c>
      <c r="R96" s="195"/>
      <c r="S96" s="195"/>
      <c r="T96" s="195"/>
      <c r="U96" s="1"/>
      <c r="V96" s="149" t="e">
        <f t="shared" si="13"/>
        <v>#VALUE!</v>
      </c>
      <c r="W96" s="149">
        <f t="shared" si="14"/>
        <v>0</v>
      </c>
      <c r="X96" s="149" t="str">
        <f>IF($O$25=2,15,IF($O$25=3,15,IF($O$25=4,15,"")))</f>
        <v/>
      </c>
      <c r="Y96" s="149">
        <v>1</v>
      </c>
      <c r="Z96" s="58" t="s">
        <v>2038</v>
      </c>
      <c r="AA96" s="58" t="s">
        <v>2039</v>
      </c>
      <c r="AB96" s="58" t="s">
        <v>2040</v>
      </c>
      <c r="AC96" s="58" t="s">
        <v>2041</v>
      </c>
      <c r="AD96" s="58" t="s">
        <v>2042</v>
      </c>
      <c r="AE96" s="58" t="s">
        <v>2043</v>
      </c>
      <c r="AF96" s="58" t="s">
        <v>2044</v>
      </c>
      <c r="AG96" s="58" t="s">
        <v>2045</v>
      </c>
      <c r="AH96" s="58" t="s">
        <v>2046</v>
      </c>
      <c r="AI96" s="58"/>
      <c r="AJ96" s="61">
        <f t="shared" si="20"/>
        <v>0</v>
      </c>
      <c r="AK96" s="61">
        <v>80</v>
      </c>
      <c r="AL96" t="s">
        <v>2047</v>
      </c>
      <c r="AM96" t="s">
        <v>2048</v>
      </c>
      <c r="AN96" t="s">
        <v>2049</v>
      </c>
      <c r="AO96" t="s">
        <v>2050</v>
      </c>
      <c r="AP96" t="s">
        <v>2051</v>
      </c>
      <c r="AQ96" t="s">
        <v>2052</v>
      </c>
      <c r="AR96" t="s">
        <v>2053</v>
      </c>
      <c r="AS96" t="s">
        <v>2054</v>
      </c>
      <c r="AT96" t="s">
        <v>2055</v>
      </c>
      <c r="AU96">
        <v>668330</v>
      </c>
      <c r="AV96" s="61">
        <f>IF($O$21=1,AN96,IF($O$21=2,AP96,IF($O$21=3,AO96,IF($O$21=4,AQ96,IF($O$21=5,AR96,IF($O$21=6,AM96,IF($O$21=7,AS96,IF($O$21=8,AT96,IF($O$21=9,AL96,IF($O$21=10,AU96,0))))))))))</f>
        <v>0</v>
      </c>
      <c r="AW96" s="61">
        <v>100</v>
      </c>
      <c r="AX96" t="s">
        <v>2056</v>
      </c>
      <c r="AY96" t="s">
        <v>2057</v>
      </c>
      <c r="AZ96" t="s">
        <v>2058</v>
      </c>
      <c r="BA96" t="s">
        <v>2059</v>
      </c>
      <c r="BB96" t="s">
        <v>2060</v>
      </c>
      <c r="BC96" t="s">
        <v>2061</v>
      </c>
      <c r="BD96" t="s">
        <v>2062</v>
      </c>
      <c r="BE96" t="s">
        <v>2063</v>
      </c>
      <c r="BF96" t="s">
        <v>2064</v>
      </c>
      <c r="BG96"/>
      <c r="BH96" s="61">
        <f>IF($O$21=1,AZ96,IF($O$21=2,BB96,IF($O$21=3,BA96,IF($O$21=4,BC96,IF($O$21=5,BD96,IF($O$21=6,AY96,IF($O$21=7,BE96,IF($O$21=8,BF96,IF($O$21=9,AX96,0)))))))))</f>
        <v>0</v>
      </c>
      <c r="BI96" s="61">
        <v>120</v>
      </c>
      <c r="ES96" s="561" t="str">
        <f>VLOOKUP(741,Sprachindex!$A:$Z,Info!$O$7,FALSE)</f>
        <v>Rohrschelle für Standrohr</v>
      </c>
      <c r="ET96" s="562"/>
      <c r="EU96" s="562"/>
      <c r="EV96" s="562"/>
      <c r="EW96" s="562"/>
      <c r="EX96" s="352"/>
      <c r="EY96" s="326"/>
      <c r="EZ96" s="344"/>
      <c r="FA96" s="343"/>
      <c r="FB96" s="326"/>
      <c r="FC96" s="344"/>
      <c r="FD96" s="343"/>
      <c r="FE96" s="326"/>
      <c r="FF96" s="344"/>
      <c r="FG96" s="343"/>
      <c r="FH96" s="326"/>
      <c r="FI96" s="344"/>
      <c r="FJ96" s="343"/>
      <c r="FK96" s="326"/>
      <c r="FL96" s="344"/>
      <c r="FM96" s="343"/>
      <c r="FN96" s="326"/>
      <c r="FO96" s="344"/>
      <c r="FP96" s="343"/>
      <c r="FQ96" s="326"/>
      <c r="FR96" s="344"/>
      <c r="FS96" s="343"/>
      <c r="FT96" s="326"/>
      <c r="FU96" s="344"/>
      <c r="FV96" s="343"/>
      <c r="FW96" s="326"/>
      <c r="FX96" s="344"/>
      <c r="FY96" s="343"/>
      <c r="FZ96" s="326"/>
      <c r="GA96" s="344"/>
      <c r="GB96" s="343"/>
      <c r="GC96" s="326"/>
      <c r="GD96" s="344"/>
      <c r="GE96" s="343"/>
      <c r="GF96" s="326"/>
      <c r="GG96" s="344"/>
      <c r="GH96" s="343"/>
      <c r="GI96" s="326"/>
      <c r="GJ96" s="344"/>
      <c r="GK96" s="343"/>
      <c r="GL96" s="326"/>
      <c r="GM96" s="344"/>
      <c r="GN96" s="343"/>
      <c r="GO96" s="326"/>
      <c r="GP96" s="353"/>
      <c r="GR96" s="318">
        <v>9.89</v>
      </c>
      <c r="GS96" s="319">
        <v>10.199999999999999</v>
      </c>
      <c r="GT96" s="320">
        <v>10.72</v>
      </c>
      <c r="GV96" s="334" t="str">
        <f>IF($O$25=2,GR96,IF($O$25=3,GS96,IF($O$25=4,GT96," ")))</f>
        <v xml:space="preserve"> </v>
      </c>
    </row>
    <row r="97" spans="1:204" ht="32.1" customHeight="1">
      <c r="A97" s="109"/>
      <c r="B97" s="79" t="str">
        <f>VLOOKUP(878,Sprachindex!$A:$Z,Info!$O$7,FALSE)</f>
        <v>Stk.</v>
      </c>
      <c r="C97" s="78"/>
      <c r="D97" s="78">
        <v>537060</v>
      </c>
      <c r="E97" s="561" t="str">
        <f>VLOOKUP(557,Sprachindex!$A:$Z,Info!$O$7,FALSE)</f>
        <v>Laubfänger (nur in Braun)</v>
      </c>
      <c r="F97" s="562"/>
      <c r="G97" s="562"/>
      <c r="H97" s="562"/>
      <c r="I97" s="562"/>
      <c r="J97" s="627" t="str">
        <f>Formeln!A239</f>
        <v/>
      </c>
      <c r="K97" s="628"/>
      <c r="L97" s="79" t="str">
        <f t="shared" si="19"/>
        <v xml:space="preserve"> </v>
      </c>
      <c r="M97" s="440" t="str">
        <f t="shared" si="2"/>
        <v>Stk.</v>
      </c>
      <c r="N97" s="80"/>
      <c r="O97" s="202" t="str">
        <f>IF(ISNUMBER(A97),L97*GV97," ")</f>
        <v xml:space="preserve"> </v>
      </c>
      <c r="R97" s="195"/>
      <c r="S97" s="195"/>
      <c r="T97" s="195"/>
      <c r="U97" s="1"/>
      <c r="V97" s="149" t="e">
        <f>ROUNDUP($A97/X97,0)*X97</f>
        <v>#VALUE!</v>
      </c>
      <c r="W97" s="149">
        <f t="shared" si="14"/>
        <v>0</v>
      </c>
      <c r="X97" s="149" t="str">
        <f>IF($O$25=0,"",IF($O$25=1,"",IF($O$25=5,"",25)))</f>
        <v/>
      </c>
      <c r="Y97" s="149">
        <v>1</v>
      </c>
      <c r="Z97" s="47" t="s">
        <v>95</v>
      </c>
      <c r="AA97" s="47" t="s">
        <v>113</v>
      </c>
      <c r="AB97" s="47" t="s">
        <v>108</v>
      </c>
      <c r="AC97" s="47" t="s">
        <v>111</v>
      </c>
      <c r="AD97" s="47" t="s">
        <v>109</v>
      </c>
      <c r="AE97" s="47" t="s">
        <v>112</v>
      </c>
      <c r="AF97" s="47" t="s">
        <v>116</v>
      </c>
      <c r="AG97" s="47" t="s">
        <v>117</v>
      </c>
      <c r="AH97" s="47" t="s">
        <v>1483</v>
      </c>
      <c r="AI97" s="47"/>
      <c r="AJ97" s="47"/>
      <c r="AK97" s="61"/>
      <c r="AL97" s="47" t="s">
        <v>95</v>
      </c>
      <c r="AM97" s="47" t="s">
        <v>113</v>
      </c>
      <c r="AN97" s="47" t="s">
        <v>108</v>
      </c>
      <c r="AO97" s="47" t="s">
        <v>111</v>
      </c>
      <c r="AP97" s="47" t="s">
        <v>109</v>
      </c>
      <c r="AQ97" s="47" t="s">
        <v>112</v>
      </c>
      <c r="AR97" s="47" t="s">
        <v>116</v>
      </c>
      <c r="AS97" s="47" t="s">
        <v>117</v>
      </c>
      <c r="AT97" s="47" t="s">
        <v>1483</v>
      </c>
      <c r="AU97" s="47"/>
      <c r="AV97" s="47"/>
      <c r="AW97" s="61"/>
      <c r="AX97" s="47" t="s">
        <v>95</v>
      </c>
      <c r="AY97" s="47" t="s">
        <v>113</v>
      </c>
      <c r="AZ97" s="47" t="s">
        <v>108</v>
      </c>
      <c r="BA97" s="47" t="s">
        <v>111</v>
      </c>
      <c r="BB97" s="47" t="s">
        <v>109</v>
      </c>
      <c r="BC97" s="47" t="s">
        <v>112</v>
      </c>
      <c r="BD97" s="47" t="s">
        <v>116</v>
      </c>
      <c r="BE97" s="47" t="s">
        <v>117</v>
      </c>
      <c r="BF97" s="47" t="s">
        <v>1483</v>
      </c>
      <c r="BG97" s="47"/>
      <c r="BH97" s="47"/>
      <c r="BI97" s="61"/>
      <c r="BJ97" s="47" t="s">
        <v>95</v>
      </c>
      <c r="BK97" s="47" t="s">
        <v>113</v>
      </c>
      <c r="BL97" s="47" t="s">
        <v>108</v>
      </c>
      <c r="BM97" s="47" t="s">
        <v>111</v>
      </c>
      <c r="BN97" s="47" t="s">
        <v>109</v>
      </c>
      <c r="BO97" s="47" t="s">
        <v>112</v>
      </c>
      <c r="BP97" s="47" t="s">
        <v>116</v>
      </c>
      <c r="BQ97" s="47" t="s">
        <v>117</v>
      </c>
      <c r="BR97" s="47" t="s">
        <v>1483</v>
      </c>
      <c r="BS97" s="47"/>
      <c r="BT97" s="47"/>
      <c r="BU97" s="61"/>
      <c r="BV97" s="47" t="s">
        <v>95</v>
      </c>
      <c r="BW97" s="47" t="s">
        <v>113</v>
      </c>
      <c r="BX97" s="47" t="s">
        <v>108</v>
      </c>
      <c r="BY97" s="47" t="s">
        <v>111</v>
      </c>
      <c r="BZ97" s="47" t="s">
        <v>109</v>
      </c>
      <c r="CA97" s="47" t="s">
        <v>112</v>
      </c>
      <c r="CB97" s="47" t="s">
        <v>116</v>
      </c>
      <c r="CC97" s="47" t="s">
        <v>117</v>
      </c>
      <c r="CD97" s="47" t="s">
        <v>1483</v>
      </c>
      <c r="CE97" s="47"/>
      <c r="CF97" s="47"/>
      <c r="CG97" s="61"/>
      <c r="ES97" s="561" t="str">
        <f>VLOOKUP(557,Sprachindex!$A:$Z,Info!$O$7,FALSE)</f>
        <v>Laubfänger (nur in Braun)</v>
      </c>
      <c r="ET97" s="562"/>
      <c r="EU97" s="562"/>
      <c r="EV97" s="562"/>
      <c r="EW97" s="562"/>
      <c r="EX97" s="352"/>
      <c r="EY97" s="326"/>
      <c r="EZ97" s="344"/>
      <c r="FA97" s="343"/>
      <c r="FB97" s="326"/>
      <c r="FC97" s="344"/>
      <c r="FD97" s="343"/>
      <c r="FE97" s="326"/>
      <c r="FF97" s="344"/>
      <c r="FG97" s="343"/>
      <c r="FH97" s="326"/>
      <c r="FI97" s="344"/>
      <c r="FJ97" s="343"/>
      <c r="FK97" s="326"/>
      <c r="FL97" s="344"/>
      <c r="FM97" s="343"/>
      <c r="FN97" s="326"/>
      <c r="FO97" s="344"/>
      <c r="FP97" s="343"/>
      <c r="FQ97" s="326"/>
      <c r="FR97" s="344"/>
      <c r="FS97" s="343"/>
      <c r="FT97" s="326"/>
      <c r="FU97" s="344"/>
      <c r="FV97" s="343"/>
      <c r="FW97" s="326"/>
      <c r="FX97" s="344"/>
      <c r="FY97" s="343"/>
      <c r="FZ97" s="326"/>
      <c r="GA97" s="344"/>
      <c r="GB97" s="343"/>
      <c r="GC97" s="326"/>
      <c r="GD97" s="344"/>
      <c r="GE97" s="343"/>
      <c r="GF97" s="326"/>
      <c r="GG97" s="344"/>
      <c r="GH97" s="343"/>
      <c r="GI97" s="326"/>
      <c r="GJ97" s="344"/>
      <c r="GK97" s="343"/>
      <c r="GL97" s="326"/>
      <c r="GM97" s="344"/>
      <c r="GN97" s="343"/>
      <c r="GO97" s="326"/>
      <c r="GP97" s="353"/>
      <c r="GV97" s="334">
        <v>12.02</v>
      </c>
    </row>
    <row r="98" spans="1:204" ht="32.1" customHeight="1">
      <c r="A98" s="109"/>
      <c r="B98" s="79" t="str">
        <f>VLOOKUP(878,Sprachindex!$A:$Z,Info!$O$7,FALSE)</f>
        <v>Stk.</v>
      </c>
      <c r="C98" s="78"/>
      <c r="D98" s="78">
        <f>IF($O$25=2,AJ98,IF($O$25=3,AV98,IF($O$25=4,BH98,IF($O$25=5,BT98,0))))</f>
        <v>0</v>
      </c>
      <c r="E98" s="561" t="str">
        <f>VLOOKUP(1008,Sprachindex!$A:$Z,Info!$O$7,FALSE)</f>
        <v>Wasserfangkasten</v>
      </c>
      <c r="F98" s="562"/>
      <c r="G98" s="562"/>
      <c r="H98" s="562"/>
      <c r="I98" s="562"/>
      <c r="J98" s="627" t="str">
        <f>Formeln!A230</f>
        <v/>
      </c>
      <c r="K98" s="628"/>
      <c r="L98" s="79" t="str">
        <f t="shared" si="19"/>
        <v xml:space="preserve"> </v>
      </c>
      <c r="M98" s="440" t="str">
        <f t="shared" si="2"/>
        <v>Stk.</v>
      </c>
      <c r="N98" s="80"/>
      <c r="O98" s="202" t="str">
        <f>IF(ISNUMBER(A98),L98*GV98," ")</f>
        <v xml:space="preserve"> </v>
      </c>
      <c r="R98" s="195"/>
      <c r="S98" s="195"/>
      <c r="T98" s="195"/>
      <c r="U98" s="1"/>
      <c r="V98" s="149" t="e">
        <f t="shared" ref="V98:V102" si="21">ROUNDUP($A98/X98,0)*X98</f>
        <v>#VALUE!</v>
      </c>
      <c r="W98" s="149">
        <f t="shared" si="14"/>
        <v>0</v>
      </c>
      <c r="X98" s="149" t="str">
        <f>IF($O$25=2,2,IF($O$25=3,2,IF($O$25=4,2,IF($O$25=5,2,""))))</f>
        <v/>
      </c>
      <c r="Y98" s="149">
        <v>1</v>
      </c>
      <c r="Z98" s="58" t="s">
        <v>2065</v>
      </c>
      <c r="AA98" s="58" t="s">
        <v>2066</v>
      </c>
      <c r="AB98" s="58" t="s">
        <v>2067</v>
      </c>
      <c r="AC98" s="58" t="s">
        <v>2068</v>
      </c>
      <c r="AD98" s="58" t="s">
        <v>2069</v>
      </c>
      <c r="AE98" s="58" t="s">
        <v>2070</v>
      </c>
      <c r="AF98" s="58" t="s">
        <v>2071</v>
      </c>
      <c r="AG98" s="58" t="s">
        <v>2072</v>
      </c>
      <c r="AH98" s="58" t="s">
        <v>2073</v>
      </c>
      <c r="AI98" s="58"/>
      <c r="AJ98" s="61">
        <f>IF($O$21=1,AB98,IF($O$21=2,AD98,IF($O$21=3,AC98,IF($O$21=4,AE98,IF($O$21=5,AF98,IF($O$21=6,AA98,IF($O$21=7,AG98,IF($O$21=8,AH98,IF($O$21=9,Z98,0)))))))))</f>
        <v>0</v>
      </c>
      <c r="AK98" s="61">
        <v>80</v>
      </c>
      <c r="AL98" t="s">
        <v>2074</v>
      </c>
      <c r="AM98" t="s">
        <v>2075</v>
      </c>
      <c r="AN98" t="s">
        <v>2076</v>
      </c>
      <c r="AO98" t="s">
        <v>2077</v>
      </c>
      <c r="AP98" t="s">
        <v>2078</v>
      </c>
      <c r="AQ98" t="s">
        <v>2079</v>
      </c>
      <c r="AR98" t="s">
        <v>2080</v>
      </c>
      <c r="AS98" t="s">
        <v>2081</v>
      </c>
      <c r="AT98" t="s">
        <v>2082</v>
      </c>
      <c r="AU98">
        <v>550131</v>
      </c>
      <c r="AV98" s="61">
        <f>IF($O$21=1,AN98,IF($O$21=2,AP98,IF($O$21=3,AO98,IF($O$21=4,AQ98,IF($O$21=5,AR98,IF($O$21=6,AM98,IF($O$21=7,AS98,IF($O$21=8,AT98,IF($O$21=9,AL98,IF($O$21=10,AU98,0))))))))))</f>
        <v>0</v>
      </c>
      <c r="AW98" s="61">
        <v>100</v>
      </c>
      <c r="AX98" t="s">
        <v>2083</v>
      </c>
      <c r="AY98" t="s">
        <v>2084</v>
      </c>
      <c r="AZ98" t="s">
        <v>2085</v>
      </c>
      <c r="BA98" t="s">
        <v>2086</v>
      </c>
      <c r="BB98" t="s">
        <v>2087</v>
      </c>
      <c r="BC98" t="s">
        <v>2088</v>
      </c>
      <c r="BD98" t="s">
        <v>2089</v>
      </c>
      <c r="BE98" t="s">
        <v>2090</v>
      </c>
      <c r="BF98" t="s">
        <v>2091</v>
      </c>
      <c r="BG98"/>
      <c r="BH98" s="61">
        <f>IF($O$21=1,AZ98,IF($O$21=2,BB98,IF($O$21=3,BA98,IF($O$21=4,BC98,IF($O$21=5,BD98,IF($O$21=6,AY98,IF($O$21=7,BE98,IF($O$21=8,BF98,IF($O$21=9,AX98,0)))))))))</f>
        <v>0</v>
      </c>
      <c r="BI98" s="61">
        <v>120</v>
      </c>
      <c r="BJ98" t="s">
        <v>2092</v>
      </c>
      <c r="BK98" t="s">
        <v>2093</v>
      </c>
      <c r="BL98" t="s">
        <v>2094</v>
      </c>
      <c r="BM98"/>
      <c r="BN98" t="s">
        <v>2095</v>
      </c>
      <c r="BO98"/>
      <c r="BP98"/>
      <c r="BQ98"/>
      <c r="BR98"/>
      <c r="BS98"/>
      <c r="BT98" s="61">
        <f>IF($O$21=1,BL98,IF($O$21=2,BN98,IF($O$21=3,BM98,IF($O$21=4,BO98,IF($O$21=5,BP98,IF($O$21=6,BK98,IF($O$21=7,BQ98,IF($O$21=8,BR98,IF($O$21=9,BJ98,0)))))))))</f>
        <v>0</v>
      </c>
      <c r="BU98" s="61">
        <v>150</v>
      </c>
      <c r="ES98" s="561" t="str">
        <f>VLOOKUP(1008,Sprachindex!$A:$Z,Info!$O$7,FALSE)</f>
        <v>Wasserfangkasten</v>
      </c>
      <c r="ET98" s="562"/>
      <c r="EU98" s="562"/>
      <c r="EV98" s="562"/>
      <c r="EW98" s="562"/>
      <c r="EX98" s="352"/>
      <c r="EY98" s="326"/>
      <c r="EZ98" s="344"/>
      <c r="FA98" s="343"/>
      <c r="FB98" s="326"/>
      <c r="FC98" s="344"/>
      <c r="FD98" s="343"/>
      <c r="FE98" s="326"/>
      <c r="FF98" s="344"/>
      <c r="FG98" s="343"/>
      <c r="FH98" s="326"/>
      <c r="FI98" s="344"/>
      <c r="FJ98" s="343">
        <v>224.3</v>
      </c>
      <c r="FK98" s="410" t="s">
        <v>1685</v>
      </c>
      <c r="FL98" s="344">
        <v>216.3</v>
      </c>
      <c r="FM98" s="343"/>
      <c r="FN98" s="326"/>
      <c r="FO98" s="344"/>
      <c r="FP98" s="343">
        <v>233.8</v>
      </c>
      <c r="FQ98" s="411" t="s">
        <v>1686</v>
      </c>
      <c r="FR98" s="344">
        <v>225.7</v>
      </c>
      <c r="FS98" s="343"/>
      <c r="FT98" s="326"/>
      <c r="FU98" s="344"/>
      <c r="FV98" s="343">
        <v>240.2</v>
      </c>
      <c r="FW98" s="412" t="s">
        <v>1687</v>
      </c>
      <c r="FX98" s="344">
        <v>232.1</v>
      </c>
      <c r="FY98" s="343"/>
      <c r="FZ98" s="326"/>
      <c r="GA98" s="344"/>
      <c r="GB98" s="343">
        <v>258.60000000000002</v>
      </c>
      <c r="GC98" s="413" t="s">
        <v>1688</v>
      </c>
      <c r="GD98" s="344">
        <v>246.5</v>
      </c>
      <c r="GE98" s="343"/>
      <c r="GF98" s="326"/>
      <c r="GG98" s="344"/>
      <c r="GH98" s="343"/>
      <c r="GI98" s="326"/>
      <c r="GJ98" s="344"/>
      <c r="GK98" s="343"/>
      <c r="GL98" s="326"/>
      <c r="GM98" s="344"/>
      <c r="GN98" s="343"/>
      <c r="GO98" s="326"/>
      <c r="GP98" s="353"/>
      <c r="GR98" s="318">
        <f>IF($O$21=9,FL98,FJ98)</f>
        <v>224.3</v>
      </c>
      <c r="GS98" s="319">
        <f>IF($O$21=9,FR98,FP98)</f>
        <v>233.8</v>
      </c>
      <c r="GT98" s="320">
        <f>IF($O$21=9,FX98,FV98)</f>
        <v>240.2</v>
      </c>
      <c r="GU98" s="423" t="str">
        <f>IF(OR($O$21=1,$O$21=2,$O$21=6),GB98,IF($O$21=9,GD98," "))</f>
        <v xml:space="preserve"> </v>
      </c>
      <c r="GV98" s="334" t="str">
        <f>IF($O$25=2,GR98,IF($O$25=3,GS98,IF($O$25=4,GT98,IF($O$25=5,GU98," "))))</f>
        <v xml:space="preserve"> </v>
      </c>
    </row>
    <row r="99" spans="1:204" ht="32.1" customHeight="1">
      <c r="A99" s="109"/>
      <c r="B99" s="79" t="str">
        <f>VLOOKUP(878,Sprachindex!$A:$Z,Info!$O$7,FALSE)</f>
        <v>Stk.</v>
      </c>
      <c r="C99" s="78"/>
      <c r="D99" s="78" t="str">
        <f>IF($O$25=3,AJ99," ")</f>
        <v xml:space="preserve"> </v>
      </c>
      <c r="E99" s="561" t="str">
        <f>VLOOKUP(1010,Sprachindex!$A:$Z,Info!$O$7,FALSE)</f>
        <v>Wasserfangkasten rund</v>
      </c>
      <c r="F99" s="562"/>
      <c r="G99" s="562"/>
      <c r="H99" s="562"/>
      <c r="I99" s="562"/>
      <c r="J99" s="627" t="str">
        <f>IF($O$25="","",IF($O$25=1,Formeln!$A$177,IF($O$25=2,Formeln!$A$177,IF($O$25=3,Formeln!$F$194,IF($O$25=4,Formeln!$A$177,IF($O$25=5,Formeln!$A$177,""))))))</f>
        <v/>
      </c>
      <c r="K99" s="628"/>
      <c r="L99" s="79" t="str">
        <f t="shared" si="19"/>
        <v xml:space="preserve"> </v>
      </c>
      <c r="M99" s="440" t="str">
        <f t="shared" si="2"/>
        <v>Stk.</v>
      </c>
      <c r="N99" s="80"/>
      <c r="O99" s="202" t="str">
        <f>IF(ISNUMBER(L99),L99*GV99," ")</f>
        <v xml:space="preserve"> </v>
      </c>
      <c r="R99" s="195"/>
      <c r="S99" s="195"/>
      <c r="T99" s="195"/>
      <c r="U99" s="1"/>
      <c r="V99" s="149" t="e">
        <f t="shared" si="21"/>
        <v>#VALUE!</v>
      </c>
      <c r="W99" s="149">
        <f t="shared" si="14"/>
        <v>0</v>
      </c>
      <c r="X99" s="149" t="str">
        <f>IF($O$25=3,1,"")</f>
        <v/>
      </c>
      <c r="Y99" s="149">
        <v>1</v>
      </c>
      <c r="Z99" s="58" t="s">
        <v>2096</v>
      </c>
      <c r="AA99" s="58" t="s">
        <v>2097</v>
      </c>
      <c r="AB99" s="58" t="s">
        <v>2098</v>
      </c>
      <c r="AC99" s="58"/>
      <c r="AD99" s="58" t="s">
        <v>2099</v>
      </c>
      <c r="AE99" s="58"/>
      <c r="AF99" s="58"/>
      <c r="AG99" s="58"/>
      <c r="AH99" s="58"/>
      <c r="AI99" s="58"/>
      <c r="AJ99" s="61">
        <f>IF($O$21=1,AB99,IF($O$21=2,AD99,IF($O$21=3,AC99,IF($O$21=4,AE99,IF($O$21=5,AF99,IF($O$21=6,AA99,IF($O$21=7,AG99,IF($O$21=8,AH99,IF($O$21=9,Z99,0)))))))))</f>
        <v>0</v>
      </c>
      <c r="AK99" s="61"/>
      <c r="AL99"/>
      <c r="AM99"/>
      <c r="AN99"/>
      <c r="AO99"/>
      <c r="AP99"/>
      <c r="AQ99"/>
      <c r="AR99"/>
      <c r="AS99"/>
      <c r="AT99"/>
      <c r="AU99"/>
      <c r="AV99" s="61">
        <f>IF($O$21=1,AN99,IF($O$21=2,AP99,IF($O$21=3,AO99,IF($O$21=4,AQ99,IF($O$21=5,AR99,IF($O$21=6,AM99,IF($O$21=7,AS99,IF($O$21=8,AT99,IF($O$21=9,AL99,0)))))))))</f>
        <v>0</v>
      </c>
      <c r="AW99" s="132"/>
      <c r="AX99"/>
      <c r="AY99"/>
      <c r="AZ99"/>
      <c r="BA99"/>
      <c r="BB99"/>
      <c r="BC99"/>
      <c r="BD99"/>
      <c r="BE99"/>
      <c r="BF99"/>
      <c r="BG99"/>
      <c r="BH99" s="132"/>
      <c r="BI99" s="132"/>
      <c r="BJ99"/>
      <c r="BK99"/>
      <c r="BL99"/>
      <c r="BM99"/>
      <c r="BN99"/>
      <c r="BO99"/>
      <c r="BP99"/>
      <c r="BQ99"/>
      <c r="BR99"/>
      <c r="BS99"/>
      <c r="BT99" s="132"/>
      <c r="BU99" s="132"/>
      <c r="ES99" s="561" t="str">
        <f>VLOOKUP(1010,Sprachindex!$A:$Z,Info!$O$7,FALSE)</f>
        <v>Wasserfangkasten rund</v>
      </c>
      <c r="ET99" s="562"/>
      <c r="EU99" s="562"/>
      <c r="EV99" s="562"/>
      <c r="EW99" s="562"/>
      <c r="EX99" s="352"/>
      <c r="EY99" s="326"/>
      <c r="EZ99" s="344"/>
      <c r="FA99" s="343"/>
      <c r="FB99" s="326"/>
      <c r="FC99" s="344"/>
      <c r="FD99" s="343"/>
      <c r="FE99" s="326"/>
      <c r="FF99" s="344"/>
      <c r="FG99" s="343"/>
      <c r="FH99" s="326"/>
      <c r="FI99" s="344"/>
      <c r="FJ99" s="343"/>
      <c r="FK99" s="326"/>
      <c r="FL99" s="344"/>
      <c r="FM99" s="343"/>
      <c r="FN99" s="326"/>
      <c r="FO99" s="344"/>
      <c r="FP99" s="343">
        <v>224.7</v>
      </c>
      <c r="FQ99" s="411" t="s">
        <v>1686</v>
      </c>
      <c r="FR99" s="344">
        <v>217.7</v>
      </c>
      <c r="FS99" s="343"/>
      <c r="FT99" s="326"/>
      <c r="FU99" s="344"/>
      <c r="FV99" s="343"/>
      <c r="FW99" s="326"/>
      <c r="FX99" s="344"/>
      <c r="FY99" s="343"/>
      <c r="FZ99" s="326"/>
      <c r="GA99" s="344"/>
      <c r="GB99" s="343"/>
      <c r="GC99" s="326"/>
      <c r="GD99" s="344"/>
      <c r="GE99" s="343"/>
      <c r="GF99" s="326"/>
      <c r="GG99" s="344"/>
      <c r="GH99" s="343"/>
      <c r="GI99" s="326"/>
      <c r="GJ99" s="344"/>
      <c r="GK99" s="343"/>
      <c r="GL99" s="326"/>
      <c r="GM99" s="344"/>
      <c r="GN99" s="343"/>
      <c r="GO99" s="326"/>
      <c r="GP99" s="353"/>
      <c r="GS99" s="319" t="str">
        <f>IF(OR($O$21=1,$O$21=2,$O$21=6),FP99,IF($O$21=9,FR99," "))</f>
        <v xml:space="preserve"> </v>
      </c>
      <c r="GV99" s="334" t="str">
        <f>IF($O$25=3,GS99," ")</f>
        <v xml:space="preserve"> </v>
      </c>
    </row>
    <row r="100" spans="1:204" ht="32.1" customHeight="1">
      <c r="A100" s="109"/>
      <c r="B100" s="79" t="str">
        <f>VLOOKUP(878,Sprachindex!$A:$Z,Info!$O$7,FALSE)</f>
        <v>Stk.</v>
      </c>
      <c r="C100" s="78"/>
      <c r="D100" s="78">
        <f>IF($O$25=2,BH100,IF($O$25=3,AJ100,IF($O$25=4,AV100,0)))</f>
        <v>0</v>
      </c>
      <c r="E100" s="561" t="str">
        <f>VLOOKUP(850,Sprachindex!$A:$Z,Info!$O$7,FALSE)</f>
        <v>Speiereinmündung</v>
      </c>
      <c r="F100" s="562"/>
      <c r="G100" s="562"/>
      <c r="H100" s="562"/>
      <c r="I100" s="562"/>
      <c r="J100" s="627" t="str">
        <f>IF(O25=0,"",IF(O25=2,Formeln!F193,IF(O25=3,Formeln!F194,IF(O25=4,Formeln!F195,Formeln!A177))))</f>
        <v/>
      </c>
      <c r="K100" s="628"/>
      <c r="L100" s="79" t="str">
        <f t="shared" si="19"/>
        <v xml:space="preserve"> </v>
      </c>
      <c r="M100" s="440" t="str">
        <f t="shared" si="2"/>
        <v>Stk.</v>
      </c>
      <c r="N100" s="80"/>
      <c r="O100" s="202" t="str">
        <f>IF(ISNUMBER(A100),L100*GV100," ")</f>
        <v xml:space="preserve"> </v>
      </c>
      <c r="R100" s="195"/>
      <c r="S100" s="195"/>
      <c r="T100" s="195"/>
      <c r="U100" s="1"/>
      <c r="V100" s="149" t="e">
        <f t="shared" si="21"/>
        <v>#VALUE!</v>
      </c>
      <c r="W100" s="149">
        <f t="shared" si="14"/>
        <v>0</v>
      </c>
      <c r="X100" s="149" t="str">
        <f>IF($O$25=2,1,IF($O$25=3,1,IF($O$25=4,1,"")))</f>
        <v/>
      </c>
      <c r="Y100" s="149">
        <v>1</v>
      </c>
      <c r="Z100" s="58" t="s">
        <v>2100</v>
      </c>
      <c r="AA100" s="58" t="s">
        <v>2101</v>
      </c>
      <c r="AB100" s="58" t="s">
        <v>2102</v>
      </c>
      <c r="AC100" s="58" t="s">
        <v>2103</v>
      </c>
      <c r="AD100" s="58" t="s">
        <v>2104</v>
      </c>
      <c r="AE100" s="58" t="s">
        <v>2105</v>
      </c>
      <c r="AF100" s="58" t="s">
        <v>2106</v>
      </c>
      <c r="AG100" s="58" t="s">
        <v>2107</v>
      </c>
      <c r="AH100" s="58" t="s">
        <v>2108</v>
      </c>
      <c r="AI100" s="58"/>
      <c r="AJ100" s="61">
        <f>IF($O$21=1,AB100,IF($O$21=2,AD100,IF($O$21=3,AC100,IF($O$21=4,AE100,IF($O$21=5,AF100,IF($O$21=6,AA100,IF($O$21=7,AG100,IF($O$21=8,AH100,IF($O$21=9,Z100,0)))))))))</f>
        <v>0</v>
      </c>
      <c r="AK100" s="61">
        <v>100</v>
      </c>
      <c r="AL100" t="s">
        <v>2109</v>
      </c>
      <c r="AM100"/>
      <c r="AN100"/>
      <c r="AO100"/>
      <c r="AP100" t="s">
        <v>2110</v>
      </c>
      <c r="AQ100"/>
      <c r="AR100"/>
      <c r="AS100"/>
      <c r="AT100"/>
      <c r="AU100"/>
      <c r="AV100" s="61">
        <f>IF($O$21=1,AN100,IF($O$21=2,AP100,IF($O$21=3,AO100,IF($O$21=4,AQ100,IF($O$21=5,AR100,IF($O$21=6,AM100,IF($O$21=7,AS100,IF($O$21=8,AT100,IF($O$21=9,AL100,0)))))))))</f>
        <v>0</v>
      </c>
      <c r="AW100" s="61">
        <v>120</v>
      </c>
      <c r="AX100" t="s">
        <v>2111</v>
      </c>
      <c r="AY100"/>
      <c r="AZ100"/>
      <c r="BA100"/>
      <c r="BB100"/>
      <c r="BC100"/>
      <c r="BD100"/>
      <c r="BE100"/>
      <c r="BF100"/>
      <c r="BG100"/>
      <c r="BH100" s="61">
        <f>IF($O$21=1,AZ100,IF($O$21=2,BB100,IF($O$21=3,BA100,IF($O$21=4,BC100,IF($O$21=5,BD100,IF($O$21=6,AY100,IF($O$21=7,BE100,IF($O$21=8,BF100,IF($O$21=9,AX100,0)))))))))</f>
        <v>0</v>
      </c>
      <c r="BI100" s="61">
        <v>80</v>
      </c>
      <c r="ES100" s="561" t="str">
        <f>VLOOKUP(850,Sprachindex!$A:$Z,Info!$O$7,FALSE)</f>
        <v>Speiereinmündung</v>
      </c>
      <c r="ET100" s="562"/>
      <c r="EU100" s="562"/>
      <c r="EV100" s="562"/>
      <c r="EW100" s="562"/>
      <c r="EX100" s="352"/>
      <c r="EY100" s="326"/>
      <c r="EZ100" s="344"/>
      <c r="FA100" s="343"/>
      <c r="FB100" s="326"/>
      <c r="FC100" s="344"/>
      <c r="FD100" s="343"/>
      <c r="FE100" s="326"/>
      <c r="FF100" s="344"/>
      <c r="FG100" s="343"/>
      <c r="FH100" s="326"/>
      <c r="FI100" s="344"/>
      <c r="FJ100" s="343">
        <v>229.71</v>
      </c>
      <c r="FK100" s="410" t="s">
        <v>1685</v>
      </c>
      <c r="FL100" s="344">
        <v>221.9</v>
      </c>
      <c r="FM100" s="343"/>
      <c r="FN100" s="326"/>
      <c r="FO100" s="344"/>
      <c r="FP100" s="343">
        <v>235</v>
      </c>
      <c r="FQ100" s="411" t="s">
        <v>1686</v>
      </c>
      <c r="FR100" s="344">
        <v>225.7</v>
      </c>
      <c r="FS100" s="343"/>
      <c r="FT100" s="326"/>
      <c r="FU100" s="344"/>
      <c r="FV100" s="343">
        <v>290.3</v>
      </c>
      <c r="FW100" s="412" t="s">
        <v>1687</v>
      </c>
      <c r="FX100" s="344">
        <v>278.60000000000002</v>
      </c>
      <c r="FY100" s="343"/>
      <c r="FZ100" s="326"/>
      <c r="GA100" s="344"/>
      <c r="GB100" s="343"/>
      <c r="GC100" s="326"/>
      <c r="GD100" s="344"/>
      <c r="GE100" s="343"/>
      <c r="GF100" s="326"/>
      <c r="GG100" s="344"/>
      <c r="GH100" s="343"/>
      <c r="GI100" s="326"/>
      <c r="GJ100" s="344"/>
      <c r="GK100" s="343"/>
      <c r="GL100" s="326"/>
      <c r="GM100" s="344"/>
      <c r="GN100" s="343"/>
      <c r="GO100" s="326"/>
      <c r="GP100" s="353"/>
      <c r="GR100" s="318">
        <f>IF($O$21=9,FL100,FJ100)</f>
        <v>229.71</v>
      </c>
      <c r="GS100" s="319">
        <f>IF($O$21=9,FR100,FP100)</f>
        <v>235</v>
      </c>
      <c r="GT100" s="320">
        <f>IF($O$21=9,FX100,FV100)</f>
        <v>290.3</v>
      </c>
      <c r="GV100" s="334" t="str">
        <f>IF($O$25=2,GR100,IF($O$25=3,GS100,IF($O$25=4,GT100," ")))</f>
        <v xml:space="preserve"> </v>
      </c>
    </row>
    <row r="101" spans="1:204" ht="32.1" customHeight="1">
      <c r="A101" s="109"/>
      <c r="B101" s="79" t="str">
        <f>VLOOKUP(878,Sprachindex!$A:$Z,Info!$O$7,FALSE)</f>
        <v>Stk.</v>
      </c>
      <c r="C101" s="78"/>
      <c r="D101" s="78">
        <f>IF(J101=Formeln!A267,AJ101,IF(J101=Formeln!A268,AV101,0))</f>
        <v>0</v>
      </c>
      <c r="E101" s="561" t="str">
        <f>VLOOKUP(654,Sprachindex!$A:$Z,Info!$O$7,FALSE)</f>
        <v>Patentniete</v>
      </c>
      <c r="F101" s="562"/>
      <c r="G101" s="562"/>
      <c r="H101" s="562"/>
      <c r="I101" s="84" t="str">
        <f>VLOOKUP(306,Sprachindex!$A:$Z,Info!$O$7,FALSE)</f>
        <v>Dimension wählen:</v>
      </c>
      <c r="J101" s="614"/>
      <c r="K101" s="630"/>
      <c r="L101" s="79" t="str">
        <f t="shared" si="19"/>
        <v xml:space="preserve"> </v>
      </c>
      <c r="M101" s="440" t="str">
        <f t="shared" si="2"/>
        <v>Stk.</v>
      </c>
      <c r="N101" s="80"/>
      <c r="O101" s="202" t="str">
        <f>IF(ISNUMBER(A101),L101*GV101," ")</f>
        <v xml:space="preserve"> </v>
      </c>
      <c r="R101" s="195"/>
      <c r="S101" s="195"/>
      <c r="T101" s="195"/>
      <c r="U101" s="1"/>
      <c r="V101" s="149" t="e">
        <f t="shared" si="21"/>
        <v>#VALUE!</v>
      </c>
      <c r="W101" s="149">
        <f t="shared" si="14"/>
        <v>0</v>
      </c>
      <c r="X101" s="149" t="str">
        <f>IF($J101=Formeln!$A$267,1000,IF($J101=Formeln!$A$268,500,""))</f>
        <v/>
      </c>
      <c r="Y101" s="149">
        <v>1</v>
      </c>
      <c r="Z101" s="58" t="s">
        <v>1493</v>
      </c>
      <c r="AA101" s="58" t="s">
        <v>1494</v>
      </c>
      <c r="AB101" s="58" t="s">
        <v>1495</v>
      </c>
      <c r="AC101" s="58" t="s">
        <v>1496</v>
      </c>
      <c r="AD101" s="58" t="s">
        <v>1497</v>
      </c>
      <c r="AE101" s="58" t="s">
        <v>1499</v>
      </c>
      <c r="AF101" s="58" t="s">
        <v>1500</v>
      </c>
      <c r="AG101" s="58" t="s">
        <v>1501</v>
      </c>
      <c r="AH101" s="58" t="s">
        <v>1502</v>
      </c>
      <c r="AI101" s="58"/>
      <c r="AJ101" s="61">
        <f>IF($O$21=1,AB101,IF($O$21=2,AD101,IF($O$21=3,AC101,IF($O$21=4,AE101,IF($O$21=5,AF101,IF($O$21=6,AA101,IF($O$21=7,AG101,IF($O$21=8,AH101,IF($O$21=9,Z101,0)))))))))</f>
        <v>0</v>
      </c>
      <c r="AK101" s="61" t="s">
        <v>1505</v>
      </c>
      <c r="AL101" t="s">
        <v>1506</v>
      </c>
      <c r="AM101" s="59"/>
      <c r="AN101" s="59"/>
      <c r="AO101" s="59"/>
      <c r="AP101" s="59"/>
      <c r="AQ101" s="59"/>
      <c r="AR101" s="59"/>
      <c r="AS101" s="59"/>
      <c r="AT101" s="59"/>
      <c r="AU101" s="59"/>
      <c r="AV101" s="61">
        <f>IF($O$21=1,AN101,IF($O$21=2,AP101,IF($O$21=3,AO101,IF($O$21=4,AQ101,IF($O$21=5,AR101,IF($O$21=6,AM101,IF($O$21=7,AS101,IF($O$21=8,AT101,IF($O$21=9,AL101,0)))))))))</f>
        <v>0</v>
      </c>
      <c r="AW101" s="61" t="s">
        <v>1507</v>
      </c>
      <c r="ES101" s="561" t="str">
        <f>VLOOKUP(654,Sprachindex!$A:$Z,Info!$O$7,FALSE)</f>
        <v>Patentniete</v>
      </c>
      <c r="ET101" s="562"/>
      <c r="EU101" s="562"/>
      <c r="EV101" s="562"/>
      <c r="EW101" s="562"/>
      <c r="EX101" s="352"/>
      <c r="EY101" s="326"/>
      <c r="EZ101" s="344">
        <v>0.18</v>
      </c>
      <c r="FA101" s="672" t="s">
        <v>2112</v>
      </c>
      <c r="FB101" s="673"/>
      <c r="FC101" s="674"/>
      <c r="FD101" s="343">
        <v>0.15</v>
      </c>
      <c r="FE101" s="326"/>
      <c r="FF101" s="344"/>
      <c r="FG101" s="675" t="s">
        <v>2113</v>
      </c>
      <c r="FH101" s="676"/>
      <c r="FI101" s="677"/>
      <c r="FJ101" s="343">
        <v>0.18</v>
      </c>
      <c r="FK101" s="326"/>
      <c r="FL101" s="344"/>
      <c r="FM101" s="343"/>
      <c r="FN101" s="326"/>
      <c r="FO101" s="344"/>
      <c r="FP101" s="343"/>
      <c r="FQ101" s="326"/>
      <c r="FR101" s="344"/>
      <c r="FS101" s="343"/>
      <c r="FT101" s="326"/>
      <c r="FU101" s="344"/>
      <c r="FV101" s="343"/>
      <c r="FW101" s="326"/>
      <c r="FX101" s="344"/>
      <c r="FY101" s="343"/>
      <c r="FZ101" s="326"/>
      <c r="GA101" s="344"/>
      <c r="GB101" s="343"/>
      <c r="GC101" s="326"/>
      <c r="GD101" s="344"/>
      <c r="GE101" s="343"/>
      <c r="GF101" s="326"/>
      <c r="GG101" s="344"/>
      <c r="GH101" s="343"/>
      <c r="GI101" s="326"/>
      <c r="GJ101" s="344"/>
      <c r="GK101" s="343"/>
      <c r="GL101" s="326"/>
      <c r="GM101" s="344"/>
      <c r="GN101" s="343"/>
      <c r="GO101" s="326"/>
      <c r="GP101" s="353"/>
      <c r="GR101" s="427">
        <f>IF($O$21=9,FD101,EZ101)</f>
        <v>0.18</v>
      </c>
      <c r="GS101" s="428" t="str">
        <f>IF($O$21=9,FJ101," ")</f>
        <v xml:space="preserve"> </v>
      </c>
      <c r="GV101" s="334" t="str">
        <f>IF($J$101=FA101,GR101,IF($J$101=FG101,GS101," "))</f>
        <v xml:space="preserve"> </v>
      </c>
    </row>
    <row r="102" spans="1:204" ht="32.1" customHeight="1">
      <c r="A102" s="109"/>
      <c r="B102" s="79" t="str">
        <f>VLOOKUP(1512,Sprachindex!$A:$Z,Info!$O$7,FALSE)</f>
        <v>lfm</v>
      </c>
      <c r="C102" s="78"/>
      <c r="D102" s="78">
        <f>AJ102</f>
        <v>0</v>
      </c>
      <c r="E102" s="561" t="str">
        <f>VLOOKUP(147,Sprachindex!$A:$Z,Info!$O$7,FALSE)</f>
        <v>Ablaufkette (5 mm)</v>
      </c>
      <c r="F102" s="562"/>
      <c r="G102" s="562"/>
      <c r="H102" s="562"/>
      <c r="I102" s="562"/>
      <c r="J102" s="627"/>
      <c r="K102" s="628"/>
      <c r="L102" s="79" t="str">
        <f t="shared" si="19"/>
        <v xml:space="preserve"> </v>
      </c>
      <c r="M102" s="440" t="str">
        <f t="shared" si="2"/>
        <v>lfm</v>
      </c>
      <c r="N102" s="80"/>
      <c r="O102" s="202" t="str">
        <f>IF(ISNUMBER(A102),L102*GV102," ")</f>
        <v xml:space="preserve"> </v>
      </c>
      <c r="R102" s="195"/>
      <c r="S102" s="195"/>
      <c r="T102" s="195"/>
      <c r="U102" s="1"/>
      <c r="V102" s="149">
        <f t="shared" si="21"/>
        <v>0</v>
      </c>
      <c r="W102" s="149">
        <f t="shared" si="14"/>
        <v>0</v>
      </c>
      <c r="X102" s="149">
        <v>1</v>
      </c>
      <c r="Y102" s="149">
        <v>1</v>
      </c>
      <c r="Z102" s="58" t="s">
        <v>2114</v>
      </c>
      <c r="AA102" s="58" t="s">
        <v>2115</v>
      </c>
      <c r="AB102" s="58" t="s">
        <v>2116</v>
      </c>
      <c r="AC102" s="58" t="s">
        <v>2117</v>
      </c>
      <c r="AD102" s="58" t="s">
        <v>2118</v>
      </c>
      <c r="AE102" s="58" t="s">
        <v>2119</v>
      </c>
      <c r="AF102" s="58" t="s">
        <v>2120</v>
      </c>
      <c r="AG102" s="58" t="s">
        <v>2121</v>
      </c>
      <c r="AH102" s="58" t="s">
        <v>2122</v>
      </c>
      <c r="AI102" s="58"/>
      <c r="AJ102" s="61">
        <f>IF($O$21=1,AB102,IF($O$21=2,AD102,IF($O$21=3,AC102,IF($O$21=4,AE102,IF($O$21=5,AF102,IF($O$21=6,AA102,IF($O$21=7,AG102,IF($O$21=8,AH102,IF($O$21=9,Z102,0)))))))))</f>
        <v>0</v>
      </c>
      <c r="AK102" s="61" t="s">
        <v>2123</v>
      </c>
      <c r="ES102" s="561" t="str">
        <f>VLOOKUP(147,Sprachindex!$A:$Z,Info!$O$7,FALSE)</f>
        <v>Ablaufkette (5 mm)</v>
      </c>
      <c r="ET102" s="562"/>
      <c r="EU102" s="562"/>
      <c r="EV102" s="562"/>
      <c r="EW102" s="562"/>
      <c r="EX102" s="352"/>
      <c r="EY102" s="326"/>
      <c r="EZ102" s="344"/>
      <c r="FA102" s="343">
        <v>20.7</v>
      </c>
      <c r="FB102" s="326"/>
      <c r="FC102" s="344">
        <v>19.05</v>
      </c>
      <c r="FD102" s="343"/>
      <c r="FE102" s="326"/>
      <c r="FF102" s="344"/>
      <c r="FG102" s="343"/>
      <c r="FH102" s="326"/>
      <c r="FI102" s="344"/>
      <c r="FJ102" s="343"/>
      <c r="FK102" s="326"/>
      <c r="FL102" s="344"/>
      <c r="FM102" s="343"/>
      <c r="FN102" s="326"/>
      <c r="FO102" s="344"/>
      <c r="FP102" s="343"/>
      <c r="FQ102" s="326"/>
      <c r="FR102" s="344"/>
      <c r="FS102" s="343"/>
      <c r="FT102" s="326"/>
      <c r="FU102" s="344"/>
      <c r="FV102" s="343"/>
      <c r="FW102" s="326"/>
      <c r="FX102" s="344"/>
      <c r="FY102" s="343"/>
      <c r="FZ102" s="326"/>
      <c r="GA102" s="344"/>
      <c r="GB102" s="343"/>
      <c r="GC102" s="326"/>
      <c r="GD102" s="344"/>
      <c r="GE102" s="343"/>
      <c r="GF102" s="326"/>
      <c r="GG102" s="344"/>
      <c r="GH102" s="343"/>
      <c r="GI102" s="326"/>
      <c r="GJ102" s="344"/>
      <c r="GK102" s="343"/>
      <c r="GL102" s="326"/>
      <c r="GM102" s="344"/>
      <c r="GN102" s="343"/>
      <c r="GO102" s="326"/>
      <c r="GP102" s="353"/>
      <c r="GV102" s="334">
        <f>IF($O$21=9,FC102,FA102)</f>
        <v>20.7</v>
      </c>
    </row>
    <row r="103" spans="1:204" ht="32.1" customHeight="1">
      <c r="A103" s="109"/>
      <c r="B103" s="79" t="str">
        <f>VLOOKUP(1512,Sprachindex!$A:$Z,Info!$O$7,FALSE)</f>
        <v>lfm</v>
      </c>
      <c r="C103" s="78"/>
      <c r="D103" s="78">
        <v>580001</v>
      </c>
      <c r="E103" s="561" t="str">
        <f>VLOOKUP(304,Sprachindex!$A:$Z,Info!$O$7,FALSE)</f>
        <v>Dila</v>
      </c>
      <c r="F103" s="562"/>
      <c r="G103" s="562"/>
      <c r="H103" s="562"/>
      <c r="I103" s="562"/>
      <c r="J103" s="627" t="str">
        <f>VLOOKUP(122,Sprachindex!$A:$Z,Info!$O$7,FALSE)</f>
        <v>6.000 × 375 mm</v>
      </c>
      <c r="K103" s="628"/>
      <c r="L103" s="79" t="str">
        <f>IF(A103=""," ",IF($O$11=1,$V103,IF($O$11=2,W103,0)))</f>
        <v xml:space="preserve"> </v>
      </c>
      <c r="M103" s="440" t="str">
        <f t="shared" ref="M103:M115" si="22">B103</f>
        <v>lfm</v>
      </c>
      <c r="N103" s="80"/>
      <c r="O103" s="202" t="str">
        <f>IF(ISNUMBER(A103),L103*GV103," ")</f>
        <v xml:space="preserve"> </v>
      </c>
      <c r="R103" s="195"/>
      <c r="S103" s="195"/>
      <c r="T103" s="195"/>
      <c r="U103" s="1"/>
      <c r="V103" s="149">
        <f>ROUNDUP($A103/6,0)*6</f>
        <v>0</v>
      </c>
      <c r="W103" s="149">
        <f>ROUNDUP($A103,0)</f>
        <v>0</v>
      </c>
      <c r="X103" s="149"/>
      <c r="Y103" s="149"/>
      <c r="Z103" s="47" t="s">
        <v>95</v>
      </c>
      <c r="AA103" s="47" t="s">
        <v>113</v>
      </c>
      <c r="AB103" s="47" t="s">
        <v>108</v>
      </c>
      <c r="AC103" s="47" t="s">
        <v>111</v>
      </c>
      <c r="AD103" s="47" t="s">
        <v>109</v>
      </c>
      <c r="AE103" s="47" t="s">
        <v>112</v>
      </c>
      <c r="AF103" s="47" t="s">
        <v>116</v>
      </c>
      <c r="AG103" s="47" t="s">
        <v>117</v>
      </c>
      <c r="AH103" s="47" t="s">
        <v>1483</v>
      </c>
      <c r="AI103" s="47"/>
      <c r="AJ103" s="47"/>
      <c r="AK103" s="61"/>
      <c r="AL103" s="47" t="s">
        <v>95</v>
      </c>
      <c r="AM103" s="47" t="s">
        <v>113</v>
      </c>
      <c r="AN103" s="47" t="s">
        <v>108</v>
      </c>
      <c r="AO103" s="47" t="s">
        <v>111</v>
      </c>
      <c r="AP103" s="47" t="s">
        <v>109</v>
      </c>
      <c r="AQ103" s="47" t="s">
        <v>112</v>
      </c>
      <c r="AR103" s="47" t="s">
        <v>116</v>
      </c>
      <c r="AS103" s="47" t="s">
        <v>117</v>
      </c>
      <c r="AT103" s="47" t="s">
        <v>1483</v>
      </c>
      <c r="AU103" s="47"/>
      <c r="AV103" s="47"/>
      <c r="AW103" s="61"/>
      <c r="AX103" s="47" t="s">
        <v>95</v>
      </c>
      <c r="AY103" s="47" t="s">
        <v>113</v>
      </c>
      <c r="AZ103" s="47" t="s">
        <v>108</v>
      </c>
      <c r="BA103" s="47" t="s">
        <v>111</v>
      </c>
      <c r="BB103" s="47" t="s">
        <v>109</v>
      </c>
      <c r="BC103" s="47" t="s">
        <v>112</v>
      </c>
      <c r="BD103" s="47" t="s">
        <v>116</v>
      </c>
      <c r="BE103" s="47" t="s">
        <v>117</v>
      </c>
      <c r="BF103" s="47" t="s">
        <v>1483</v>
      </c>
      <c r="BG103" s="47"/>
      <c r="BH103" s="47"/>
      <c r="BI103" s="61"/>
      <c r="BJ103" s="47" t="s">
        <v>95</v>
      </c>
      <c r="BK103" s="47" t="s">
        <v>113</v>
      </c>
      <c r="BL103" s="47" t="s">
        <v>108</v>
      </c>
      <c r="BM103" s="47" t="s">
        <v>111</v>
      </c>
      <c r="BN103" s="47" t="s">
        <v>109</v>
      </c>
      <c r="BO103" s="47" t="s">
        <v>112</v>
      </c>
      <c r="BP103" s="47" t="s">
        <v>116</v>
      </c>
      <c r="BQ103" s="47" t="s">
        <v>117</v>
      </c>
      <c r="BR103" s="47" t="s">
        <v>1483</v>
      </c>
      <c r="BS103" s="47"/>
      <c r="BT103" s="47"/>
      <c r="BU103" s="61"/>
      <c r="ES103" s="561" t="str">
        <f>VLOOKUP(304,Sprachindex!$A:$Z,Info!$O$7,FALSE)</f>
        <v>Dila</v>
      </c>
      <c r="ET103" s="562"/>
      <c r="EU103" s="562"/>
      <c r="EV103" s="562"/>
      <c r="EW103" s="562"/>
      <c r="EX103" s="352"/>
      <c r="EY103" s="326"/>
      <c r="EZ103" s="344"/>
      <c r="FA103" s="343"/>
      <c r="FB103" s="326"/>
      <c r="FC103" s="344"/>
      <c r="FD103" s="343"/>
      <c r="FE103" s="326"/>
      <c r="FF103" s="344"/>
      <c r="FG103" s="343"/>
      <c r="FH103" s="326"/>
      <c r="FI103" s="344"/>
      <c r="FJ103" s="343"/>
      <c r="FK103" s="326"/>
      <c r="FL103" s="344"/>
      <c r="FM103" s="343"/>
      <c r="FN103" s="326"/>
      <c r="FO103" s="344"/>
      <c r="FP103" s="343"/>
      <c r="FQ103" s="326"/>
      <c r="FR103" s="344"/>
      <c r="FS103" s="343"/>
      <c r="FT103" s="326"/>
      <c r="FU103" s="344"/>
      <c r="FV103" s="343"/>
      <c r="FW103" s="326"/>
      <c r="FX103" s="344"/>
      <c r="FY103" s="343"/>
      <c r="FZ103" s="326"/>
      <c r="GA103" s="344"/>
      <c r="GB103" s="343"/>
      <c r="GC103" s="326"/>
      <c r="GD103" s="344"/>
      <c r="GE103" s="343"/>
      <c r="GF103" s="326"/>
      <c r="GG103" s="344"/>
      <c r="GH103" s="343"/>
      <c r="GI103" s="326"/>
      <c r="GJ103" s="344"/>
      <c r="GK103" s="343"/>
      <c r="GL103" s="326"/>
      <c r="GM103" s="344"/>
      <c r="GN103" s="343"/>
      <c r="GO103" s="326"/>
      <c r="GP103" s="353"/>
      <c r="GV103" s="334">
        <v>101.3</v>
      </c>
    </row>
    <row r="104" spans="1:204" ht="32.1" customHeight="1">
      <c r="A104" s="109"/>
      <c r="B104" s="79" t="str">
        <f>VLOOKUP(878,Sprachindex!$A:$Z,Info!$O$7,FALSE)</f>
        <v>Stk.</v>
      </c>
      <c r="C104" s="78"/>
      <c r="D104" s="79">
        <f>IF($O$24=1,AJ104,IF($O$24=2,AV104,IF($O$24=3,BH104,IF($O$24=4,BT104,0))))</f>
        <v>0</v>
      </c>
      <c r="E104" s="561" t="str">
        <f>VLOOKUP(457,Sprachindex!$A:$Z,Info!$O$7,FALSE)</f>
        <v>Hängerinnen-Dila mit Wulst und Blende</v>
      </c>
      <c r="F104" s="562"/>
      <c r="G104" s="562"/>
      <c r="H104" s="562"/>
      <c r="I104" s="562"/>
      <c r="J104" s="627" t="str">
        <f>Formeln!A183</f>
        <v/>
      </c>
      <c r="K104" s="628"/>
      <c r="L104" s="79" t="str">
        <f t="shared" ref="L104:L115" si="23">IF(OR(A104="",X104="",Y104="")," ",IF($O$11=1,$V104,IF($O$11=2,W104,0)))</f>
        <v xml:space="preserve"> </v>
      </c>
      <c r="M104" s="440" t="str">
        <f t="shared" si="22"/>
        <v>Stk.</v>
      </c>
      <c r="N104" s="80"/>
      <c r="O104" s="202" t="str">
        <f>IF(ISNUMBER(L104),L104*GV104," ")</f>
        <v xml:space="preserve"> </v>
      </c>
      <c r="R104" s="195"/>
      <c r="S104" s="195"/>
      <c r="T104" s="195"/>
      <c r="U104" s="1"/>
      <c r="V104" s="149" t="e">
        <f>ROUNDUP($A104/$X104,0)*$X104</f>
        <v>#VALUE!</v>
      </c>
      <c r="W104" s="149">
        <f t="shared" ref="W104:W111" si="24">ROUNDUP($A104/Y104,0)*Y104</f>
        <v>0</v>
      </c>
      <c r="X104" s="149" t="str">
        <f>IF($O$24=0,"",IF($O$24=5,"",6))</f>
        <v/>
      </c>
      <c r="Y104" s="149">
        <v>1</v>
      </c>
      <c r="Z104" s="545">
        <v>547057</v>
      </c>
      <c r="AA104" s="545">
        <v>547052</v>
      </c>
      <c r="AB104" s="545">
        <v>547050</v>
      </c>
      <c r="AC104" s="545">
        <v>547055</v>
      </c>
      <c r="AD104" s="545">
        <v>547051</v>
      </c>
      <c r="AE104" s="545">
        <v>547056</v>
      </c>
      <c r="AF104" s="545">
        <v>547054</v>
      </c>
      <c r="AG104" s="545">
        <v>547049</v>
      </c>
      <c r="AH104" s="545">
        <v>547016</v>
      </c>
      <c r="AI104" s="545"/>
      <c r="AJ104" s="63">
        <f>IF($O$21=1,AB104,IF($O$21=2,AD104,IF($O$21=3,AC104,IF($O$21=4,AE104,IF($O$21=5,AF104,IF($O$21=6,AA104,IF($O$21=7,AG104,IF($O$21=8,AH104,IF($O$21=9,Z104,0)))))))))</f>
        <v>0</v>
      </c>
      <c r="AK104" s="63" t="s">
        <v>1527</v>
      </c>
      <c r="AL104" s="64">
        <v>547047</v>
      </c>
      <c r="AM104" s="64">
        <v>547042</v>
      </c>
      <c r="AN104" s="64">
        <v>547040</v>
      </c>
      <c r="AO104" s="64">
        <v>547045</v>
      </c>
      <c r="AP104" s="64">
        <v>547041</v>
      </c>
      <c r="AQ104" s="64">
        <v>547046</v>
      </c>
      <c r="AR104" s="64">
        <v>547044</v>
      </c>
      <c r="AS104" s="64">
        <v>547048</v>
      </c>
      <c r="AT104" s="64">
        <v>547015</v>
      </c>
      <c r="AU104" s="64"/>
      <c r="AV104" s="63">
        <f>IF($O$21=1,AN104,IF($O$21=2,AP104,IF($O$21=3,AO104,IF($O$21=4,AQ104,IF($O$21=5,AR104,IF($O$21=6,AM104,IF($O$21=7,AS104,IF($O$21=8,AT104,IF($O$21=9,AL104,0)))))))))</f>
        <v>0</v>
      </c>
      <c r="AW104" s="63" t="s">
        <v>1528</v>
      </c>
      <c r="AX104" s="64">
        <v>547031</v>
      </c>
      <c r="AY104" s="64">
        <v>547022</v>
      </c>
      <c r="AZ104" s="64">
        <v>547020</v>
      </c>
      <c r="BA104" s="64">
        <v>547024</v>
      </c>
      <c r="BB104" s="64">
        <v>547021</v>
      </c>
      <c r="BC104" s="64">
        <v>547030</v>
      </c>
      <c r="BD104" s="64">
        <v>547023</v>
      </c>
      <c r="BE104" s="64">
        <v>547028</v>
      </c>
      <c r="BF104" s="64">
        <v>547032</v>
      </c>
      <c r="BG104" s="64">
        <v>547034</v>
      </c>
      <c r="BH104" s="63">
        <f>IF($O$21=1,AZ104,IF($O$21=2,BB104,IF($O$21=3,BA104,IF($O$21=4,BC104,IF($O$21=5,BD104,IF($O$21=6,AY104,IF($O$21=7,BE104,IF($O$21=8,BF104,IF($O$21=9,AX104,IF($O$21=10,BG104,0))))))))))</f>
        <v>0</v>
      </c>
      <c r="BI104" s="63" t="s">
        <v>1529</v>
      </c>
      <c r="BJ104" s="64">
        <v>547038</v>
      </c>
      <c r="BK104" s="64">
        <v>547037</v>
      </c>
      <c r="BL104" s="64">
        <v>547035</v>
      </c>
      <c r="BM104" s="65"/>
      <c r="BN104" s="64">
        <v>547036</v>
      </c>
      <c r="BO104" s="65"/>
      <c r="BP104" s="64">
        <v>547090</v>
      </c>
      <c r="BQ104" s="64"/>
      <c r="BR104" s="64">
        <v>547093</v>
      </c>
      <c r="BS104" s="64"/>
      <c r="BT104" s="63">
        <f>IF($O$21=1,BL104,IF($O$21=2,BN104,IF($O$21=3,BM104,IF($O$21=4,BO104,IF($O$21=5,BP104,IF($O$21=6,BK104,IF($O$21=7,BQ104,IF($O$21=8,BR104,IF($O$21=9,BJ104,0)))))))))</f>
        <v>0</v>
      </c>
      <c r="BU104" s="63" t="s">
        <v>1530</v>
      </c>
      <c r="ES104" s="561" t="str">
        <f>VLOOKUP(457,Sprachindex!$A:$Z,Info!$O$7,FALSE)</f>
        <v>Hängerinnen-Dila mit Wulst und Blende</v>
      </c>
      <c r="ET104" s="562"/>
      <c r="EU104" s="562"/>
      <c r="EV104" s="562"/>
      <c r="EW104" s="562"/>
      <c r="EX104" s="352"/>
      <c r="EY104" s="326"/>
      <c r="EZ104" s="344"/>
      <c r="FA104" s="343">
        <v>27.27</v>
      </c>
      <c r="FB104" s="326">
        <v>8.4700000000000006</v>
      </c>
      <c r="FC104" s="333">
        <f>FA104+FB104</f>
        <v>35.74</v>
      </c>
      <c r="FD104" s="343"/>
      <c r="FE104" s="326"/>
      <c r="FF104" s="344"/>
      <c r="FG104" s="343"/>
      <c r="FH104" s="326"/>
      <c r="FI104" s="344"/>
      <c r="FJ104" s="343">
        <v>31.26</v>
      </c>
      <c r="FK104" s="326">
        <v>8.51</v>
      </c>
      <c r="FL104" s="429">
        <f>FJ104+FK104</f>
        <v>39.770000000000003</v>
      </c>
      <c r="FM104" s="343"/>
      <c r="FN104" s="326"/>
      <c r="FO104" s="344"/>
      <c r="FP104" s="343"/>
      <c r="FQ104" s="326"/>
      <c r="FR104" s="344"/>
      <c r="FS104" s="343">
        <v>34.32</v>
      </c>
      <c r="FT104" s="326">
        <v>8.94</v>
      </c>
      <c r="FU104" s="373">
        <f>FS104+FT104</f>
        <v>43.26</v>
      </c>
      <c r="FV104" s="343"/>
      <c r="FW104" s="326"/>
      <c r="FX104" s="344"/>
      <c r="FY104" s="343"/>
      <c r="FZ104" s="326"/>
      <c r="GA104" s="344"/>
      <c r="GB104" s="343">
        <v>41.24</v>
      </c>
      <c r="GC104" s="326">
        <v>9.66</v>
      </c>
      <c r="GD104" s="379">
        <f>GC104+GB104</f>
        <v>50.900000000000006</v>
      </c>
      <c r="GE104" s="343"/>
      <c r="GF104" s="326"/>
      <c r="GG104" s="344"/>
      <c r="GH104" s="343"/>
      <c r="GI104" s="326"/>
      <c r="GJ104" s="344"/>
      <c r="GK104" s="343"/>
      <c r="GL104" s="326"/>
      <c r="GM104" s="344"/>
      <c r="GN104" s="343"/>
      <c r="GO104" s="326"/>
      <c r="GP104" s="353"/>
      <c r="GQ104" s="333">
        <f>FC104</f>
        <v>35.74</v>
      </c>
      <c r="GR104" s="332">
        <f>FL104</f>
        <v>39.770000000000003</v>
      </c>
      <c r="GS104" s="331">
        <f>FU104</f>
        <v>43.26</v>
      </c>
      <c r="GT104" s="330">
        <f>GD104</f>
        <v>50.900000000000006</v>
      </c>
      <c r="GV104" s="342" t="str">
        <f>IF($O$24=1,GQ104,IF($O$24=2,GR104,IF($O$24=3,GS104,IF($O$24=4,GT104," "))))</f>
        <v xml:space="preserve"> </v>
      </c>
    </row>
    <row r="105" spans="1:204" ht="32.1" customHeight="1">
      <c r="A105" s="109"/>
      <c r="B105" s="79" t="str">
        <f>VLOOKUP(878,Sprachindex!$A:$Z,Info!$O$7,FALSE)</f>
        <v>Stk.</v>
      </c>
      <c r="C105" s="78"/>
      <c r="D105" s="79">
        <f>IF($O$24=1,AJ105,IF($O$24=3,AV105,IF($O$24=4,BH105,0)))</f>
        <v>0</v>
      </c>
      <c r="E105" s="561" t="str">
        <f>VLOOKUP(517,Sprachindex!$A:$Z,Info!$O$7,FALSE)</f>
        <v>Kastenrinnen-Dila mit Wulst und Blende</v>
      </c>
      <c r="F105" s="562"/>
      <c r="G105" s="562"/>
      <c r="H105" s="562"/>
      <c r="I105" s="562"/>
      <c r="J105" s="627" t="str">
        <f>Formeln!A189</f>
        <v/>
      </c>
      <c r="K105" s="628"/>
      <c r="L105" s="79" t="str">
        <f t="shared" si="23"/>
        <v xml:space="preserve"> </v>
      </c>
      <c r="M105" s="440" t="str">
        <f t="shared" si="22"/>
        <v>Stk.</v>
      </c>
      <c r="N105" s="80"/>
      <c r="O105" s="202" t="str">
        <f>IF(ISNUMBER(L105),L105*GV105," ")</f>
        <v xml:space="preserve"> </v>
      </c>
      <c r="R105" s="195"/>
      <c r="S105" s="195"/>
      <c r="T105" s="195"/>
      <c r="U105" s="1"/>
      <c r="V105" s="149" t="e">
        <f t="shared" ref="V105:V112" si="25">ROUNDUP($A105/X105,0)*X105</f>
        <v>#VALUE!</v>
      </c>
      <c r="W105" s="149">
        <f t="shared" si="24"/>
        <v>0</v>
      </c>
      <c r="X105" s="149" t="str">
        <f>IF($O$24=1,6,IF($O$24=3,6,IF($O$24=2,"",IF($O$24=4,6,""))))</f>
        <v/>
      </c>
      <c r="Y105" s="149">
        <v>1</v>
      </c>
      <c r="Z105" s="545">
        <v>547083</v>
      </c>
      <c r="AA105" s="545">
        <v>547082</v>
      </c>
      <c r="AB105" s="545">
        <v>547080</v>
      </c>
      <c r="AC105" s="546"/>
      <c r="AD105" s="545">
        <v>547081</v>
      </c>
      <c r="AE105" s="528"/>
      <c r="AF105" s="528"/>
      <c r="AG105" s="528"/>
      <c r="AH105" s="545">
        <v>547088</v>
      </c>
      <c r="AI105" s="545"/>
      <c r="AJ105" s="63">
        <f>IF($O$21=1,AB105,IF($O$21=2,AD105,IF($O$21=3,AC105,IF($O$21=4,AE105,IF($O$21=5,AF105,IF($O$21=6,AA105,IF($O$21=7,AG105,IF($O$21=8,AH105,IF($O$21=9,Z105,0)))))))))</f>
        <v>0</v>
      </c>
      <c r="AK105" s="63" t="s">
        <v>1527</v>
      </c>
      <c r="AL105" s="64">
        <v>547066</v>
      </c>
      <c r="AM105" s="64">
        <v>547062</v>
      </c>
      <c r="AN105" s="64">
        <v>547060</v>
      </c>
      <c r="AO105" s="64">
        <v>547065</v>
      </c>
      <c r="AP105" s="64">
        <v>547061</v>
      </c>
      <c r="AQ105" s="64">
        <v>547067</v>
      </c>
      <c r="AR105" s="64">
        <v>547064</v>
      </c>
      <c r="AS105" s="64">
        <v>547068</v>
      </c>
      <c r="AT105" s="64">
        <v>547085</v>
      </c>
      <c r="AU105" s="64">
        <v>547074</v>
      </c>
      <c r="AV105" s="63">
        <f>IF($O$21=1,AN105,IF($O$21=2,AP105,IF($O$21=3,AO105,IF($O$21=4,AQ105,IF($O$21=5,AR105,IF($O$21=6,AM105,IF($O$21=7,AS105,IF($O$21=8,AT105,IF($O$21=9,AL105,IF($O$21=10,AU105,0))))))))))</f>
        <v>0</v>
      </c>
      <c r="AW105" s="63" t="s">
        <v>1529</v>
      </c>
      <c r="AX105" s="64">
        <v>547073</v>
      </c>
      <c r="AY105" s="64">
        <v>547072</v>
      </c>
      <c r="AZ105" s="64">
        <v>547070</v>
      </c>
      <c r="BA105" s="65"/>
      <c r="BB105" s="64">
        <v>547071</v>
      </c>
      <c r="BC105" s="65"/>
      <c r="BD105" s="64">
        <v>547095</v>
      </c>
      <c r="BE105" s="65"/>
      <c r="BF105" s="64">
        <v>547098</v>
      </c>
      <c r="BG105" s="64"/>
      <c r="BH105" s="63">
        <f>IF($O$21=1,AZ105,IF($O$21=2,BB105,IF($O$21=3,BA105,IF($O$21=4,BC105,IF($O$21=5,BD105,IF($O$21=6,AY105,IF($O$21=7,BE105,IF($O$21=8,BF105,IF($O$21=9,AX105,0)))))))))</f>
        <v>0</v>
      </c>
      <c r="BI105" s="63" t="s">
        <v>1530</v>
      </c>
      <c r="ES105" s="561" t="str">
        <f>VLOOKUP(517,Sprachindex!$A:$Z,Info!$O$7,FALSE)</f>
        <v>Kastenrinnen-Dila mit Wulst und Blende</v>
      </c>
      <c r="ET105" s="562"/>
      <c r="EU105" s="562"/>
      <c r="EV105" s="562"/>
      <c r="EW105" s="562"/>
      <c r="EX105" s="352"/>
      <c r="EY105" s="326"/>
      <c r="EZ105" s="344"/>
      <c r="FA105" s="343">
        <v>27.27</v>
      </c>
      <c r="FB105" s="326">
        <v>8.4700000000000006</v>
      </c>
      <c r="FC105" s="333">
        <f>FA105+FB105</f>
        <v>35.74</v>
      </c>
      <c r="FD105" s="343"/>
      <c r="FE105" s="326"/>
      <c r="FF105" s="344"/>
      <c r="FG105" s="343"/>
      <c r="FH105" s="326"/>
      <c r="FI105" s="344"/>
      <c r="FJ105" s="343"/>
      <c r="FK105" s="326"/>
      <c r="FL105" s="344"/>
      <c r="FM105" s="343"/>
      <c r="FN105" s="326"/>
      <c r="FO105" s="344"/>
      <c r="FP105" s="343"/>
      <c r="FQ105" s="326"/>
      <c r="FR105" s="344"/>
      <c r="FS105" s="343">
        <v>34.32</v>
      </c>
      <c r="FT105" s="326">
        <v>8.94</v>
      </c>
      <c r="FU105" s="373">
        <f>FS105+FT105</f>
        <v>43.26</v>
      </c>
      <c r="FV105" s="343"/>
      <c r="FW105" s="326"/>
      <c r="FX105" s="344"/>
      <c r="FY105" s="343"/>
      <c r="FZ105" s="326"/>
      <c r="GA105" s="344"/>
      <c r="GB105" s="343">
        <v>41.24</v>
      </c>
      <c r="GC105" s="326">
        <v>9.66</v>
      </c>
      <c r="GD105" s="379">
        <f>GC105+GB105</f>
        <v>50.900000000000006</v>
      </c>
      <c r="GE105" s="343"/>
      <c r="GF105" s="326"/>
      <c r="GG105" s="344"/>
      <c r="GH105" s="343"/>
      <c r="GI105" s="326"/>
      <c r="GJ105" s="344"/>
      <c r="GK105" s="343"/>
      <c r="GL105" s="326"/>
      <c r="GM105" s="344"/>
      <c r="GN105" s="343"/>
      <c r="GO105" s="326"/>
      <c r="GP105" s="353"/>
      <c r="GQ105" s="333">
        <f>FC105</f>
        <v>35.74</v>
      </c>
      <c r="GS105" s="331">
        <f>FU105</f>
        <v>43.26</v>
      </c>
      <c r="GT105" s="330">
        <f>GD105</f>
        <v>50.900000000000006</v>
      </c>
      <c r="GV105" s="342" t="str">
        <f>IF($O$24=1,GQ105,IF($O$24=3,GS105,IF($O$24=4,GT105," ")))</f>
        <v xml:space="preserve"> </v>
      </c>
    </row>
    <row r="106" spans="1:204" ht="32.1" customHeight="1">
      <c r="A106" s="109"/>
      <c r="B106" s="79" t="str">
        <f>VLOOKUP(878,Sprachindex!$A:$Z,Info!$O$7,FALSE)</f>
        <v>Stk.</v>
      </c>
      <c r="C106" s="78"/>
      <c r="D106" s="79">
        <f>IF($O$24=1,AJ106,IF($O$24=2,AV106,IF($O$24=3,BH106,IF($O$24=4,BT106,0))))</f>
        <v>0</v>
      </c>
      <c r="E106" s="561" t="str">
        <f>VLOOKUP(458,Sprachindex!$A:$Z,Info!$O$7,FALSE)</f>
        <v>Hängerinnen-Dila ohne Wulst und Blende</v>
      </c>
      <c r="F106" s="562"/>
      <c r="G106" s="562"/>
      <c r="H106" s="562"/>
      <c r="I106" s="562"/>
      <c r="J106" s="627" t="str">
        <f>Formeln!A183</f>
        <v/>
      </c>
      <c r="K106" s="628"/>
      <c r="L106" s="79" t="str">
        <f t="shared" si="23"/>
        <v xml:space="preserve"> </v>
      </c>
      <c r="M106" s="440" t="str">
        <f t="shared" si="22"/>
        <v>Stk.</v>
      </c>
      <c r="N106" s="80"/>
      <c r="O106" s="202" t="str">
        <f>IF(ISNUMBER(L106),L106*GV106," ")</f>
        <v xml:space="preserve"> </v>
      </c>
      <c r="R106" s="195"/>
      <c r="S106" s="195"/>
      <c r="T106" s="195"/>
      <c r="U106" s="1"/>
      <c r="V106" s="149" t="e">
        <f t="shared" si="25"/>
        <v>#VALUE!</v>
      </c>
      <c r="W106" s="149">
        <f t="shared" si="24"/>
        <v>0</v>
      </c>
      <c r="X106" s="149" t="str">
        <f>IF($O$24=0,"",IF($O$24=5,"",6))</f>
        <v/>
      </c>
      <c r="Y106" s="149">
        <v>1</v>
      </c>
      <c r="Z106" s="58" t="s">
        <v>2124</v>
      </c>
      <c r="AA106" s="528"/>
      <c r="AB106" s="528"/>
      <c r="AC106" s="528"/>
      <c r="AD106" s="528"/>
      <c r="AE106" s="528"/>
      <c r="AF106" s="528"/>
      <c r="AG106" s="528"/>
      <c r="AH106" s="528"/>
      <c r="AI106" s="528"/>
      <c r="AJ106" s="63">
        <f>IF($O$21=1,AB106,IF($O$21=2,AD106,IF($O$21=3,AC106,IF($O$21=4,AE106,IF($O$21=5,AF106,IF($O$21=6,AA106,IF($O$21=7,AG106,IF($O$21=8,AH106,IF($O$21=9,Z106,IF($O$21=10,AI106,0))))))))))</f>
        <v>0</v>
      </c>
      <c r="AK106" s="63" t="s">
        <v>1531</v>
      </c>
      <c r="AL106" t="s">
        <v>2125</v>
      </c>
      <c r="AV106" s="63">
        <f>IF($O$21=1,AN106,IF($O$21=2,AP106,IF($O$21=3,AO106,IF($O$21=4,AQ106,IF($O$21=5,AR106,IF($O$21=6,AM106,IF($O$21=7,AS106,IF($O$21=8,AT106,IF($O$21=9,AL106,IF($O$21=10,AU106,0))))))))))</f>
        <v>0</v>
      </c>
      <c r="AW106" s="63" t="s">
        <v>1532</v>
      </c>
      <c r="AX106" t="s">
        <v>2126</v>
      </c>
      <c r="BH106" s="63">
        <f>IF($O$21=1,AZ106,IF($O$21=2,BB106,IF($O$21=3,BA106,IF($O$21=4,BC106,IF($O$21=5,BD106,IF($O$21=6,AY106,IF($O$21=7,BE106,IF($O$21=8,BF106,IF($O$21=9,AX106,IF($O$21=10,BG106,0))))))))))</f>
        <v>0</v>
      </c>
      <c r="BI106" s="63" t="s">
        <v>1533</v>
      </c>
      <c r="BJ106" t="s">
        <v>2127</v>
      </c>
      <c r="BT106" s="63">
        <f>IF($O$21=1,BL106,IF($O$21=2,BN106,IF($O$21=3,BM106,IF($O$21=4,BO106,IF($O$21=5,BP106,IF($O$21=6,BK106,IF($O$21=7,BQ106,IF($O$21=8,BR106,IF($O$21=9,BJ106,IF($O$21=10,BS106,0))))))))))</f>
        <v>0</v>
      </c>
      <c r="BU106" s="63" t="s">
        <v>1534</v>
      </c>
      <c r="ES106" s="561" t="str">
        <f>VLOOKUP(458,Sprachindex!$A:$Z,Info!$O$7,FALSE)</f>
        <v>Hängerinnen-Dila ohne Wulst und Blende</v>
      </c>
      <c r="ET106" s="562"/>
      <c r="EU106" s="562"/>
      <c r="EV106" s="562"/>
      <c r="EW106" s="562"/>
      <c r="EX106" s="352"/>
      <c r="EY106" s="326"/>
      <c r="EZ106" s="344"/>
      <c r="FA106" s="343"/>
      <c r="FB106" s="326"/>
      <c r="FC106" s="344"/>
      <c r="FD106" s="343"/>
      <c r="FE106" s="326"/>
      <c r="FF106" s="344"/>
      <c r="FG106" s="343"/>
      <c r="FH106" s="326"/>
      <c r="FI106" s="344"/>
      <c r="FJ106" s="343"/>
      <c r="FK106" s="326"/>
      <c r="FL106" s="344"/>
      <c r="FM106" s="343"/>
      <c r="FN106" s="326"/>
      <c r="FO106" s="344"/>
      <c r="FP106" s="343"/>
      <c r="FQ106" s="326"/>
      <c r="FR106" s="344"/>
      <c r="FS106" s="343"/>
      <c r="FT106" s="326"/>
      <c r="FU106" s="344"/>
      <c r="FV106" s="343"/>
      <c r="FW106" s="326"/>
      <c r="FX106" s="344"/>
      <c r="FY106" s="343"/>
      <c r="FZ106" s="326"/>
      <c r="GA106" s="344"/>
      <c r="GB106" s="343"/>
      <c r="GC106" s="326"/>
      <c r="GD106" s="344"/>
      <c r="GE106" s="343"/>
      <c r="GF106" s="326"/>
      <c r="GG106" s="344"/>
      <c r="GH106" s="343"/>
      <c r="GI106" s="326"/>
      <c r="GJ106" s="344"/>
      <c r="GK106" s="343"/>
      <c r="GL106" s="326"/>
      <c r="GM106" s="344"/>
      <c r="GN106" s="343"/>
      <c r="GO106" s="326"/>
      <c r="GP106" s="353"/>
      <c r="GQ106" s="333">
        <v>21.59</v>
      </c>
      <c r="GR106" s="332">
        <v>24.59</v>
      </c>
      <c r="GS106" s="331">
        <v>29.99</v>
      </c>
      <c r="GT106" s="330">
        <v>36.72</v>
      </c>
      <c r="GV106" s="342" t="str">
        <f>IF($O$24=1,GQ106,IF($O$24=2,GR106,IF($O$24=3,GS106,IF($O$24=4,GT106," "))))</f>
        <v xml:space="preserve"> </v>
      </c>
    </row>
    <row r="107" spans="1:204" ht="32.1" customHeight="1">
      <c r="A107" s="109"/>
      <c r="B107" s="79" t="str">
        <f>VLOOKUP(878,Sprachindex!$A:$Z,Info!$O$7,FALSE)</f>
        <v>Stk.</v>
      </c>
      <c r="C107" s="78"/>
      <c r="D107" s="79">
        <f>IF($O$24=1,AJ107,IF($O$24=3,AV107,IF($O$24=4,BH107,0)))</f>
        <v>0</v>
      </c>
      <c r="E107" s="561" t="str">
        <f>VLOOKUP(518,Sprachindex!$A:$Z,Info!$O$7,FALSE)</f>
        <v>Kastenrinnen-Dila ohne Wulst und Blende</v>
      </c>
      <c r="F107" s="562"/>
      <c r="G107" s="562"/>
      <c r="H107" s="562"/>
      <c r="I107" s="562"/>
      <c r="J107" s="627" t="str">
        <f>Formeln!A189</f>
        <v/>
      </c>
      <c r="K107" s="628"/>
      <c r="L107" s="79" t="str">
        <f t="shared" si="23"/>
        <v xml:space="preserve"> </v>
      </c>
      <c r="M107" s="440" t="str">
        <f t="shared" si="22"/>
        <v>Stk.</v>
      </c>
      <c r="N107" s="80"/>
      <c r="O107" s="202" t="str">
        <f>IF(ISNUMBER(L107),L107*GV107," ")</f>
        <v xml:space="preserve"> </v>
      </c>
      <c r="R107" s="195"/>
      <c r="S107" s="195"/>
      <c r="T107" s="195"/>
      <c r="U107" s="1"/>
      <c r="V107" s="149" t="e">
        <f t="shared" si="25"/>
        <v>#VALUE!</v>
      </c>
      <c r="W107" s="149">
        <f t="shared" si="24"/>
        <v>0</v>
      </c>
      <c r="X107" s="149" t="str">
        <f>IF($O$24=1,6,IF($O$24=2,"",IF($O$24=3,6,IF($O$24=4,6,""))))</f>
        <v/>
      </c>
      <c r="Y107" s="149">
        <v>1</v>
      </c>
      <c r="Z107" s="58" t="s">
        <v>2128</v>
      </c>
      <c r="AA107" s="528"/>
      <c r="AB107" s="528"/>
      <c r="AC107" s="528"/>
      <c r="AD107" s="528"/>
      <c r="AE107" s="528"/>
      <c r="AF107" s="528"/>
      <c r="AG107" s="528"/>
      <c r="AH107" s="528"/>
      <c r="AI107" s="528"/>
      <c r="AJ107" s="63">
        <f>IF($O$21=1,AB107,IF($O$21=2,AD107,IF($O$21=3,AC107,IF($O$21=4,AE107,IF($O$21=5,AF107,IF($O$21=6,AA107,IF($O$21=7,AG107,IF($O$21=8,AH107,IF($O$21=9,Z107,IF($O$21=10,AI107,0))))))))))</f>
        <v>0</v>
      </c>
      <c r="AK107" s="63" t="s">
        <v>1531</v>
      </c>
      <c r="AL107" t="s">
        <v>2129</v>
      </c>
      <c r="AV107" s="63">
        <f>IF($O$21=1,AN107,IF($O$21=2,AP107,IF($O$21=3,AO107,IF($O$21=4,AQ107,IF($O$21=5,AR107,IF($O$21=6,AM107,IF($O$21=7,AS107,IF($O$21=8,AT107,IF($O$21=9,AL107,IF($O$21=10,AU107,0))))))))))</f>
        <v>0</v>
      </c>
      <c r="AW107" s="63" t="s">
        <v>1533</v>
      </c>
      <c r="AX107" t="s">
        <v>2130</v>
      </c>
      <c r="BH107" s="63">
        <f>IF($O$21=1,AZ107,IF($O$21=2,BB107,IF($O$21=3,BA107,IF($O$21=4,BC107,IF($O$21=5,BD107,IF($O$21=6,AY107,IF($O$21=7,BE107,IF($O$21=8,BF107,IF($O$21=9,AX107,IF($O$21=10,BG107,0))))))))))</f>
        <v>0</v>
      </c>
      <c r="BI107" s="63" t="s">
        <v>1534</v>
      </c>
      <c r="ES107" s="561" t="str">
        <f>VLOOKUP(518,Sprachindex!$A:$Z,Info!$O$7,FALSE)</f>
        <v>Kastenrinnen-Dila ohne Wulst und Blende</v>
      </c>
      <c r="ET107" s="562"/>
      <c r="EU107" s="562"/>
      <c r="EV107" s="562"/>
      <c r="EW107" s="562"/>
      <c r="EX107" s="352"/>
      <c r="EY107" s="326"/>
      <c r="EZ107" s="344"/>
      <c r="FA107" s="343"/>
      <c r="FB107" s="326"/>
      <c r="FC107" s="344"/>
      <c r="FD107" s="343"/>
      <c r="FE107" s="326"/>
      <c r="FF107" s="344"/>
      <c r="FG107" s="343"/>
      <c r="FH107" s="326"/>
      <c r="FI107" s="344"/>
      <c r="FJ107" s="343"/>
      <c r="FK107" s="326"/>
      <c r="FL107" s="344"/>
      <c r="FM107" s="343"/>
      <c r="FN107" s="326"/>
      <c r="FO107" s="344"/>
      <c r="FP107" s="343"/>
      <c r="FQ107" s="326"/>
      <c r="FR107" s="344"/>
      <c r="FS107" s="343"/>
      <c r="FT107" s="326"/>
      <c r="FU107" s="344"/>
      <c r="FV107" s="343"/>
      <c r="FW107" s="326"/>
      <c r="FX107" s="344"/>
      <c r="FY107" s="343"/>
      <c r="FZ107" s="326"/>
      <c r="GA107" s="344"/>
      <c r="GB107" s="343"/>
      <c r="GC107" s="326"/>
      <c r="GD107" s="344"/>
      <c r="GE107" s="343"/>
      <c r="GF107" s="326"/>
      <c r="GG107" s="344"/>
      <c r="GH107" s="343"/>
      <c r="GI107" s="326"/>
      <c r="GJ107" s="344"/>
      <c r="GK107" s="343"/>
      <c r="GL107" s="326"/>
      <c r="GM107" s="344"/>
      <c r="GN107" s="343"/>
      <c r="GO107" s="326"/>
      <c r="GP107" s="353"/>
      <c r="GQ107" s="333">
        <v>21.59</v>
      </c>
      <c r="GS107" s="331">
        <v>29.99</v>
      </c>
      <c r="GT107" s="330">
        <v>36.72</v>
      </c>
      <c r="GV107" s="342" t="str">
        <f>IF($O$24=1,GQ107,IF($O$24=3,GS107,IF($O$24=4,GT107," ")))</f>
        <v xml:space="preserve"> </v>
      </c>
    </row>
    <row r="108" spans="1:204" ht="32.1" customHeight="1">
      <c r="A108" s="109"/>
      <c r="B108" s="79" t="str">
        <f>VLOOKUP(878,Sprachindex!$A:$Z,Info!$O$7,FALSE)</f>
        <v>Stk.</v>
      </c>
      <c r="C108" s="78"/>
      <c r="D108" s="78">
        <f>AJ108</f>
        <v>0</v>
      </c>
      <c r="E108" s="561" t="str">
        <f>VLOOKUP(1877,Sprachindex!$A:$Z,Info!$O$7,FALSE)</f>
        <v>Ausbesserungslack</v>
      </c>
      <c r="F108" s="562"/>
      <c r="G108" s="562"/>
      <c r="H108" s="562"/>
      <c r="I108" s="562"/>
      <c r="J108" s="627" t="str">
        <f>VLOOKUP(1878,Sprachindex!$A:$Z,Info!$O$7,FALSE)</f>
        <v>12 ml</v>
      </c>
      <c r="K108" s="628"/>
      <c r="L108" s="79" t="str">
        <f t="shared" si="23"/>
        <v xml:space="preserve"> </v>
      </c>
      <c r="M108" s="440" t="str">
        <f t="shared" si="22"/>
        <v>Stk.</v>
      </c>
      <c r="N108" s="80"/>
      <c r="O108" s="202" t="str">
        <f t="shared" ref="O108:O115" si="26">IF(ISNUMBER(A108),L108*GV108," ")</f>
        <v xml:space="preserve"> </v>
      </c>
      <c r="R108" s="195"/>
      <c r="S108" s="195"/>
      <c r="T108" s="195"/>
      <c r="U108" s="1"/>
      <c r="V108" s="149">
        <f t="shared" si="25"/>
        <v>0</v>
      </c>
      <c r="W108" s="149">
        <f t="shared" si="24"/>
        <v>0</v>
      </c>
      <c r="X108" s="149">
        <v>1</v>
      </c>
      <c r="Y108" s="149">
        <v>1</v>
      </c>
      <c r="Z108" s="58"/>
      <c r="AA108" s="58" t="s">
        <v>1538</v>
      </c>
      <c r="AB108" s="58" t="s">
        <v>1535</v>
      </c>
      <c r="AC108" s="58"/>
      <c r="AD108" s="58">
        <v>430150</v>
      </c>
      <c r="AE108" s="58" t="s">
        <v>2131</v>
      </c>
      <c r="AF108" s="58" t="s">
        <v>2132</v>
      </c>
      <c r="AG108" s="58"/>
      <c r="AH108" s="58"/>
      <c r="AI108" s="58"/>
      <c r="AJ108" s="61">
        <f>IF($O$21=1,AB108,IF($O$21=2,AD108,IF($O$21=3,AC108,IF($O$21=4,AE108,IF($O$21=5,AF108,IF($O$21=6,AA108,IF($O$21=7,AG108,IF($O$21=8,AH108,IF($O$21=9,Z108,0)))))))))</f>
        <v>0</v>
      </c>
      <c r="AK108" s="63"/>
      <c r="AL108"/>
      <c r="AV108" s="61"/>
      <c r="AW108" s="63"/>
      <c r="AX108"/>
      <c r="BH108" s="61"/>
      <c r="BI108" s="63"/>
      <c r="ES108" s="561" t="str">
        <f>VLOOKUP(1877,Sprachindex!$A:$Z,Info!$O$7,FALSE)</f>
        <v>Ausbesserungslack</v>
      </c>
      <c r="ET108" s="562"/>
      <c r="EU108" s="562"/>
      <c r="EV108" s="562"/>
      <c r="EW108" s="562"/>
      <c r="EX108" s="352"/>
      <c r="EY108" s="326"/>
      <c r="EZ108" s="344"/>
      <c r="FA108" s="343"/>
      <c r="FB108" s="326"/>
      <c r="FC108" s="344"/>
      <c r="FD108" s="343"/>
      <c r="FE108" s="326"/>
      <c r="FF108" s="344"/>
      <c r="FG108" s="343"/>
      <c r="FH108" s="326"/>
      <c r="FI108" s="344"/>
      <c r="FJ108" s="343"/>
      <c r="FK108" s="326"/>
      <c r="FL108" s="344"/>
      <c r="FM108" s="343"/>
      <c r="FN108" s="326"/>
      <c r="FO108" s="344"/>
      <c r="FP108" s="343"/>
      <c r="FQ108" s="326"/>
      <c r="FR108" s="344"/>
      <c r="FS108" s="343"/>
      <c r="FT108" s="326"/>
      <c r="FU108" s="344"/>
      <c r="FV108" s="343"/>
      <c r="FW108" s="326"/>
      <c r="FX108" s="344"/>
      <c r="FY108" s="343"/>
      <c r="FZ108" s="326"/>
      <c r="GA108" s="344"/>
      <c r="GB108" s="343"/>
      <c r="GC108" s="326"/>
      <c r="GD108" s="344"/>
      <c r="GE108" s="343"/>
      <c r="GF108" s="326"/>
      <c r="GG108" s="344"/>
      <c r="GH108" s="343"/>
      <c r="GI108" s="326"/>
      <c r="GJ108" s="344"/>
      <c r="GK108" s="343"/>
      <c r="GL108" s="326"/>
      <c r="GM108" s="344"/>
      <c r="GN108" s="343"/>
      <c r="GO108" s="326"/>
      <c r="GP108" s="353"/>
      <c r="GQ108" s="128"/>
      <c r="GV108" s="334">
        <v>6.01</v>
      </c>
    </row>
    <row r="109" spans="1:204" ht="32.1" customHeight="1">
      <c r="A109" s="109"/>
      <c r="B109" s="79" t="str">
        <f>VLOOKUP(878,Sprachindex!$A:$Z,Info!$O$7,FALSE)</f>
        <v>Stk.</v>
      </c>
      <c r="C109" s="78"/>
      <c r="D109" s="78">
        <f>AJ109</f>
        <v>0</v>
      </c>
      <c r="E109" s="561" t="str">
        <f>VLOOKUP(1879,Sprachindex!$A:$Z,Info!$O$7,FALSE)</f>
        <v>Ausbesserungsstift</v>
      </c>
      <c r="F109" s="562"/>
      <c r="G109" s="562"/>
      <c r="H109" s="562"/>
      <c r="I109" s="562"/>
      <c r="J109" s="627" t="str">
        <f>VLOOKUP(1880,Sprachindex!$A:$Z,Info!$O$7,FALSE)</f>
        <v>11 ml</v>
      </c>
      <c r="K109" s="628"/>
      <c r="L109" s="79" t="str">
        <f t="shared" si="23"/>
        <v xml:space="preserve"> </v>
      </c>
      <c r="M109" s="440" t="str">
        <f t="shared" si="22"/>
        <v>Stk.</v>
      </c>
      <c r="N109" s="80"/>
      <c r="O109" s="202" t="str">
        <f t="shared" si="26"/>
        <v xml:space="preserve"> </v>
      </c>
      <c r="R109" s="195"/>
      <c r="S109" s="195"/>
      <c r="T109" s="195"/>
      <c r="U109" s="1"/>
      <c r="V109" s="149">
        <f t="shared" si="25"/>
        <v>0</v>
      </c>
      <c r="W109" s="149">
        <f t="shared" si="24"/>
        <v>0</v>
      </c>
      <c r="X109" s="149">
        <v>1</v>
      </c>
      <c r="Y109" s="149">
        <v>1</v>
      </c>
      <c r="Z109" s="58"/>
      <c r="AA109" s="58" t="s">
        <v>1544</v>
      </c>
      <c r="AB109" s="58" t="s">
        <v>1541</v>
      </c>
      <c r="AC109" s="58"/>
      <c r="AD109" s="58" t="s">
        <v>1542</v>
      </c>
      <c r="AE109" s="58" t="s">
        <v>2133</v>
      </c>
      <c r="AF109" s="58"/>
      <c r="AG109" s="58"/>
      <c r="AH109" s="58">
        <v>430210</v>
      </c>
      <c r="AI109" s="58"/>
      <c r="AJ109" s="61">
        <f>IF($O$21=1,AB109,IF($O$21=2,AD109,IF($O$21=3,AC109,IF($O$21=4,AE109,IF($O$21=5,AF109,IF($O$21=6,AA109,IF($O$21=7,AG109,IF($O$21=8,AH109,IF($O$21=9,Z109,0)))))))))</f>
        <v>0</v>
      </c>
      <c r="AK109" s="63"/>
      <c r="AL109"/>
      <c r="AV109" s="61"/>
      <c r="AW109" s="63"/>
      <c r="AX109"/>
      <c r="BH109" s="61"/>
      <c r="BI109" s="63"/>
      <c r="ES109" s="561" t="str">
        <f>VLOOKUP(1879,Sprachindex!$A:$Z,Info!$O$7,FALSE)</f>
        <v>Ausbesserungsstift</v>
      </c>
      <c r="ET109" s="562"/>
      <c r="EU109" s="562"/>
      <c r="EV109" s="562"/>
      <c r="EW109" s="562"/>
      <c r="EX109" s="352"/>
      <c r="EY109" s="326"/>
      <c r="EZ109" s="344"/>
      <c r="FA109" s="343"/>
      <c r="FB109" s="326"/>
      <c r="FC109" s="344"/>
      <c r="FD109" s="343"/>
      <c r="FE109" s="326"/>
      <c r="FF109" s="344"/>
      <c r="FG109" s="343"/>
      <c r="FH109" s="326"/>
      <c r="FI109" s="344"/>
      <c r="FJ109" s="343"/>
      <c r="FK109" s="326"/>
      <c r="FL109" s="344"/>
      <c r="FM109" s="343"/>
      <c r="FN109" s="326"/>
      <c r="FO109" s="344"/>
      <c r="FP109" s="343"/>
      <c r="FQ109" s="326"/>
      <c r="FR109" s="344"/>
      <c r="FS109" s="343"/>
      <c r="FT109" s="326"/>
      <c r="FU109" s="344"/>
      <c r="FV109" s="343"/>
      <c r="FW109" s="326"/>
      <c r="FX109" s="344"/>
      <c r="FY109" s="343"/>
      <c r="FZ109" s="326"/>
      <c r="GA109" s="344"/>
      <c r="GB109" s="343"/>
      <c r="GC109" s="326"/>
      <c r="GD109" s="344"/>
      <c r="GE109" s="343"/>
      <c r="GF109" s="326"/>
      <c r="GG109" s="344"/>
      <c r="GH109" s="343"/>
      <c r="GI109" s="326"/>
      <c r="GJ109" s="344"/>
      <c r="GK109" s="343"/>
      <c r="GL109" s="326"/>
      <c r="GM109" s="344"/>
      <c r="GN109" s="343"/>
      <c r="GO109" s="326"/>
      <c r="GP109" s="353"/>
      <c r="GQ109" s="128"/>
      <c r="GV109" s="334">
        <v>14.32</v>
      </c>
    </row>
    <row r="110" spans="1:204" ht="32.1" customHeight="1">
      <c r="A110" s="109"/>
      <c r="B110" s="79" t="str">
        <f>VLOOKUP(878,Sprachindex!$A:$Z,Info!$O$7,FALSE)</f>
        <v>Stk.</v>
      </c>
      <c r="C110" s="78"/>
      <c r="D110" s="78">
        <v>425002</v>
      </c>
      <c r="E110" s="561" t="str">
        <f>VLOOKUP(167,Sprachindex!$A:$Z,Info!$O$7,FALSE)</f>
        <v>Aluminiumlötstäbe</v>
      </c>
      <c r="F110" s="562"/>
      <c r="G110" s="562"/>
      <c r="H110" s="562"/>
      <c r="I110" s="562"/>
      <c r="J110" s="627" t="str">
        <f>VLOOKUP(75,Sprachindex!$A:$Z,Info!$O$7,FALSE)</f>
        <v>250 g</v>
      </c>
      <c r="K110" s="628"/>
      <c r="L110" s="79" t="str">
        <f t="shared" si="23"/>
        <v xml:space="preserve"> </v>
      </c>
      <c r="M110" s="440" t="str">
        <f t="shared" si="22"/>
        <v>Stk.</v>
      </c>
      <c r="N110" s="80"/>
      <c r="O110" s="202" t="str">
        <f t="shared" si="26"/>
        <v xml:space="preserve"> </v>
      </c>
      <c r="R110" s="195"/>
      <c r="S110" s="195"/>
      <c r="T110" s="195"/>
      <c r="U110" s="1"/>
      <c r="V110" s="149">
        <f t="shared" si="25"/>
        <v>0</v>
      </c>
      <c r="W110" s="149">
        <f t="shared" si="24"/>
        <v>0</v>
      </c>
      <c r="X110" s="149">
        <v>1</v>
      </c>
      <c r="Y110" s="149">
        <v>1</v>
      </c>
      <c r="ES110" s="561" t="str">
        <f>VLOOKUP(167,Sprachindex!$A:$Z,Info!$O$7,FALSE)</f>
        <v>Aluminiumlötstäbe</v>
      </c>
      <c r="ET110" s="562"/>
      <c r="EU110" s="562"/>
      <c r="EV110" s="562"/>
      <c r="EW110" s="562"/>
      <c r="EX110" s="352"/>
      <c r="EY110" s="326"/>
      <c r="EZ110" s="344"/>
      <c r="FA110" s="343"/>
      <c r="FB110" s="326"/>
      <c r="FC110" s="344"/>
      <c r="FD110" s="343"/>
      <c r="FE110" s="326"/>
      <c r="FF110" s="344"/>
      <c r="FG110" s="343"/>
      <c r="FH110" s="326"/>
      <c r="FI110" s="344"/>
      <c r="FJ110" s="343"/>
      <c r="FK110" s="326"/>
      <c r="FL110" s="344"/>
      <c r="FM110" s="343"/>
      <c r="FN110" s="326"/>
      <c r="FO110" s="344"/>
      <c r="FP110" s="343"/>
      <c r="FQ110" s="326"/>
      <c r="FR110" s="344"/>
      <c r="FS110" s="343"/>
      <c r="FT110" s="326"/>
      <c r="FU110" s="344"/>
      <c r="FV110" s="343"/>
      <c r="FW110" s="326"/>
      <c r="FX110" s="344"/>
      <c r="FY110" s="343"/>
      <c r="FZ110" s="326"/>
      <c r="GA110" s="344"/>
      <c r="GB110" s="343"/>
      <c r="GC110" s="326"/>
      <c r="GD110" s="344"/>
      <c r="GE110" s="343"/>
      <c r="GF110" s="326"/>
      <c r="GG110" s="344"/>
      <c r="GH110" s="343"/>
      <c r="GI110" s="326"/>
      <c r="GJ110" s="344"/>
      <c r="GK110" s="343"/>
      <c r="GL110" s="326"/>
      <c r="GM110" s="344"/>
      <c r="GN110" s="343"/>
      <c r="GO110" s="326"/>
      <c r="GP110" s="353"/>
      <c r="GQ110" s="128"/>
      <c r="GV110" s="334">
        <v>145.6</v>
      </c>
    </row>
    <row r="111" spans="1:204" ht="32.1" customHeight="1">
      <c r="A111" s="109"/>
      <c r="B111" s="79" t="str">
        <f>VLOOKUP(878,Sprachindex!$A:$Z,Info!$O$7,FALSE)</f>
        <v>Stk.</v>
      </c>
      <c r="C111" s="78"/>
      <c r="D111" s="78">
        <v>420006</v>
      </c>
      <c r="E111" s="561" t="str">
        <f>VLOOKUP(838,Sprachindex!$A:$Z,Info!$O$7,FALSE)</f>
        <v>Spezialsilikon</v>
      </c>
      <c r="F111" s="562"/>
      <c r="G111" s="562"/>
      <c r="H111" s="562"/>
      <c r="I111" s="562"/>
      <c r="J111" s="627" t="str">
        <f>VLOOKUP(86,Sprachindex!$A:$Z,Info!$O$7,FALSE)</f>
        <v>300 ml</v>
      </c>
      <c r="K111" s="628"/>
      <c r="L111" s="79" t="str">
        <f t="shared" si="23"/>
        <v xml:space="preserve"> </v>
      </c>
      <c r="M111" s="440" t="str">
        <f t="shared" si="22"/>
        <v>Stk.</v>
      </c>
      <c r="N111" s="80"/>
      <c r="O111" s="202" t="str">
        <f t="shared" si="26"/>
        <v xml:space="preserve"> </v>
      </c>
      <c r="R111" s="195"/>
      <c r="S111" s="195"/>
      <c r="T111" s="195"/>
      <c r="U111" s="1"/>
      <c r="V111" s="149">
        <f t="shared" si="25"/>
        <v>0</v>
      </c>
      <c r="W111" s="149">
        <f t="shared" si="24"/>
        <v>0</v>
      </c>
      <c r="X111" s="149">
        <v>1</v>
      </c>
      <c r="Y111" s="149">
        <v>1</v>
      </c>
      <c r="ES111" s="561" t="str">
        <f>VLOOKUP(838,Sprachindex!$A:$Z,Info!$O$7,FALSE)</f>
        <v>Spezialsilikon</v>
      </c>
      <c r="ET111" s="562"/>
      <c r="EU111" s="562"/>
      <c r="EV111" s="562"/>
      <c r="EW111" s="562"/>
      <c r="EX111" s="352"/>
      <c r="EY111" s="326"/>
      <c r="EZ111" s="344"/>
      <c r="FA111" s="343"/>
      <c r="FB111" s="326"/>
      <c r="FC111" s="344"/>
      <c r="FD111" s="343"/>
      <c r="FE111" s="326"/>
      <c r="FF111" s="344"/>
      <c r="FG111" s="343"/>
      <c r="FH111" s="326"/>
      <c r="FI111" s="344"/>
      <c r="FJ111" s="343"/>
      <c r="FK111" s="326"/>
      <c r="FL111" s="344"/>
      <c r="FM111" s="343"/>
      <c r="FN111" s="326"/>
      <c r="FO111" s="344"/>
      <c r="FP111" s="343"/>
      <c r="FQ111" s="326"/>
      <c r="FR111" s="344"/>
      <c r="FS111" s="343"/>
      <c r="FT111" s="326"/>
      <c r="FU111" s="344"/>
      <c r="FV111" s="343"/>
      <c r="FW111" s="326"/>
      <c r="FX111" s="344"/>
      <c r="FY111" s="343"/>
      <c r="FZ111" s="326"/>
      <c r="GA111" s="344"/>
      <c r="GB111" s="343"/>
      <c r="GC111" s="326"/>
      <c r="GD111" s="344"/>
      <c r="GE111" s="343"/>
      <c r="GF111" s="326"/>
      <c r="GG111" s="344"/>
      <c r="GH111" s="343"/>
      <c r="GI111" s="326"/>
      <c r="GJ111" s="344"/>
      <c r="GK111" s="343"/>
      <c r="GL111" s="326"/>
      <c r="GM111" s="344"/>
      <c r="GN111" s="343"/>
      <c r="GO111" s="326"/>
      <c r="GP111" s="353"/>
      <c r="GQ111" s="128"/>
      <c r="GV111" s="334">
        <v>10.11</v>
      </c>
    </row>
    <row r="112" spans="1:204" ht="32.1" customHeight="1">
      <c r="A112" s="109"/>
      <c r="B112" s="79" t="str">
        <f>VLOOKUP(878,Sprachindex!$A:$Z,Info!$O$7,FALSE)</f>
        <v>Stk.</v>
      </c>
      <c r="C112" s="78"/>
      <c r="D112" s="78">
        <v>420501</v>
      </c>
      <c r="E112" s="561" t="str">
        <f>VLOOKUP(851,Sprachindex!$A:$Z,Info!$O$7,FALSE)</f>
        <v>Spezialkleber</v>
      </c>
      <c r="F112" s="562"/>
      <c r="G112" s="562"/>
      <c r="H112" s="562"/>
      <c r="I112" s="562"/>
      <c r="J112" s="627"/>
      <c r="K112" s="628"/>
      <c r="L112" s="79" t="str">
        <f t="shared" si="23"/>
        <v xml:space="preserve"> </v>
      </c>
      <c r="M112" s="440" t="str">
        <f t="shared" si="22"/>
        <v>Stk.</v>
      </c>
      <c r="N112" s="80"/>
      <c r="O112" s="202" t="str">
        <f t="shared" si="26"/>
        <v xml:space="preserve"> </v>
      </c>
      <c r="R112" s="195"/>
      <c r="S112" s="195"/>
      <c r="T112" s="195"/>
      <c r="U112" s="135"/>
      <c r="V112" s="149">
        <f t="shared" si="25"/>
        <v>0</v>
      </c>
      <c r="W112" s="149">
        <f>ROUNDUP($A112,0)</f>
        <v>0</v>
      </c>
      <c r="X112" s="149">
        <v>24</v>
      </c>
      <c r="Y112" s="149">
        <v>1</v>
      </c>
      <c r="ES112" s="561" t="str">
        <f>VLOOKUP(851,Sprachindex!$A:$Z,Info!$O$7,FALSE)</f>
        <v>Spezialkleber</v>
      </c>
      <c r="ET112" s="562"/>
      <c r="EU112" s="562"/>
      <c r="EV112" s="562"/>
      <c r="EW112" s="562"/>
      <c r="EX112" s="352"/>
      <c r="EY112" s="326"/>
      <c r="EZ112" s="344"/>
      <c r="FA112" s="343"/>
      <c r="FB112" s="326"/>
      <c r="FC112" s="344"/>
      <c r="FD112" s="343"/>
      <c r="FE112" s="326"/>
      <c r="FF112" s="344"/>
      <c r="FG112" s="343"/>
      <c r="FH112" s="326"/>
      <c r="FI112" s="344"/>
      <c r="FJ112" s="343"/>
      <c r="FK112" s="326"/>
      <c r="FL112" s="344"/>
      <c r="FM112" s="343"/>
      <c r="FN112" s="326"/>
      <c r="FO112" s="344"/>
      <c r="FP112" s="343"/>
      <c r="FQ112" s="326"/>
      <c r="FR112" s="344"/>
      <c r="FS112" s="343"/>
      <c r="FT112" s="326"/>
      <c r="FU112" s="344"/>
      <c r="FV112" s="343"/>
      <c r="FW112" s="326"/>
      <c r="FX112" s="344"/>
      <c r="FY112" s="343"/>
      <c r="FZ112" s="326"/>
      <c r="GA112" s="344"/>
      <c r="GB112" s="343"/>
      <c r="GC112" s="326"/>
      <c r="GD112" s="344"/>
      <c r="GE112" s="343"/>
      <c r="GF112" s="326"/>
      <c r="GG112" s="344"/>
      <c r="GH112" s="343"/>
      <c r="GI112" s="326"/>
      <c r="GJ112" s="344"/>
      <c r="GK112" s="343"/>
      <c r="GL112" s="326"/>
      <c r="GM112" s="344"/>
      <c r="GN112" s="343"/>
      <c r="GO112" s="326"/>
      <c r="GP112" s="353"/>
      <c r="GQ112" s="128"/>
      <c r="GV112" s="334">
        <v>39.130000000000003</v>
      </c>
    </row>
    <row r="113" spans="1:204" ht="32.1" customHeight="1">
      <c r="A113" s="109"/>
      <c r="B113" s="79" t="str">
        <f>VLOOKUP(821,Sprachindex!$A:$Z,Info!$O$7,FALSE)</f>
        <v>Set</v>
      </c>
      <c r="C113" s="81"/>
      <c r="D113" s="78">
        <v>420500</v>
      </c>
      <c r="E113" s="561" t="str">
        <f>VLOOKUP(852,Sprachindex!$A:$Z,Info!$O$7,FALSE)</f>
        <v>Spezialkleberset</v>
      </c>
      <c r="F113" s="562"/>
      <c r="G113" s="562"/>
      <c r="H113" s="562"/>
      <c r="I113" s="562"/>
      <c r="J113" s="627"/>
      <c r="K113" s="628"/>
      <c r="L113" s="79" t="str">
        <f t="shared" si="23"/>
        <v xml:space="preserve"> </v>
      </c>
      <c r="M113" s="440" t="str">
        <f t="shared" si="22"/>
        <v>Set</v>
      </c>
      <c r="N113" s="80"/>
      <c r="O113" s="202" t="str">
        <f t="shared" si="26"/>
        <v xml:space="preserve"> </v>
      </c>
      <c r="R113" s="195"/>
      <c r="S113" s="195"/>
      <c r="T113" s="195"/>
      <c r="U113" s="135"/>
      <c r="V113" s="149">
        <f>ROUNDUP($A113,0)</f>
        <v>0</v>
      </c>
      <c r="W113" s="149">
        <f>ROUNDUP($A113,0)</f>
        <v>0</v>
      </c>
      <c r="X113" s="149">
        <v>1</v>
      </c>
      <c r="Y113" s="149">
        <v>1</v>
      </c>
      <c r="Z113" s="47" t="s">
        <v>33</v>
      </c>
      <c r="AA113" s="47" t="s">
        <v>34</v>
      </c>
      <c r="AB113" s="47" t="s">
        <v>35</v>
      </c>
      <c r="AC113" s="47" t="s">
        <v>36</v>
      </c>
      <c r="AD113" s="47" t="s">
        <v>37</v>
      </c>
      <c r="AE113" s="47" t="s">
        <v>39</v>
      </c>
      <c r="AF113" s="47" t="s">
        <v>40</v>
      </c>
      <c r="AG113" s="47" t="s">
        <v>41</v>
      </c>
      <c r="AH113" s="47" t="s">
        <v>42</v>
      </c>
      <c r="AI113" s="47"/>
      <c r="AJ113" s="47" t="s">
        <v>35</v>
      </c>
      <c r="AK113" s="47" t="s">
        <v>36</v>
      </c>
      <c r="AL113" s="47" t="s">
        <v>37</v>
      </c>
      <c r="AM113" s="47" t="s">
        <v>38</v>
      </c>
      <c r="AN113" s="47" t="s">
        <v>39</v>
      </c>
      <c r="AO113" s="47" t="s">
        <v>40</v>
      </c>
      <c r="AP113" s="47" t="s">
        <v>41</v>
      </c>
      <c r="ES113" s="561" t="str">
        <f>VLOOKUP(852,Sprachindex!$A:$Z,Info!$O$7,FALSE)</f>
        <v>Spezialkleberset</v>
      </c>
      <c r="ET113" s="562"/>
      <c r="EU113" s="562"/>
      <c r="EV113" s="562"/>
      <c r="EW113" s="562"/>
      <c r="EX113" s="352"/>
      <c r="EY113" s="326"/>
      <c r="EZ113" s="344"/>
      <c r="FA113" s="343"/>
      <c r="FB113" s="326"/>
      <c r="FC113" s="344"/>
      <c r="FD113" s="343"/>
      <c r="FE113" s="326"/>
      <c r="FF113" s="344"/>
      <c r="FG113" s="343"/>
      <c r="FH113" s="326"/>
      <c r="FI113" s="344"/>
      <c r="FJ113" s="343"/>
      <c r="FK113" s="326"/>
      <c r="FL113" s="344"/>
      <c r="FM113" s="343"/>
      <c r="FN113" s="326"/>
      <c r="FO113" s="344"/>
      <c r="FP113" s="343"/>
      <c r="FQ113" s="326"/>
      <c r="FR113" s="344"/>
      <c r="FS113" s="343"/>
      <c r="FT113" s="326"/>
      <c r="FU113" s="344"/>
      <c r="FV113" s="343"/>
      <c r="FW113" s="326"/>
      <c r="FX113" s="344"/>
      <c r="FY113" s="343"/>
      <c r="FZ113" s="326"/>
      <c r="GA113" s="344"/>
      <c r="GB113" s="343"/>
      <c r="GC113" s="326"/>
      <c r="GD113" s="344"/>
      <c r="GE113" s="343"/>
      <c r="GF113" s="326"/>
      <c r="GG113" s="344"/>
      <c r="GH113" s="343"/>
      <c r="GI113" s="326"/>
      <c r="GJ113" s="344"/>
      <c r="GK113" s="343"/>
      <c r="GL113" s="326"/>
      <c r="GM113" s="344"/>
      <c r="GN113" s="343"/>
      <c r="GO113" s="326"/>
      <c r="GP113" s="353"/>
      <c r="GQ113" s="128"/>
      <c r="GV113" s="334">
        <v>53.57</v>
      </c>
    </row>
    <row r="114" spans="1:204" ht="32.1" customHeight="1">
      <c r="A114" s="109"/>
      <c r="B114" s="79" t="str">
        <f>VLOOKUP(878,Sprachindex!$A:$Z,Info!$O$7,FALSE)</f>
        <v>Stk.</v>
      </c>
      <c r="C114" s="78"/>
      <c r="D114" s="78">
        <v>420028</v>
      </c>
      <c r="E114" s="561" t="str">
        <f>VLOOKUP(723,Sprachindex!$A:$Z,Info!$O$7,FALSE)</f>
        <v>Rinnenwulstöffner</v>
      </c>
      <c r="F114" s="562"/>
      <c r="G114" s="562"/>
      <c r="H114" s="562"/>
      <c r="I114" s="562"/>
      <c r="J114" s="627"/>
      <c r="K114" s="628"/>
      <c r="L114" s="79" t="str">
        <f t="shared" si="23"/>
        <v xml:space="preserve"> </v>
      </c>
      <c r="M114" s="440" t="str">
        <f t="shared" si="22"/>
        <v>Stk.</v>
      </c>
      <c r="N114" s="80"/>
      <c r="O114" s="202" t="str">
        <f t="shared" si="26"/>
        <v xml:space="preserve"> </v>
      </c>
      <c r="R114" s="195"/>
      <c r="S114" s="195"/>
      <c r="T114" s="195"/>
      <c r="U114" s="1"/>
      <c r="V114" s="149">
        <f>ROUNDUP($A114/X114,0)*X114</f>
        <v>0</v>
      </c>
      <c r="W114" s="149">
        <f>ROUNDUP($A114/Y114,0)*Y114</f>
        <v>0</v>
      </c>
      <c r="X114" s="149">
        <v>1</v>
      </c>
      <c r="Y114" s="149">
        <v>1</v>
      </c>
      <c r="Z114" s="123"/>
      <c r="AA114" s="123"/>
      <c r="AB114" s="123"/>
      <c r="AC114" s="123"/>
      <c r="AD114" s="123"/>
      <c r="AE114" s="123"/>
      <c r="AF114" s="123"/>
      <c r="AG114" s="123"/>
      <c r="AH114" s="123"/>
      <c r="AI114" s="123"/>
      <c r="AJ114" s="123"/>
      <c r="AK114" s="123"/>
      <c r="AL114" s="123"/>
      <c r="AM114" s="123"/>
      <c r="AN114" s="123"/>
      <c r="ES114" s="561" t="str">
        <f>VLOOKUP(723,Sprachindex!$A:$Z,Info!$O$7,FALSE)</f>
        <v>Rinnenwulstöffner</v>
      </c>
      <c r="ET114" s="562"/>
      <c r="EU114" s="562"/>
      <c r="EV114" s="562"/>
      <c r="EW114" s="562"/>
      <c r="EX114" s="352"/>
      <c r="EY114" s="326"/>
      <c r="EZ114" s="344"/>
      <c r="FA114" s="343"/>
      <c r="FB114" s="326"/>
      <c r="FC114" s="344"/>
      <c r="FD114" s="343"/>
      <c r="FE114" s="326"/>
      <c r="FF114" s="344"/>
      <c r="FG114" s="343"/>
      <c r="FH114" s="326"/>
      <c r="FI114" s="344"/>
      <c r="FJ114" s="343"/>
      <c r="FK114" s="326"/>
      <c r="FL114" s="344"/>
      <c r="FM114" s="343"/>
      <c r="FN114" s="326"/>
      <c r="FO114" s="344"/>
      <c r="FP114" s="343"/>
      <c r="FQ114" s="326"/>
      <c r="FR114" s="344"/>
      <c r="FS114" s="343"/>
      <c r="FT114" s="326"/>
      <c r="FU114" s="344"/>
      <c r="FV114" s="343"/>
      <c r="FW114" s="326"/>
      <c r="FX114" s="344"/>
      <c r="FY114" s="343"/>
      <c r="FZ114" s="326"/>
      <c r="GA114" s="344"/>
      <c r="GB114" s="343"/>
      <c r="GC114" s="326"/>
      <c r="GD114" s="344"/>
      <c r="GE114" s="343"/>
      <c r="GF114" s="326"/>
      <c r="GG114" s="344"/>
      <c r="GH114" s="343"/>
      <c r="GI114" s="326"/>
      <c r="GJ114" s="344"/>
      <c r="GK114" s="343"/>
      <c r="GL114" s="326"/>
      <c r="GM114" s="344"/>
      <c r="GN114" s="343"/>
      <c r="GO114" s="326"/>
      <c r="GP114" s="353"/>
      <c r="GQ114" s="128"/>
      <c r="GV114" s="334">
        <v>72.28</v>
      </c>
    </row>
    <row r="115" spans="1:204" ht="32.1" customHeight="1" thickBot="1">
      <c r="A115" s="109"/>
      <c r="B115" s="79" t="str">
        <f>VLOOKUP(878,Sprachindex!$A:$Z,Info!$O$7,FALSE)</f>
        <v>Stk.</v>
      </c>
      <c r="C115" s="78"/>
      <c r="D115" s="78">
        <v>420546</v>
      </c>
      <c r="E115" s="561" t="str">
        <f>VLOOKUP(575,Sprachindex!$A:$Z,Info!$O$7,FALSE)</f>
        <v>Leitersicherung</v>
      </c>
      <c r="F115" s="562"/>
      <c r="G115" s="562"/>
      <c r="H115" s="562"/>
      <c r="I115" s="562"/>
      <c r="J115" s="627"/>
      <c r="K115" s="628"/>
      <c r="L115" s="79" t="str">
        <f t="shared" si="23"/>
        <v xml:space="preserve"> </v>
      </c>
      <c r="M115" s="440" t="str">
        <f t="shared" si="22"/>
        <v>Stk.</v>
      </c>
      <c r="N115" s="80"/>
      <c r="O115" s="202" t="str">
        <f t="shared" si="26"/>
        <v xml:space="preserve"> </v>
      </c>
      <c r="R115" s="195"/>
      <c r="S115" s="195"/>
      <c r="T115" s="195"/>
      <c r="U115" s="1"/>
      <c r="V115" s="161">
        <f>ROUNDUP($A115/X115,0)*X115</f>
        <v>0</v>
      </c>
      <c r="W115" s="161">
        <f>ROUNDUP($A115/Y115,0)*Y115</f>
        <v>0</v>
      </c>
      <c r="X115" s="161">
        <v>1</v>
      </c>
      <c r="Y115" s="161">
        <v>1</v>
      </c>
      <c r="Z115" s="123"/>
      <c r="AA115" s="123"/>
      <c r="AB115" s="123"/>
      <c r="AC115" s="123"/>
      <c r="AD115" s="123"/>
      <c r="AE115" s="123"/>
      <c r="AF115" s="123"/>
      <c r="AG115" s="123"/>
      <c r="AH115" s="123"/>
      <c r="AI115" s="123"/>
      <c r="AJ115" s="123"/>
      <c r="AK115" s="123"/>
      <c r="AL115" s="123"/>
      <c r="AM115" s="123"/>
      <c r="AN115" s="123"/>
      <c r="ES115" s="561" t="str">
        <f>VLOOKUP(575,Sprachindex!$A:$Z,Info!$O$7,FALSE)</f>
        <v>Leitersicherung</v>
      </c>
      <c r="ET115" s="562"/>
      <c r="EU115" s="562"/>
      <c r="EV115" s="562"/>
      <c r="EW115" s="562"/>
      <c r="EX115" s="354"/>
      <c r="EY115" s="349"/>
      <c r="EZ115" s="350"/>
      <c r="FA115" s="348"/>
      <c r="FB115" s="349"/>
      <c r="FC115" s="350"/>
      <c r="FD115" s="348"/>
      <c r="FE115" s="349"/>
      <c r="FF115" s="350"/>
      <c r="FG115" s="348"/>
      <c r="FH115" s="349"/>
      <c r="FI115" s="350"/>
      <c r="FJ115" s="348"/>
      <c r="FK115" s="349"/>
      <c r="FL115" s="350"/>
      <c r="FM115" s="348"/>
      <c r="FN115" s="349"/>
      <c r="FO115" s="350"/>
      <c r="FP115" s="348"/>
      <c r="FQ115" s="349"/>
      <c r="FR115" s="350"/>
      <c r="FS115" s="348"/>
      <c r="FT115" s="349"/>
      <c r="FU115" s="350"/>
      <c r="FV115" s="348"/>
      <c r="FW115" s="349"/>
      <c r="FX115" s="350"/>
      <c r="FY115" s="348"/>
      <c r="FZ115" s="349"/>
      <c r="GA115" s="350"/>
      <c r="GB115" s="348"/>
      <c r="GC115" s="349"/>
      <c r="GD115" s="350"/>
      <c r="GE115" s="348"/>
      <c r="GF115" s="349"/>
      <c r="GG115" s="350"/>
      <c r="GH115" s="348"/>
      <c r="GI115" s="349"/>
      <c r="GJ115" s="350"/>
      <c r="GK115" s="348"/>
      <c r="GL115" s="349"/>
      <c r="GM115" s="350"/>
      <c r="GN115" s="348"/>
      <c r="GO115" s="349"/>
      <c r="GP115" s="355"/>
      <c r="GQ115" s="128"/>
      <c r="GV115" s="334">
        <v>110.9</v>
      </c>
    </row>
    <row r="116" spans="1:204" ht="32.1" customHeight="1" thickTop="1">
      <c r="A116" s="156"/>
      <c r="B116" s="104"/>
      <c r="C116" s="104"/>
      <c r="D116" s="104"/>
      <c r="E116" s="575"/>
      <c r="F116" s="576"/>
      <c r="G116" s="576"/>
      <c r="H116" s="576"/>
      <c r="I116" s="576"/>
      <c r="J116" s="576"/>
      <c r="K116" s="577"/>
      <c r="L116" s="104"/>
      <c r="M116" s="433"/>
      <c r="N116" s="80"/>
      <c r="O116" s="71"/>
      <c r="P116" s="71"/>
      <c r="Q116" s="71"/>
      <c r="R116" s="71"/>
      <c r="S116" s="71"/>
      <c r="T116" s="71"/>
      <c r="U116" s="1"/>
      <c r="V116" s="8"/>
      <c r="W116" s="8"/>
      <c r="EV116" s="135"/>
      <c r="FS116" s="1"/>
    </row>
    <row r="117" spans="1:204" ht="32.1" customHeight="1">
      <c r="A117" s="109"/>
      <c r="B117" s="104"/>
      <c r="C117" s="104"/>
      <c r="D117" s="104"/>
      <c r="E117" s="575"/>
      <c r="F117" s="576"/>
      <c r="G117" s="576"/>
      <c r="H117" s="576"/>
      <c r="I117" s="576"/>
      <c r="J117" s="576"/>
      <c r="K117" s="577"/>
      <c r="L117" s="104"/>
      <c r="M117" s="433"/>
      <c r="N117" s="80"/>
      <c r="O117" s="71"/>
      <c r="P117" s="71"/>
      <c r="Q117" s="71"/>
      <c r="R117" s="71"/>
      <c r="S117" s="71"/>
      <c r="T117" s="71"/>
      <c r="U117" s="1"/>
      <c r="V117" s="8"/>
      <c r="W117" s="8"/>
      <c r="EV117" s="135"/>
      <c r="FS117" s="1"/>
    </row>
    <row r="118" spans="1:204" ht="32.1" customHeight="1" thickBot="1">
      <c r="A118" s="153"/>
      <c r="B118" s="154"/>
      <c r="C118" s="154"/>
      <c r="D118" s="154"/>
      <c r="E118" s="578"/>
      <c r="F118" s="579"/>
      <c r="G118" s="579"/>
      <c r="H118" s="579"/>
      <c r="I118" s="579"/>
      <c r="J118" s="579"/>
      <c r="K118" s="580"/>
      <c r="L118" s="154"/>
      <c r="M118" s="434"/>
      <c r="N118" s="155"/>
      <c r="O118" s="71"/>
      <c r="P118" s="71"/>
      <c r="Q118" s="71"/>
      <c r="R118" s="71"/>
      <c r="S118" s="71"/>
      <c r="T118" s="71"/>
      <c r="U118" s="1"/>
      <c r="V118" s="8"/>
      <c r="W118" s="8"/>
      <c r="EV118" s="135"/>
      <c r="FS118" s="1"/>
    </row>
    <row r="119" spans="1:204" ht="15" customHeight="1">
      <c r="A119" s="70"/>
      <c r="B119" s="70"/>
      <c r="C119" s="70"/>
      <c r="D119" s="564"/>
      <c r="E119" s="564"/>
      <c r="F119" s="564"/>
      <c r="G119" s="564"/>
      <c r="H119" s="564"/>
      <c r="I119" s="564"/>
      <c r="J119" s="564"/>
      <c r="K119" s="564"/>
      <c r="L119" s="564"/>
      <c r="M119" s="564"/>
      <c r="N119" s="564"/>
      <c r="O119" s="71"/>
      <c r="P119" s="71"/>
      <c r="Q119" s="71"/>
      <c r="R119" s="71"/>
      <c r="S119" s="71"/>
      <c r="T119" s="71"/>
      <c r="EV119" s="135"/>
      <c r="FS119" s="1"/>
    </row>
    <row r="120" spans="1:204" ht="17.399999999999999">
      <c r="A120" s="70"/>
      <c r="B120" s="70"/>
      <c r="C120" s="89" t="str">
        <f>VLOOKUP(1035,Sprachindex!$A:$Z,Info!$O$7,FALSE)</f>
        <v>Zusatzvermerk:</v>
      </c>
      <c r="D120" s="565"/>
      <c r="E120" s="565"/>
      <c r="F120" s="565"/>
      <c r="G120" s="565"/>
      <c r="H120" s="565"/>
      <c r="I120" s="565"/>
      <c r="J120" s="565"/>
      <c r="K120" s="565"/>
      <c r="L120" s="565"/>
      <c r="M120" s="565"/>
      <c r="N120" s="565"/>
      <c r="O120" s="196">
        <f>SUM(O36:O118)</f>
        <v>0</v>
      </c>
      <c r="P120" s="71"/>
      <c r="Q120" s="71"/>
      <c r="R120" s="71"/>
      <c r="S120" s="71"/>
      <c r="T120" s="71"/>
      <c r="EV120" s="135"/>
      <c r="FS120" s="1"/>
    </row>
    <row r="121" spans="1:204" ht="17.399999999999999">
      <c r="A121" s="70"/>
      <c r="B121" s="70"/>
      <c r="C121" s="70"/>
      <c r="D121" s="566"/>
      <c r="E121" s="566"/>
      <c r="F121" s="566"/>
      <c r="G121" s="566"/>
      <c r="H121" s="566"/>
      <c r="I121" s="566"/>
      <c r="J121" s="566"/>
      <c r="K121" s="566"/>
      <c r="L121" s="566"/>
      <c r="M121" s="566"/>
      <c r="N121" s="566"/>
      <c r="O121" s="71"/>
      <c r="P121" s="71"/>
      <c r="Q121" s="71"/>
      <c r="R121" s="71"/>
      <c r="S121" s="71"/>
      <c r="T121" s="71"/>
      <c r="EV121" s="135"/>
      <c r="FS121" s="1"/>
    </row>
    <row r="122" spans="1:204" ht="17.399999999999999">
      <c r="A122" s="70"/>
      <c r="B122" s="70"/>
      <c r="C122" s="70"/>
      <c r="D122" s="565"/>
      <c r="E122" s="565"/>
      <c r="F122" s="565"/>
      <c r="G122" s="565"/>
      <c r="H122" s="565"/>
      <c r="I122" s="565"/>
      <c r="J122" s="565"/>
      <c r="K122" s="565"/>
      <c r="L122" s="565"/>
      <c r="M122" s="565"/>
      <c r="N122" s="565"/>
      <c r="O122" s="71"/>
      <c r="P122" s="71"/>
      <c r="Q122" s="71"/>
      <c r="R122" s="71"/>
      <c r="S122" s="71"/>
      <c r="T122" s="71"/>
      <c r="EV122" s="135"/>
      <c r="FS122" s="1"/>
    </row>
    <row r="123" spans="1:204" ht="17.399999999999999">
      <c r="A123" s="70"/>
      <c r="B123" s="70"/>
      <c r="C123" s="70"/>
      <c r="D123" s="566"/>
      <c r="E123" s="566"/>
      <c r="F123" s="566"/>
      <c r="G123" s="566"/>
      <c r="H123" s="566"/>
      <c r="I123" s="566"/>
      <c r="J123" s="566"/>
      <c r="K123" s="566"/>
      <c r="L123" s="566"/>
      <c r="M123" s="566"/>
      <c r="N123" s="566"/>
      <c r="O123" s="71"/>
      <c r="P123" s="71"/>
      <c r="Q123" s="71"/>
      <c r="R123" s="71"/>
      <c r="S123" s="71"/>
      <c r="T123" s="71"/>
      <c r="EV123" s="135"/>
      <c r="FS123" s="1"/>
    </row>
    <row r="124" spans="1:204" ht="17.399999999999999">
      <c r="A124" s="70"/>
      <c r="B124" s="70"/>
      <c r="C124" s="70"/>
      <c r="D124" s="565"/>
      <c r="E124" s="565"/>
      <c r="F124" s="565"/>
      <c r="G124" s="565"/>
      <c r="H124" s="565"/>
      <c r="I124" s="565"/>
      <c r="J124" s="565"/>
      <c r="K124" s="565"/>
      <c r="L124" s="565"/>
      <c r="M124" s="565"/>
      <c r="N124" s="565"/>
      <c r="O124" s="71"/>
      <c r="P124" s="71"/>
      <c r="Q124" s="71"/>
      <c r="R124" s="71"/>
      <c r="S124" s="71"/>
      <c r="T124" s="71"/>
      <c r="EV124" s="135"/>
      <c r="FS124" s="1"/>
    </row>
    <row r="125" spans="1:204" ht="17.399999999999999">
      <c r="A125" s="70"/>
      <c r="B125" s="70"/>
      <c r="C125" s="70"/>
      <c r="D125" s="70"/>
      <c r="E125" s="70"/>
      <c r="F125" s="70"/>
      <c r="G125" s="70"/>
      <c r="H125" s="70"/>
      <c r="I125" s="70"/>
      <c r="J125" s="70"/>
      <c r="K125" s="70"/>
      <c r="L125" s="70"/>
      <c r="M125" s="70"/>
      <c r="N125" s="70"/>
      <c r="O125" s="71"/>
      <c r="P125" s="71"/>
      <c r="Q125" s="71"/>
      <c r="R125" s="71"/>
      <c r="S125" s="71"/>
      <c r="T125" s="71"/>
      <c r="EV125" s="135"/>
      <c r="FS125" s="1"/>
    </row>
    <row r="126" spans="1:204" ht="17.399999999999999">
      <c r="A126" s="70"/>
      <c r="B126" s="70"/>
      <c r="C126" s="70"/>
      <c r="D126" s="70"/>
      <c r="E126" s="70"/>
      <c r="F126" s="70"/>
      <c r="G126" s="70"/>
      <c r="H126" s="70"/>
      <c r="I126" s="70"/>
      <c r="J126" s="70"/>
      <c r="K126" s="70"/>
      <c r="L126" s="70"/>
      <c r="M126" s="70"/>
      <c r="N126" s="70"/>
      <c r="O126" s="71"/>
      <c r="P126" s="71"/>
      <c r="Q126" s="71"/>
      <c r="R126" s="71"/>
      <c r="S126" s="71"/>
      <c r="T126" s="71"/>
      <c r="EV126" s="135"/>
      <c r="FS126" s="1"/>
    </row>
    <row r="127" spans="1:204" ht="17.399999999999999">
      <c r="A127" s="90" t="str">
        <f>VLOOKUP(2097,Sprachindex!$A:$Z,Info!$O$7,FALSE)</f>
        <v>Produkttechnik</v>
      </c>
      <c r="B127" s="91"/>
      <c r="C127" s="91"/>
      <c r="D127" s="569"/>
      <c r="E127" s="569"/>
      <c r="F127" s="569"/>
      <c r="G127" s="569"/>
      <c r="H127" s="569"/>
      <c r="I127" s="569"/>
      <c r="J127" s="569"/>
      <c r="K127" s="92" t="str">
        <f>VLOOKUP(856,Sprachindex!$A:$Z,Info!$O$7,FALSE)</f>
        <v>Stand:</v>
      </c>
      <c r="L127" s="567">
        <f>Info!M59</f>
        <v>45511</v>
      </c>
      <c r="M127" s="567"/>
      <c r="N127" s="568"/>
      <c r="O127" s="71"/>
      <c r="P127" s="71"/>
      <c r="Q127" s="71"/>
      <c r="R127" s="71"/>
      <c r="S127" s="71"/>
      <c r="T127" s="71"/>
      <c r="EV127" s="135"/>
      <c r="FS127" s="1"/>
    </row>
    <row r="128" spans="1:204" ht="17.399999999999999">
      <c r="A128" s="70"/>
      <c r="B128" s="70"/>
      <c r="C128" s="70"/>
      <c r="D128" s="70"/>
      <c r="E128" s="70"/>
      <c r="F128" s="70"/>
      <c r="G128" s="70"/>
      <c r="H128" s="70"/>
      <c r="I128" s="70"/>
      <c r="J128" s="70"/>
      <c r="K128" s="70"/>
      <c r="L128" s="70"/>
      <c r="M128" s="70"/>
      <c r="N128" s="70"/>
      <c r="O128" s="71"/>
      <c r="P128" s="71"/>
      <c r="Q128" s="71"/>
      <c r="R128" s="71"/>
      <c r="S128" s="71"/>
      <c r="T128" s="71"/>
      <c r="EV128" s="135"/>
      <c r="FS128" s="1"/>
    </row>
    <row r="129" spans="152:175">
      <c r="EV129" s="135"/>
      <c r="FS129" s="1"/>
    </row>
    <row r="130" spans="152:175">
      <c r="EV130" s="135"/>
      <c r="FS130" s="1"/>
    </row>
  </sheetData>
  <sheetProtection algorithmName="SHA-512" hashValue="+uEW+umT7+MA5ZDhMZSB5s21qE3TM6R0Sii7ENM9o6Lj8/Gn39qPqYvXTj7iv8uRycYFP7vDyPj/gDI/IjuylQ==" saltValue="RNtS81GsxjVYzs1GfR4yKg==" spinCount="100000" sheet="1" objects="1" selectLockedCells="1" autoFilter="0"/>
  <protectedRanges>
    <protectedRange password="DEBF" sqref="V116:W118"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64:W70 V93:W93" name="darf vom Benutzer nicht verändert werden_1_2_3_4"/>
    <protectedRange password="DEBF" sqref="V71:W77 V79:W92 V94:W97" name="darf vom Benutzer nicht verändert werden_1_2_1"/>
    <protectedRange password="DEBF" sqref="V78:W78" name="darf vom Benutzer nicht verändert werden_1_2_6"/>
    <protectedRange password="DEBF" sqref="X78" name="darf vom Benutzer nicht verändert werden_1_12_1_1"/>
    <protectedRange password="DEBF" sqref="V103:W103" name="darf vom Benutzer nicht verändert werden_1_2_3_6"/>
    <protectedRange password="DEBF" sqref="V104:W111 V114:W115 V98:W102" name="darf vom Benutzer nicht verändert werden_1_2_1_1"/>
    <protectedRange password="DEBF" sqref="V112:W113" name="darf vom Benutzer nicht verändert werden_1_5_4"/>
  </protectedRanges>
  <autoFilter ref="A34:A118" xr:uid="{00000000-0009-0000-0000-00000B000000}"/>
  <mergeCells count="294">
    <mergeCell ref="GO33:GQ34"/>
    <mergeCell ref="GL33:GN34"/>
    <mergeCell ref="GI33:GK34"/>
    <mergeCell ref="GF33:GH34"/>
    <mergeCell ref="GC33:GE34"/>
    <mergeCell ref="FZ33:GB34"/>
    <mergeCell ref="FW33:FY34"/>
    <mergeCell ref="FT33:FV34"/>
    <mergeCell ref="FQ33:FS34"/>
    <mergeCell ref="D119:N120"/>
    <mergeCell ref="D121:N122"/>
    <mergeCell ref="D123:N124"/>
    <mergeCell ref="L127:N127"/>
    <mergeCell ref="EX73:EZ73"/>
    <mergeCell ref="FD73:FF73"/>
    <mergeCell ref="FJ73:FL73"/>
    <mergeCell ref="FQ31:FY32"/>
    <mergeCell ref="FZ31:GH32"/>
    <mergeCell ref="EY31:FG32"/>
    <mergeCell ref="FH31:FP32"/>
    <mergeCell ref="EY33:FA34"/>
    <mergeCell ref="FB33:FD34"/>
    <mergeCell ref="FE33:FG34"/>
    <mergeCell ref="FH33:FJ34"/>
    <mergeCell ref="FK33:FM34"/>
    <mergeCell ref="FN33:FP34"/>
    <mergeCell ref="ES82:EW82"/>
    <mergeCell ref="ES83:EW83"/>
    <mergeCell ref="ES84:EW84"/>
    <mergeCell ref="ES85:EW85"/>
    <mergeCell ref="ES86:EW86"/>
    <mergeCell ref="ES87:EW87"/>
    <mergeCell ref="ES109:EW109"/>
    <mergeCell ref="GI31:GQ32"/>
    <mergeCell ref="ES88:EW88"/>
    <mergeCell ref="ES89:EW89"/>
    <mergeCell ref="ES90:EW90"/>
    <mergeCell ref="ES108:EW108"/>
    <mergeCell ref="ES91:EW91"/>
    <mergeCell ref="ES92:EW92"/>
    <mergeCell ref="ES93:EW93"/>
    <mergeCell ref="ES94:EW94"/>
    <mergeCell ref="ES95:EW95"/>
    <mergeCell ref="ES96:EW96"/>
    <mergeCell ref="ES97:EW97"/>
    <mergeCell ref="ES98:EW98"/>
    <mergeCell ref="ES99:EW99"/>
    <mergeCell ref="ES73:EV73"/>
    <mergeCell ref="ES74:EW74"/>
    <mergeCell ref="ES75:EV75"/>
    <mergeCell ref="ES76:EW76"/>
    <mergeCell ref="ES77:EW77"/>
    <mergeCell ref="ES78:EW78"/>
    <mergeCell ref="ES79:EW79"/>
    <mergeCell ref="ES80:EW80"/>
    <mergeCell ref="ES81:EW81"/>
    <mergeCell ref="ES63:EW63"/>
    <mergeCell ref="ES112:EW112"/>
    <mergeCell ref="ES113:EW113"/>
    <mergeCell ref="ES114:EW114"/>
    <mergeCell ref="ES115:EW115"/>
    <mergeCell ref="ES100:EW100"/>
    <mergeCell ref="ES101:EW101"/>
    <mergeCell ref="ES102:EW102"/>
    <mergeCell ref="ES103:EW103"/>
    <mergeCell ref="ES104:EW104"/>
    <mergeCell ref="ES105:EW105"/>
    <mergeCell ref="ES106:EW106"/>
    <mergeCell ref="ES107:EW107"/>
    <mergeCell ref="ES110:EW110"/>
    <mergeCell ref="ES111:EW111"/>
    <mergeCell ref="ES64:EW64"/>
    <mergeCell ref="ES65:EW65"/>
    <mergeCell ref="ES66:EW66"/>
    <mergeCell ref="ES67:EW67"/>
    <mergeCell ref="ES68:EW68"/>
    <mergeCell ref="ES69:EW69"/>
    <mergeCell ref="ES70:EW70"/>
    <mergeCell ref="ES71:EV71"/>
    <mergeCell ref="ES54:EW54"/>
    <mergeCell ref="ES55:EW55"/>
    <mergeCell ref="ES56:EW56"/>
    <mergeCell ref="ES57:EW57"/>
    <mergeCell ref="ES58:EW58"/>
    <mergeCell ref="ES59:EW59"/>
    <mergeCell ref="ES60:EW60"/>
    <mergeCell ref="ES61:EW61"/>
    <mergeCell ref="ES62:EV62"/>
    <mergeCell ref="ES45:EW45"/>
    <mergeCell ref="ES46:EW46"/>
    <mergeCell ref="ET47:EX47"/>
    <mergeCell ref="ET48:EX48"/>
    <mergeCell ref="ES49:EW49"/>
    <mergeCell ref="ES50:EW50"/>
    <mergeCell ref="ES51:EW51"/>
    <mergeCell ref="ES52:EW52"/>
    <mergeCell ref="ES53:EW53"/>
    <mergeCell ref="ES36:EW36"/>
    <mergeCell ref="ES37:EW37"/>
    <mergeCell ref="ER38:EU38"/>
    <mergeCell ref="ES39:EW39"/>
    <mergeCell ref="ES40:EV40"/>
    <mergeCell ref="ES41:EV41"/>
    <mergeCell ref="ES42:EW42"/>
    <mergeCell ref="ES43:EW43"/>
    <mergeCell ref="ES44:EW44"/>
    <mergeCell ref="E109:I109"/>
    <mergeCell ref="J109:K109"/>
    <mergeCell ref="E113:I113"/>
    <mergeCell ref="E112:I112"/>
    <mergeCell ref="J112:K112"/>
    <mergeCell ref="J113:K113"/>
    <mergeCell ref="E91:I91"/>
    <mergeCell ref="E96:I96"/>
    <mergeCell ref="E92:I92"/>
    <mergeCell ref="E100:I100"/>
    <mergeCell ref="E98:I98"/>
    <mergeCell ref="J111:K111"/>
    <mergeCell ref="E111:I111"/>
    <mergeCell ref="E101:H101"/>
    <mergeCell ref="J86:K86"/>
    <mergeCell ref="J88:K88"/>
    <mergeCell ref="J89:K89"/>
    <mergeCell ref="J90:K90"/>
    <mergeCell ref="J91:K91"/>
    <mergeCell ref="J92:K92"/>
    <mergeCell ref="J96:K96"/>
    <mergeCell ref="J94:K94"/>
    <mergeCell ref="J95:K95"/>
    <mergeCell ref="J93:K93"/>
    <mergeCell ref="D127:J127"/>
    <mergeCell ref="E118:K118"/>
    <mergeCell ref="J102:K102"/>
    <mergeCell ref="J103:K103"/>
    <mergeCell ref="J104:K104"/>
    <mergeCell ref="J105:K105"/>
    <mergeCell ref="E105:I105"/>
    <mergeCell ref="J99:K99"/>
    <mergeCell ref="E114:I114"/>
    <mergeCell ref="E115:I115"/>
    <mergeCell ref="J106:K106"/>
    <mergeCell ref="J107:K107"/>
    <mergeCell ref="J110:K110"/>
    <mergeCell ref="J100:K100"/>
    <mergeCell ref="J101:K101"/>
    <mergeCell ref="E104:I104"/>
    <mergeCell ref="E103:I103"/>
    <mergeCell ref="E102:I102"/>
    <mergeCell ref="J114:K114"/>
    <mergeCell ref="J115:K115"/>
    <mergeCell ref="E108:I108"/>
    <mergeCell ref="E117:K117"/>
    <mergeCell ref="E116:K116"/>
    <mergeCell ref="J108:K108"/>
    <mergeCell ref="J46:K46"/>
    <mergeCell ref="J44:K44"/>
    <mergeCell ref="J82:K82"/>
    <mergeCell ref="J84:K84"/>
    <mergeCell ref="E110:I110"/>
    <mergeCell ref="E107:I107"/>
    <mergeCell ref="E106:I106"/>
    <mergeCell ref="E90:I90"/>
    <mergeCell ref="E89:I89"/>
    <mergeCell ref="E88:I88"/>
    <mergeCell ref="E86:I86"/>
    <mergeCell ref="E85:I85"/>
    <mergeCell ref="E83:I83"/>
    <mergeCell ref="E82:I82"/>
    <mergeCell ref="E87:I87"/>
    <mergeCell ref="J83:K83"/>
    <mergeCell ref="E97:I97"/>
    <mergeCell ref="J87:K87"/>
    <mergeCell ref="J85:K85"/>
    <mergeCell ref="J97:K97"/>
    <mergeCell ref="J98:K98"/>
    <mergeCell ref="E45:I45"/>
    <mergeCell ref="E80:I80"/>
    <mergeCell ref="E77:I77"/>
    <mergeCell ref="J48:K48"/>
    <mergeCell ref="J52:K52"/>
    <mergeCell ref="J50:K50"/>
    <mergeCell ref="E70:I70"/>
    <mergeCell ref="E58:I58"/>
    <mergeCell ref="E69:I69"/>
    <mergeCell ref="E68:I68"/>
    <mergeCell ref="E67:I67"/>
    <mergeCell ref="E66:I66"/>
    <mergeCell ref="E65:I65"/>
    <mergeCell ref="E64:I64"/>
    <mergeCell ref="E63:I63"/>
    <mergeCell ref="E51:I51"/>
    <mergeCell ref="J51:K51"/>
    <mergeCell ref="J55:K55"/>
    <mergeCell ref="J56:K56"/>
    <mergeCell ref="J62:K62"/>
    <mergeCell ref="J63:K63"/>
    <mergeCell ref="J64:K64"/>
    <mergeCell ref="J60:K60"/>
    <mergeCell ref="J61:K61"/>
    <mergeCell ref="J74:K74"/>
    <mergeCell ref="J71:K71"/>
    <mergeCell ref="E71:H71"/>
    <mergeCell ref="J78:K78"/>
    <mergeCell ref="E53:I53"/>
    <mergeCell ref="E54:I54"/>
    <mergeCell ref="J59:K59"/>
    <mergeCell ref="J75:K75"/>
    <mergeCell ref="J53:K53"/>
    <mergeCell ref="J72:K72"/>
    <mergeCell ref="E72:I72"/>
    <mergeCell ref="E78:H78"/>
    <mergeCell ref="J79:K79"/>
    <mergeCell ref="E59:I59"/>
    <mergeCell ref="E49:I49"/>
    <mergeCell ref="E48:I48"/>
    <mergeCell ref="E76:I76"/>
    <mergeCell ref="E74:I74"/>
    <mergeCell ref="C13:E13"/>
    <mergeCell ref="J45:K45"/>
    <mergeCell ref="E55:I55"/>
    <mergeCell ref="J67:K67"/>
    <mergeCell ref="E75:H75"/>
    <mergeCell ref="E73:H73"/>
    <mergeCell ref="E61:I61"/>
    <mergeCell ref="E60:I60"/>
    <mergeCell ref="E62:H62"/>
    <mergeCell ref="J68:K68"/>
    <mergeCell ref="J69:K69"/>
    <mergeCell ref="J70:K70"/>
    <mergeCell ref="J76:K76"/>
    <mergeCell ref="J77:K77"/>
    <mergeCell ref="J65:K65"/>
    <mergeCell ref="J54:K54"/>
    <mergeCell ref="J73:K73"/>
    <mergeCell ref="J57:K57"/>
    <mergeCell ref="C11:E11"/>
    <mergeCell ref="C10:E10"/>
    <mergeCell ref="C9:E9"/>
    <mergeCell ref="C18:E18"/>
    <mergeCell ref="C21:E21"/>
    <mergeCell ref="C20:E20"/>
    <mergeCell ref="C19:E19"/>
    <mergeCell ref="E99:I99"/>
    <mergeCell ref="E52:I52"/>
    <mergeCell ref="E50:I50"/>
    <mergeCell ref="E56:I56"/>
    <mergeCell ref="E57:I57"/>
    <mergeCell ref="C14:E14"/>
    <mergeCell ref="C15:E15"/>
    <mergeCell ref="E79:I79"/>
    <mergeCell ref="E47:I47"/>
    <mergeCell ref="E81:I81"/>
    <mergeCell ref="E46:I46"/>
    <mergeCell ref="E44:I44"/>
    <mergeCell ref="E84:I84"/>
    <mergeCell ref="E93:I93"/>
    <mergeCell ref="E95:H95"/>
    <mergeCell ref="E94:H94"/>
    <mergeCell ref="J38:K38"/>
    <mergeCell ref="E38:H38"/>
    <mergeCell ref="J41:K41"/>
    <mergeCell ref="J36:K36"/>
    <mergeCell ref="B24:B27"/>
    <mergeCell ref="C24:E24"/>
    <mergeCell ref="C30:E30"/>
    <mergeCell ref="C25:E25"/>
    <mergeCell ref="C31:E31"/>
    <mergeCell ref="C26:E26"/>
    <mergeCell ref="C32:E32"/>
    <mergeCell ref="C27:E27"/>
    <mergeCell ref="FA101:FC101"/>
    <mergeCell ref="FG101:FI101"/>
    <mergeCell ref="E39:I39"/>
    <mergeCell ref="J39:K39"/>
    <mergeCell ref="E43:I43"/>
    <mergeCell ref="E42:I42"/>
    <mergeCell ref="J42:K42"/>
    <mergeCell ref="B34:E34"/>
    <mergeCell ref="E35:K35"/>
    <mergeCell ref="E40:H40"/>
    <mergeCell ref="J40:K40"/>
    <mergeCell ref="J43:K43"/>
    <mergeCell ref="J37:K37"/>
    <mergeCell ref="E36:I36"/>
    <mergeCell ref="E37:I37"/>
    <mergeCell ref="V34:W34"/>
    <mergeCell ref="X34:Y34"/>
    <mergeCell ref="E41:H41"/>
    <mergeCell ref="J49:K49"/>
    <mergeCell ref="J47:K47"/>
    <mergeCell ref="J58:K58"/>
    <mergeCell ref="J66:K66"/>
    <mergeCell ref="J80:K80"/>
    <mergeCell ref="J81:K81"/>
  </mergeCells>
  <conditionalFormatting sqref="A36:A118">
    <cfRule type="cellIs" dxfId="269" priority="64" operator="equal">
      <formula>0</formula>
    </cfRule>
  </conditionalFormatting>
  <conditionalFormatting sqref="A44:N45 A58:N59 A68:N69 A79:N79 A84:N85 A89:N89 A92:N93 A94:E95 J94:N95 A99:N100 A106:N109">
    <cfRule type="expression" dxfId="266" priority="2">
      <formula>$O$21=10</formula>
    </cfRule>
  </conditionalFormatting>
  <conditionalFormatting sqref="B38 D38:K38">
    <cfRule type="expression" dxfId="265" priority="127">
      <formula>$O$24=5</formula>
    </cfRule>
  </conditionalFormatting>
  <conditionalFormatting sqref="B40 D40:K40">
    <cfRule type="expression" dxfId="263" priority="125">
      <formula>OR($O$24=5,$O$24=1)</formula>
    </cfRule>
  </conditionalFormatting>
  <conditionalFormatting sqref="B88 D88:K88">
    <cfRule type="expression" dxfId="235" priority="76">
      <formula>OR($O$25=1,$O$25=5)</formula>
    </cfRule>
  </conditionalFormatting>
  <conditionalFormatting sqref="B90 D90:K90">
    <cfRule type="expression" dxfId="232" priority="96">
      <formula>$O$25=5</formula>
    </cfRule>
  </conditionalFormatting>
  <conditionalFormatting sqref="B116:E118">
    <cfRule type="cellIs" dxfId="220" priority="198" operator="equal">
      <formula>0</formula>
    </cfRule>
  </conditionalFormatting>
  <conditionalFormatting sqref="B68:N68">
    <cfRule type="expression" dxfId="219" priority="4">
      <formula>$O$9=1</formula>
    </cfRule>
  </conditionalFormatting>
  <conditionalFormatting sqref="C30:C31 C32:E32">
    <cfRule type="cellIs" dxfId="218" priority="153" operator="equal">
      <formula>""</formula>
    </cfRule>
  </conditionalFormatting>
  <conditionalFormatting sqref="C9:E11">
    <cfRule type="cellIs" dxfId="217" priority="398" operator="equal">
      <formula>""</formula>
    </cfRule>
  </conditionalFormatting>
  <conditionalFormatting sqref="C13:E15">
    <cfRule type="cellIs" dxfId="216" priority="395" operator="equal">
      <formula>""</formula>
    </cfRule>
  </conditionalFormatting>
  <conditionalFormatting sqref="C18:E21">
    <cfRule type="cellIs" dxfId="215" priority="391" operator="equal">
      <formula>""</formula>
    </cfRule>
  </conditionalFormatting>
  <conditionalFormatting sqref="C24:E27">
    <cfRule type="cellIs" dxfId="214" priority="154" operator="equal">
      <formula>""</formula>
    </cfRule>
  </conditionalFormatting>
  <conditionalFormatting sqref="D95:E95 J95">
    <cfRule type="cellIs" dxfId="211" priority="75" operator="equal">
      <formula>""</formula>
    </cfRule>
  </conditionalFormatting>
  <conditionalFormatting sqref="E94 J94:K94 B94:B95">
    <cfRule type="cellIs" dxfId="208" priority="158" operator="equal">
      <formula>""</formula>
    </cfRule>
  </conditionalFormatting>
  <conditionalFormatting sqref="I13">
    <cfRule type="expression" dxfId="207" priority="177">
      <formula>$O$13=1</formula>
    </cfRule>
    <cfRule type="expression" dxfId="206" priority="174">
      <formula>$O$13=2</formula>
    </cfRule>
  </conditionalFormatting>
  <conditionalFormatting sqref="J88:K88">
    <cfRule type="cellIs" dxfId="197" priority="259" operator="equal">
      <formula>""</formula>
    </cfRule>
  </conditionalFormatting>
  <conditionalFormatting sqref="K18">
    <cfRule type="expression" dxfId="193" priority="367">
      <formula>$O$21=13</formula>
    </cfRule>
  </conditionalFormatting>
  <conditionalFormatting sqref="L13">
    <cfRule type="expression" dxfId="192" priority="176">
      <formula>$O$13=2</formula>
    </cfRule>
    <cfRule type="expression" dxfId="191" priority="78">
      <formula>$O$13=1</formula>
    </cfRule>
  </conditionalFormatting>
  <conditionalFormatting sqref="L19">
    <cfRule type="expression" dxfId="190" priority="417">
      <formula>$O$21=14</formula>
    </cfRule>
  </conditionalFormatting>
  <conditionalFormatting sqref="L116:N118">
    <cfRule type="cellIs" dxfId="189" priority="274" operator="equal">
      <formula>0</formula>
    </cfRule>
  </conditionalFormatting>
  <conditionalFormatting sqref="AK76">
    <cfRule type="dataBar" priority="193">
      <dataBar>
        <cfvo type="min"/>
        <cfvo type="max"/>
        <color rgb="FF638EC6"/>
      </dataBar>
      <extLst>
        <ext xmlns:x14="http://schemas.microsoft.com/office/spreadsheetml/2009/9/main" uri="{B025F937-C7B1-47D3-B67F-A62EFF666E3E}">
          <x14:id>{2CCE344C-485F-4998-B0D1-CDB0A1796DD0}</x14:id>
        </ext>
      </extLst>
    </cfRule>
  </conditionalFormatting>
  <conditionalFormatting sqref="ER38:EV38">
    <cfRule type="expression" dxfId="186" priority="55">
      <formula>$O$24=5</formula>
    </cfRule>
  </conditionalFormatting>
  <conditionalFormatting sqref="ES40:EW40">
    <cfRule type="expression" dxfId="182" priority="53">
      <formula>OR($O$24=5,$O$24=1)</formula>
    </cfRule>
  </conditionalFormatting>
  <conditionalFormatting sqref="ES88:EW88">
    <cfRule type="expression" dxfId="154" priority="9">
      <formula>OR($O$25=1,$O$25=5)</formula>
    </cfRule>
  </conditionalFormatting>
  <conditionalFormatting sqref="ES90:EW90">
    <cfRule type="expression" dxfId="151" priority="24">
      <formula>$O$25=5</formula>
    </cfRule>
  </conditionalFormatting>
  <conditionalFormatting sqref="ES94:EW95">
    <cfRule type="cellIs" dxfId="147" priority="8" operator="equal">
      <formula>""</formula>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103</xdr:row>
                <xdr:rowOff>68580</xdr:rowOff>
              </from>
              <to>
                <xdr:col>2</xdr:col>
                <xdr:colOff>601980</xdr:colOff>
                <xdr:row>103</xdr:row>
                <xdr:rowOff>350520</xdr:rowOff>
              </to>
            </anchor>
          </objectPr>
        </oleObject>
      </mc:Choice>
      <mc:Fallback>
        <oleObject shapeId="1110" r:id="rId7"/>
      </mc:Fallback>
    </mc:AlternateContent>
  </oleObjects>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ltText="">
                <anchor moveWithCells="1">
                  <from>
                    <xdr:col>7</xdr:col>
                    <xdr:colOff>678180</xdr:colOff>
                    <xdr:row>15</xdr:row>
                    <xdr:rowOff>30480</xdr:rowOff>
                  </from>
                  <to>
                    <xdr:col>8</xdr:col>
                    <xdr:colOff>815340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ltText="">
                <anchor moveWithCells="1">
                  <from>
                    <xdr:col>7</xdr:col>
                    <xdr:colOff>678180</xdr:colOff>
                    <xdr:row>16</xdr:row>
                    <xdr:rowOff>30480</xdr:rowOff>
                  </from>
                  <to>
                    <xdr:col>8</xdr:col>
                    <xdr:colOff>815340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ltText="">
                <anchor moveWithCells="1">
                  <from>
                    <xdr:col>7</xdr:col>
                    <xdr:colOff>678180</xdr:colOff>
                    <xdr:row>17</xdr:row>
                    <xdr:rowOff>30480</xdr:rowOff>
                  </from>
                  <to>
                    <xdr:col>8</xdr:col>
                    <xdr:colOff>815340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ltText="">
                <anchor moveWithCells="1">
                  <from>
                    <xdr:col>7</xdr:col>
                    <xdr:colOff>678180</xdr:colOff>
                    <xdr:row>18</xdr:row>
                    <xdr:rowOff>30480</xdr:rowOff>
                  </from>
                  <to>
                    <xdr:col>8</xdr:col>
                    <xdr:colOff>815340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ltText="">
                <anchor moveWithCells="1">
                  <from>
                    <xdr:col>5</xdr:col>
                    <xdr:colOff>563880</xdr:colOff>
                    <xdr:row>23</xdr:row>
                    <xdr:rowOff>0</xdr:rowOff>
                  </from>
                  <to>
                    <xdr:col>7</xdr:col>
                    <xdr:colOff>762000</xdr:colOff>
                    <xdr:row>29</xdr:row>
                    <xdr:rowOff>38100</xdr:rowOff>
                  </to>
                </anchor>
              </controlPr>
            </control>
          </mc:Choice>
        </mc:AlternateContent>
        <mc:AlternateContent xmlns:mc="http://schemas.openxmlformats.org/markup-compatibility/2006">
          <mc:Choice Requires="x14">
            <control shapeId="1123" r:id="rId23" name="Option Button 99">
              <controlPr defaultSize="0" autoFill="0" autoLine="0" autoPict="0" altText="">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ltText="">
                <anchor moveWithCells="1">
                  <from>
                    <xdr:col>8</xdr:col>
                    <xdr:colOff>762000</xdr:colOff>
                    <xdr:row>23</xdr:row>
                    <xdr:rowOff>0</xdr:rowOff>
                  </from>
                  <to>
                    <xdr:col>12</xdr:col>
                    <xdr:colOff>144780</xdr:colOff>
                    <xdr:row>29</xdr:row>
                    <xdr:rowOff>68580</xdr:rowOff>
                  </to>
                </anchor>
              </controlPr>
            </control>
          </mc:Choice>
        </mc:AlternateContent>
        <mc:AlternateContent xmlns:mc="http://schemas.openxmlformats.org/markup-compatibility/2006">
          <mc:Choice Requires="x14">
            <control shapeId="1139" r:id="rId25" name="Option Button 115">
              <controlPr defaultSize="0" autoFill="0" autoLine="0" autoPict="0" altText="">
                <anchor moveWithCells="1">
                  <from>
                    <xdr:col>8</xdr:col>
                    <xdr:colOff>792480</xdr:colOff>
                    <xdr:row>24</xdr:row>
                    <xdr:rowOff>7620</xdr:rowOff>
                  </from>
                  <to>
                    <xdr:col>9</xdr:col>
                    <xdr:colOff>350520</xdr:colOff>
                    <xdr:row>24</xdr:row>
                    <xdr:rowOff>182880</xdr:rowOff>
                  </to>
                </anchor>
              </controlPr>
            </control>
          </mc:Choice>
        </mc:AlternateContent>
        <mc:AlternateContent xmlns:mc="http://schemas.openxmlformats.org/markup-compatibility/2006">
          <mc:Choice Requires="x14">
            <control shapeId="1156" r:id="rId26" name="Option Button 132">
              <controlPr locked="0" defaultSize="0" autoFill="0" autoLine="0" autoPict="0" altText="">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ltText="">
                <anchor moveWithCells="1">
                  <from>
                    <xdr:col>8</xdr:col>
                    <xdr:colOff>792480</xdr:colOff>
                    <xdr:row>25</xdr:row>
                    <xdr:rowOff>7620</xdr:rowOff>
                  </from>
                  <to>
                    <xdr:col>9</xdr:col>
                    <xdr:colOff>350520</xdr:colOff>
                    <xdr:row>25</xdr:row>
                    <xdr:rowOff>182880</xdr:rowOff>
                  </to>
                </anchor>
              </controlPr>
            </control>
          </mc:Choice>
        </mc:AlternateContent>
        <mc:AlternateContent xmlns:mc="http://schemas.openxmlformats.org/markup-compatibility/2006">
          <mc:Choice Requires="x14">
            <control shapeId="1158" r:id="rId28" name="Option Button 134">
              <controlPr defaultSize="0" autoFill="0" autoLine="0" autoPict="0" altText="">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ltText="">
                <anchor moveWithCells="1">
                  <from>
                    <xdr:col>8</xdr:col>
                    <xdr:colOff>792480</xdr:colOff>
                    <xdr:row>26</xdr:row>
                    <xdr:rowOff>7620</xdr:rowOff>
                  </from>
                  <to>
                    <xdr:col>9</xdr:col>
                    <xdr:colOff>350520</xdr:colOff>
                    <xdr:row>26</xdr:row>
                    <xdr:rowOff>182880</xdr:rowOff>
                  </to>
                </anchor>
              </controlPr>
            </control>
          </mc:Choice>
        </mc:AlternateContent>
        <mc:AlternateContent xmlns:mc="http://schemas.openxmlformats.org/markup-compatibility/2006">
          <mc:Choice Requires="x14">
            <control shapeId="1160" r:id="rId30" name="Option Button 136">
              <controlPr defaultSize="0" autoFill="0" autoLine="0" autoPict="0" altText="">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ltText="">
                <anchor moveWithCells="1">
                  <from>
                    <xdr:col>8</xdr:col>
                    <xdr:colOff>792480</xdr:colOff>
                    <xdr:row>27</xdr:row>
                    <xdr:rowOff>0</xdr:rowOff>
                  </from>
                  <to>
                    <xdr:col>9</xdr:col>
                    <xdr:colOff>350520</xdr:colOff>
                    <xdr:row>27</xdr:row>
                    <xdr:rowOff>182880</xdr:rowOff>
                  </to>
                </anchor>
              </controlPr>
            </control>
          </mc:Choice>
        </mc:AlternateContent>
        <mc:AlternateContent xmlns:mc="http://schemas.openxmlformats.org/markup-compatibility/2006">
          <mc:Choice Requires="x14">
            <control shapeId="1162" r:id="rId32" name="Option Button 138">
              <controlPr defaultSize="0" autoFill="0" autoLine="0" autoPict="0" altText="">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ltText="">
                <anchor moveWithCells="1">
                  <from>
                    <xdr:col>8</xdr:col>
                    <xdr:colOff>792480</xdr:colOff>
                    <xdr:row>28</xdr:row>
                    <xdr:rowOff>0</xdr:rowOff>
                  </from>
                  <to>
                    <xdr:col>9</xdr:col>
                    <xdr:colOff>350520</xdr:colOff>
                    <xdr:row>28</xdr:row>
                    <xdr:rowOff>182880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281940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187" r:id="rId39" name="Option Button 163">
              <controlPr defaultSize="0" autoFill="0" autoLine="0" autoPict="0" altText="">
                <anchor moveWithCells="1">
                  <from>
                    <xdr:col>7</xdr:col>
                    <xdr:colOff>678180</xdr:colOff>
                    <xdr:row>19</xdr:row>
                    <xdr:rowOff>30480</xdr:rowOff>
                  </from>
                  <to>
                    <xdr:col>8</xdr:col>
                    <xdr:colOff>815340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 id="{A7297632-029A-475B-A437-D7E223EC6049}">
            <xm:f>$J$37=Formeln!$A$177</xm:f>
            <x14:dxf>
              <font>
                <color theme="0" tint="-0.34998626667073579"/>
              </font>
            </x14:dxf>
          </x14:cfRule>
          <xm:sqref>A38:A115 A37:B37 D37:K37</xm:sqref>
        </x14:conditionalFormatting>
        <x14:conditionalFormatting xmlns:xm="http://schemas.microsoft.com/office/excel/2006/main">
          <x14:cfRule type="expression" priority="129" id="{71489F02-7EBC-40B4-B2A2-6B2FB3FA743E}">
            <xm:f>$J$36=Formeln!$A$177</xm:f>
            <x14:dxf>
              <font>
                <color theme="0" tint="-0.34998626667073579"/>
              </font>
            </x14:dxf>
          </x14:cfRule>
          <xm:sqref>A36:B36 D36:K36</xm:sqref>
        </x14:conditionalFormatting>
        <x14:conditionalFormatting xmlns:xm="http://schemas.microsoft.com/office/excel/2006/main">
          <x14:cfRule type="expression" priority="126" id="{21F3188A-C5C9-4217-A3AE-3094FB3902C2}">
            <xm:f>$J$39=Formeln!$A$177</xm:f>
            <x14:dxf>
              <font>
                <color theme="0" tint="-0.34998626667073579"/>
              </font>
            </x14:dxf>
          </x14:cfRule>
          <xm:sqref>B39 D39:K39</xm:sqref>
        </x14:conditionalFormatting>
        <x14:conditionalFormatting xmlns:xm="http://schemas.microsoft.com/office/excel/2006/main">
          <x14:cfRule type="expression" priority="124" id="{BEEAC939-9ADB-4D6D-8BB6-00B5D2CDD18A}">
            <xm:f>$J$41=Formeln!$A$177</xm:f>
            <x14:dxf>
              <font>
                <color theme="0" tint="-0.34998626667073579"/>
              </font>
            </x14:dxf>
          </x14:cfRule>
          <xm:sqref>B41 D41:K41</xm:sqref>
        </x14:conditionalFormatting>
        <x14:conditionalFormatting xmlns:xm="http://schemas.microsoft.com/office/excel/2006/main">
          <x14:cfRule type="expression" priority="123" id="{C5BB3AC2-B3B6-4F0B-8B80-6C05152EB296}">
            <xm:f>$J$43=Formeln!$A$177</xm:f>
            <x14:dxf>
              <font>
                <color theme="0" tint="-0.34998626667073579"/>
              </font>
            </x14:dxf>
          </x14:cfRule>
          <xm:sqref>B43 D43:K43</xm:sqref>
        </x14:conditionalFormatting>
        <x14:conditionalFormatting xmlns:xm="http://schemas.microsoft.com/office/excel/2006/main">
          <x14:cfRule type="expression" priority="122" id="{7832B2F1-6BDA-4F9F-921F-4DEB8D8FA496}">
            <xm:f>$J$44=Formeln!$A$177</xm:f>
            <x14:dxf>
              <font>
                <color theme="0" tint="-0.34998626667073579"/>
              </font>
            </x14:dxf>
          </x14:cfRule>
          <xm:sqref>B44 D44:K44</xm:sqref>
        </x14:conditionalFormatting>
        <x14:conditionalFormatting xmlns:xm="http://schemas.microsoft.com/office/excel/2006/main">
          <x14:cfRule type="expression" priority="121" id="{BF94CED9-3E79-41A4-B15B-4786AE4EDC34}">
            <xm:f>$J$45=Formeln!$A$177</xm:f>
            <x14:dxf>
              <font>
                <color theme="0" tint="-0.34998626667073579"/>
              </font>
            </x14:dxf>
          </x14:cfRule>
          <xm:sqref>B45 D45:K45</xm:sqref>
        </x14:conditionalFormatting>
        <x14:conditionalFormatting xmlns:xm="http://schemas.microsoft.com/office/excel/2006/main">
          <x14:cfRule type="expression" priority="120" id="{FEE87D52-EE1E-49AE-BF2C-6824B621EC32}">
            <xm:f>$J$46=Formeln!$A$177</xm:f>
            <x14:dxf>
              <font>
                <color theme="0" tint="-0.34998626667073579"/>
              </font>
            </x14:dxf>
          </x14:cfRule>
          <xm:sqref>B46 D46:K46</xm:sqref>
        </x14:conditionalFormatting>
        <x14:conditionalFormatting xmlns:xm="http://schemas.microsoft.com/office/excel/2006/main">
          <x14:cfRule type="expression" priority="119" id="{4716234F-DAC6-4FCD-B720-77BD483DB8ED}">
            <xm:f>$J$47=Formeln!$A$177</xm:f>
            <x14:dxf>
              <font>
                <color theme="0" tint="-0.34998626667073579"/>
              </font>
            </x14:dxf>
          </x14:cfRule>
          <xm:sqref>B47 D47:K47 J48:K48</xm:sqref>
        </x14:conditionalFormatting>
        <x14:conditionalFormatting xmlns:xm="http://schemas.microsoft.com/office/excel/2006/main">
          <x14:cfRule type="expression" priority="117" id="{3CBA8DC8-F6F5-4468-9659-70B8EE241F5A}">
            <xm:f>$J$49=Formeln!$A$177</xm:f>
            <x14:dxf>
              <font>
                <color theme="0" tint="-0.34998626667073579"/>
              </font>
            </x14:dxf>
          </x14:cfRule>
          <xm:sqref>B49 D49:K49</xm:sqref>
        </x14:conditionalFormatting>
        <x14:conditionalFormatting xmlns:xm="http://schemas.microsoft.com/office/excel/2006/main">
          <x14:cfRule type="expression" priority="116" id="{18DDD663-D245-4061-A47A-643BF1B8B9ED}">
            <xm:f>$J$53=Formeln!$A$177</xm:f>
            <x14:dxf>
              <font>
                <color theme="0" tint="-0.34998626667073579"/>
              </font>
            </x14:dxf>
          </x14:cfRule>
          <xm:sqref>B53 D53:K53</xm:sqref>
        </x14:conditionalFormatting>
        <x14:conditionalFormatting xmlns:xm="http://schemas.microsoft.com/office/excel/2006/main">
          <x14:cfRule type="expression" priority="115" id="{965C31CD-F7C0-4EB6-87C7-E4F4F52F742A}">
            <xm:f>$J$54=Formeln!$A$177</xm:f>
            <x14:dxf>
              <font>
                <color theme="0" tint="-0.34998626667073579"/>
              </font>
            </x14:dxf>
          </x14:cfRule>
          <xm:sqref>B54 E54:K54</xm:sqref>
        </x14:conditionalFormatting>
        <x14:conditionalFormatting xmlns:xm="http://schemas.microsoft.com/office/excel/2006/main">
          <x14:cfRule type="expression" priority="114" id="{E75BE902-472C-4172-B878-ED030E549A53}">
            <xm:f>$J$55=Formeln!$A$177</xm:f>
            <x14:dxf>
              <font>
                <color theme="0" tint="-0.34998626667073579"/>
              </font>
            </x14:dxf>
          </x14:cfRule>
          <xm:sqref>B55 D55:K55</xm:sqref>
        </x14:conditionalFormatting>
        <x14:conditionalFormatting xmlns:xm="http://schemas.microsoft.com/office/excel/2006/main">
          <x14:cfRule type="expression" priority="113" id="{D9944D2B-71D5-4C7C-8395-A8815B43367F}">
            <xm:f>$J$56=Formeln!$A$177</xm:f>
            <x14:dxf>
              <font>
                <color theme="0" tint="-0.34998626667073579"/>
              </font>
            </x14:dxf>
          </x14:cfRule>
          <xm:sqref>B56 D56:K56</xm:sqref>
        </x14:conditionalFormatting>
        <x14:conditionalFormatting xmlns:xm="http://schemas.microsoft.com/office/excel/2006/main">
          <x14:cfRule type="expression" priority="112" id="{D6570B61-89AB-4920-AE8A-EB4AA6F421B9}">
            <xm:f>$J$57=Formeln!$A$177</xm:f>
            <x14:dxf>
              <font>
                <color theme="0" tint="-0.34998626667073579"/>
              </font>
            </x14:dxf>
          </x14:cfRule>
          <xm:sqref>B57 D57:K57</xm:sqref>
        </x14:conditionalFormatting>
        <x14:conditionalFormatting xmlns:xm="http://schemas.microsoft.com/office/excel/2006/main">
          <x14:cfRule type="expression" priority="111" id="{8440FB34-B238-4D13-B32C-ECD43025CB56}">
            <xm:f>$J$58=Formeln!$A$177</xm:f>
            <x14:dxf>
              <font>
                <color theme="0" tint="-0.34998626667073579"/>
              </font>
            </x14:dxf>
          </x14:cfRule>
          <xm:sqref>B58 D58:K58</xm:sqref>
        </x14:conditionalFormatting>
        <x14:conditionalFormatting xmlns:xm="http://schemas.microsoft.com/office/excel/2006/main">
          <x14:cfRule type="expression" priority="110" id="{9383F9C6-1A74-457A-848D-447CBA765484}">
            <xm:f>$J$59=Formeln!$A$177</xm:f>
            <x14:dxf>
              <font>
                <color theme="0" tint="-0.34998626667073579"/>
              </font>
            </x14:dxf>
          </x14:cfRule>
          <xm:sqref>B59 D59:K59</xm:sqref>
        </x14:conditionalFormatting>
        <x14:conditionalFormatting xmlns:xm="http://schemas.microsoft.com/office/excel/2006/main">
          <x14:cfRule type="expression" priority="109" id="{F9538138-C7E7-4553-AFC8-0BE4ACFE86F5}">
            <xm:f>$J$60=Formeln!$A$177</xm:f>
            <x14:dxf>
              <font>
                <color theme="0" tint="-0.34998626667073579"/>
              </font>
            </x14:dxf>
          </x14:cfRule>
          <xm:sqref>B60 D60:K60</xm:sqref>
        </x14:conditionalFormatting>
        <x14:conditionalFormatting xmlns:xm="http://schemas.microsoft.com/office/excel/2006/main">
          <x14:cfRule type="expression" priority="108" id="{AB50E477-A525-41CA-901E-63C7B3C56FEC}">
            <xm:f>$J$61=Formeln!$A$177</xm:f>
            <x14:dxf>
              <font>
                <color theme="0" tint="-0.34998626667073579"/>
              </font>
            </x14:dxf>
          </x14:cfRule>
          <xm:sqref>B61 D61:K61</xm:sqref>
        </x14:conditionalFormatting>
        <x14:conditionalFormatting xmlns:xm="http://schemas.microsoft.com/office/excel/2006/main">
          <x14:cfRule type="expression" priority="107" id="{C238ECFA-031C-4CB9-A9CD-B28DACC974E9}">
            <xm:f>$J$62=Formeln!$A$177</xm:f>
            <x14:dxf>
              <font>
                <color theme="0" tint="-0.34998626667073579"/>
              </font>
            </x14:dxf>
          </x14:cfRule>
          <xm:sqref>B62 D62:K62</xm:sqref>
        </x14:conditionalFormatting>
        <x14:conditionalFormatting xmlns:xm="http://schemas.microsoft.com/office/excel/2006/main">
          <x14:cfRule type="expression" priority="83" id="{E8846115-FC9A-47DD-BFED-18BF23748C2A}">
            <xm:f>$J$68=Formeln!$A$177</xm:f>
            <x14:dxf>
              <font>
                <color theme="0" tint="-0.34998626667073579"/>
              </font>
            </x14:dxf>
          </x14:cfRule>
          <xm:sqref>B68 D68:K68</xm:sqref>
        </x14:conditionalFormatting>
        <x14:conditionalFormatting xmlns:xm="http://schemas.microsoft.com/office/excel/2006/main">
          <x14:cfRule type="expression" priority="105" id="{49C09583-FA36-4E75-9E3F-5F8C01094E2B}">
            <xm:f>$J$69=Formeln!$A$177</xm:f>
            <x14:dxf>
              <font>
                <color theme="0" tint="-0.34998626667073579"/>
              </font>
            </x14:dxf>
          </x14:cfRule>
          <xm:sqref>B69 D69:K69 B93</xm:sqref>
        </x14:conditionalFormatting>
        <x14:conditionalFormatting xmlns:xm="http://schemas.microsoft.com/office/excel/2006/main">
          <x14:cfRule type="expression" priority="81" id="{147ED8EB-41B1-4659-B21F-A3BC8D7D4A5B}">
            <xm:f>$J$70=Formeln!$A$177</xm:f>
            <x14:dxf>
              <font>
                <color theme="0" tint="-0.34998626667073579"/>
              </font>
            </x14:dxf>
          </x14:cfRule>
          <xm:sqref>B70 D70:K70</xm:sqref>
        </x14:conditionalFormatting>
        <x14:conditionalFormatting xmlns:xm="http://schemas.microsoft.com/office/excel/2006/main">
          <x14:cfRule type="expression" priority="104" id="{9B614231-3FFC-4B03-9007-260EDE6DC280}">
            <xm:f>$J$81=Formeln!$A$177</xm:f>
            <x14:dxf>
              <font>
                <color theme="0" tint="-0.34998626667073579"/>
              </font>
            </x14:dxf>
          </x14:cfRule>
          <xm:sqref>B81 D81:K81</xm:sqref>
        </x14:conditionalFormatting>
        <x14:conditionalFormatting xmlns:xm="http://schemas.microsoft.com/office/excel/2006/main">
          <x14:cfRule type="expression" priority="103" id="{359AE584-DD33-472C-AB0F-64913465B0D5}">
            <xm:f>$J$82=Formeln!$A$177</xm:f>
            <x14:dxf>
              <font>
                <color theme="0" tint="-0.34998626667073579"/>
              </font>
            </x14:dxf>
          </x14:cfRule>
          <xm:sqref>B82 D82:K82</xm:sqref>
        </x14:conditionalFormatting>
        <x14:conditionalFormatting xmlns:xm="http://schemas.microsoft.com/office/excel/2006/main">
          <x14:cfRule type="expression" priority="82" id="{78C8ECB1-DDA4-4FF5-8C32-0A67883D32B2}">
            <xm:f>$J$83=Formeln!$A$177</xm:f>
            <x14:dxf>
              <font>
                <color theme="0" tint="-0.34998626667073579"/>
              </font>
            </x14:dxf>
          </x14:cfRule>
          <xm:sqref>B83 D83:K83</xm:sqref>
        </x14:conditionalFormatting>
        <x14:conditionalFormatting xmlns:xm="http://schemas.microsoft.com/office/excel/2006/main">
          <x14:cfRule type="expression" priority="102" id="{C2C3A87D-83AB-4B63-B09C-09583EFD6B2C}">
            <xm:f>$J$84=Formeln!$A$177</xm:f>
            <x14:dxf>
              <font>
                <color theme="0" tint="-0.34998626667073579"/>
              </font>
            </x14:dxf>
          </x14:cfRule>
          <xm:sqref>B84 D84:K84</xm:sqref>
        </x14:conditionalFormatting>
        <x14:conditionalFormatting xmlns:xm="http://schemas.microsoft.com/office/excel/2006/main">
          <x14:cfRule type="expression" priority="101" id="{EF0B7A3A-F268-476D-B518-7CE29A0E869F}">
            <xm:f>$J$85=Formeln!$A$177</xm:f>
            <x14:dxf>
              <font>
                <color theme="0" tint="-0.34998626667073579"/>
              </font>
            </x14:dxf>
          </x14:cfRule>
          <xm:sqref>B85 D85:K85</xm:sqref>
        </x14:conditionalFormatting>
        <x14:conditionalFormatting xmlns:xm="http://schemas.microsoft.com/office/excel/2006/main">
          <x14:cfRule type="expression" priority="100" id="{51320D22-53E4-46A0-8E87-EAA10C38FE5F}">
            <xm:f>$J$86=Formeln!$A$177</xm:f>
            <x14:dxf>
              <font>
                <color theme="0" tint="-0.34998626667073579"/>
              </font>
            </x14:dxf>
          </x14:cfRule>
          <xm:sqref>B86 D86:K86</xm:sqref>
        </x14:conditionalFormatting>
        <x14:conditionalFormatting xmlns:xm="http://schemas.microsoft.com/office/excel/2006/main">
          <x14:cfRule type="expression" priority="99" id="{A9EAE49A-C23B-44A2-81E7-C654B6AB71BB}">
            <xm:f>$J$87=Formeln!$A$177</xm:f>
            <x14:dxf>
              <font>
                <color theme="0" tint="-0.34998626667073579"/>
              </font>
            </x14:dxf>
          </x14:cfRule>
          <xm:sqref>B87 D87:K87</xm:sqref>
        </x14:conditionalFormatting>
        <x14:conditionalFormatting xmlns:xm="http://schemas.microsoft.com/office/excel/2006/main">
          <x14:cfRule type="expression" priority="98" id="{733DE0F4-DC5A-490D-870A-01F82078341B}">
            <xm:f>$J$88=Formeln!$A$177</xm:f>
            <x14:dxf>
              <font>
                <color theme="0" tint="-0.34998626667073579"/>
              </font>
            </x14:dxf>
          </x14:cfRule>
          <xm:sqref>B88 D88:K88</xm:sqref>
        </x14:conditionalFormatting>
        <x14:conditionalFormatting xmlns:xm="http://schemas.microsoft.com/office/excel/2006/main">
          <x14:cfRule type="expression" priority="97" id="{B65FCF3D-38A7-43B7-85A9-BD670FB1EA4F}">
            <xm:f>$J$89=Formeln!$A$177</xm:f>
            <x14:dxf>
              <font>
                <color theme="0" tint="-0.34998626667073579"/>
              </font>
            </x14:dxf>
          </x14:cfRule>
          <xm:sqref>B89 D89:K89</xm:sqref>
        </x14:conditionalFormatting>
        <x14:conditionalFormatting xmlns:xm="http://schemas.microsoft.com/office/excel/2006/main">
          <x14:cfRule type="expression" priority="94" id="{7B8AA3E3-104C-41F1-A1E0-FCE6BD18E07E}">
            <xm:f>$J$91=Formeln!$A$177</xm:f>
            <x14:dxf>
              <font>
                <color theme="0" tint="-0.34998626667073579"/>
              </font>
            </x14:dxf>
          </x14:cfRule>
          <xm:sqref>B91 D91:K91</xm:sqref>
        </x14:conditionalFormatting>
        <x14:conditionalFormatting xmlns:xm="http://schemas.microsoft.com/office/excel/2006/main">
          <x14:cfRule type="expression" priority="93" id="{C5ED3874-7FB4-4F49-A3E7-A01A0ECD3192}">
            <xm:f>$J$92=Formeln!$A$177</xm:f>
            <x14:dxf>
              <font>
                <color theme="0" tint="-0.34998626667073579"/>
              </font>
            </x14:dxf>
          </x14:cfRule>
          <xm:sqref>B92 D92:K92</xm:sqref>
        </x14:conditionalFormatting>
        <x14:conditionalFormatting xmlns:xm="http://schemas.microsoft.com/office/excel/2006/main">
          <x14:cfRule type="expression" priority="92" id="{4C35F7B6-1101-4837-AA8E-4230C1D6E344}">
            <xm:f>$J$96=Formeln!$A$177</xm:f>
            <x14:dxf>
              <font>
                <color theme="0" tint="-0.34998626667073579"/>
              </font>
            </x14:dxf>
          </x14:cfRule>
          <xm:sqref>B96 D96:K96</xm:sqref>
        </x14:conditionalFormatting>
        <x14:conditionalFormatting xmlns:xm="http://schemas.microsoft.com/office/excel/2006/main">
          <x14:cfRule type="expression" priority="91" id="{94B72B97-3438-41D1-9D6D-F062AA95A79F}">
            <xm:f>$J$97=Formeln!$A$177</xm:f>
            <x14:dxf>
              <font>
                <color theme="0" tint="-0.34998626667073579"/>
              </font>
            </x14:dxf>
          </x14:cfRule>
          <xm:sqref>B97 D97:K97</xm:sqref>
        </x14:conditionalFormatting>
        <x14:conditionalFormatting xmlns:xm="http://schemas.microsoft.com/office/excel/2006/main">
          <x14:cfRule type="expression" priority="90" id="{143585D9-A433-4034-8B2F-9D446B2473B2}">
            <xm:f>$J$98=Formeln!$A$177</xm:f>
            <x14:dxf>
              <font>
                <color theme="0" tint="-0.34998626667073579"/>
              </font>
            </x14:dxf>
          </x14:cfRule>
          <xm:sqref>B98 D98:K98</xm:sqref>
        </x14:conditionalFormatting>
        <x14:conditionalFormatting xmlns:xm="http://schemas.microsoft.com/office/excel/2006/main">
          <x14:cfRule type="expression" priority="89" id="{B9B26701-0E7C-44D9-B9B0-344D9845A903}">
            <xm:f>$J$99=Formeln!$A$177</xm:f>
            <x14:dxf>
              <font>
                <color theme="0" tint="-0.34998626667073579"/>
              </font>
            </x14:dxf>
          </x14:cfRule>
          <xm:sqref>B99 D99:K99</xm:sqref>
        </x14:conditionalFormatting>
        <x14:conditionalFormatting xmlns:xm="http://schemas.microsoft.com/office/excel/2006/main">
          <x14:cfRule type="expression" priority="88" id="{CF4FF2FF-D930-46CC-BE72-1DFDB2F45E31}">
            <xm:f>$J$100=Formeln!$A$177</xm:f>
            <x14:dxf>
              <font>
                <color theme="0" tint="-0.34998626667073579"/>
              </font>
            </x14:dxf>
          </x14:cfRule>
          <xm:sqref>B100 D100:K100</xm:sqref>
        </x14:conditionalFormatting>
        <x14:conditionalFormatting xmlns:xm="http://schemas.microsoft.com/office/excel/2006/main">
          <x14:cfRule type="expression" priority="87" id="{EDE3979E-E68D-429C-839B-395F0D7B07D5}">
            <xm:f>$J$104=Formeln!$A$177</xm:f>
            <x14:dxf>
              <font>
                <color theme="0" tint="-0.34998626667073579"/>
              </font>
            </x14:dxf>
          </x14:cfRule>
          <xm:sqref>B104 D104:K104</xm:sqref>
        </x14:conditionalFormatting>
        <x14:conditionalFormatting xmlns:xm="http://schemas.microsoft.com/office/excel/2006/main">
          <x14:cfRule type="expression" priority="86" id="{9D04698F-A851-4A3B-B639-6F19203AB03E}">
            <xm:f>$J$105=Formeln!$A$177</xm:f>
            <x14:dxf>
              <font>
                <color theme="0" tint="-0.34998626667073579"/>
              </font>
            </x14:dxf>
          </x14:cfRule>
          <xm:sqref>B105 D105:K105</xm:sqref>
        </x14:conditionalFormatting>
        <x14:conditionalFormatting xmlns:xm="http://schemas.microsoft.com/office/excel/2006/main">
          <x14:cfRule type="expression" priority="84" id="{75ED521F-416A-4309-BFE9-336DC7FD2C20}">
            <xm:f>$J$106=Formeln!$A$177</xm:f>
            <x14:dxf>
              <font>
                <color theme="0" tint="-0.34998626667073579"/>
              </font>
            </x14:dxf>
          </x14:cfRule>
          <xm:sqref>B106 D106:K106</xm:sqref>
        </x14:conditionalFormatting>
        <x14:conditionalFormatting xmlns:xm="http://schemas.microsoft.com/office/excel/2006/main">
          <x14:cfRule type="expression" priority="63" id="{6A64F2EA-C183-43DB-8B96-0F1E6690AAC8}">
            <xm:f>$J$107=Formeln!$A$177</xm:f>
            <x14:dxf>
              <font>
                <color theme="0" tint="-0.34998626667073579"/>
              </font>
            </x14:dxf>
          </x14:cfRule>
          <xm:sqref>B107:B109 E108:I109</xm:sqref>
        </x14:conditionalFormatting>
        <x14:conditionalFormatting xmlns:xm="http://schemas.microsoft.com/office/excel/2006/main">
          <x14:cfRule type="expression" priority="79" id="{FF3C8476-8C64-4D88-B9D4-967F560DCBD2}">
            <xm:f>$J$53=Formeln!$A$177</xm:f>
            <x14:dxf>
              <font>
                <color theme="0" tint="-0.34998626667073579"/>
              </font>
            </x14:dxf>
          </x14:cfRule>
          <xm:sqref>D54</xm:sqref>
        </x14:conditionalFormatting>
        <x14:conditionalFormatting xmlns:xm="http://schemas.microsoft.com/office/excel/2006/main">
          <x14:cfRule type="expression" priority="74" id="{5D3D5CF1-B8C0-4179-B4A3-C22258B5DD62}">
            <xm:f>$J$92=Formeln!$A$177</xm:f>
            <x14:dxf>
              <font>
                <color theme="0" tint="-0.34998626667073579"/>
              </font>
            </x14:dxf>
          </x14:cfRule>
          <xm:sqref>D94</xm:sqref>
        </x14:conditionalFormatting>
        <x14:conditionalFormatting xmlns:xm="http://schemas.microsoft.com/office/excel/2006/main">
          <x14:cfRule type="expression" priority="69" id="{08BD8935-78AB-4827-9B12-7FCFD918A5D6}">
            <xm:f>$J$84=Formeln!$A$177</xm:f>
            <x14:dxf>
              <font>
                <color theme="0" tint="-0.34998626667073579"/>
              </font>
            </x14:dxf>
          </x14:cfRule>
          <xm:sqref>D93:I93</xm:sqref>
        </x14:conditionalFormatting>
        <x14:conditionalFormatting xmlns:xm="http://schemas.microsoft.com/office/excel/2006/main">
          <x14:cfRule type="expression" priority="85" id="{991ABCC2-87CF-470F-81AE-22893866445D}">
            <xm:f>$J$107=Formeln!$A$177</xm:f>
            <x14:dxf>
              <font>
                <color theme="0" tint="-0.34998626667073579"/>
              </font>
            </x14:dxf>
          </x14:cfRule>
          <xm:sqref>D107:K107</xm:sqref>
        </x14:conditionalFormatting>
        <x14:conditionalFormatting xmlns:xm="http://schemas.microsoft.com/office/excel/2006/main">
          <x14:cfRule type="expression" priority="253"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52"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6" id="{A95D6D3E-68F5-42D7-8EDE-B5AD04598597}">
            <xm:f>$J$70=Formeln!$A$177</xm:f>
            <x14:dxf>
              <font>
                <color theme="0" tint="-0.34998626667073579"/>
              </font>
            </x14:dxf>
          </x14:cfRule>
          <xm:sqref>J67:K67</xm:sqref>
        </x14:conditionalFormatting>
        <x14:conditionalFormatting xmlns:xm="http://schemas.microsoft.com/office/excel/2006/main">
          <x14:cfRule type="expression" priority="166" id="{7042C878-54FD-48B3-8E67-1722AB3E733B}">
            <xm:f>$J$71=Formeln!$A$1</xm:f>
            <x14:dxf>
              <fill>
                <patternFill>
                  <bgColor theme="0" tint="-0.14996795556505021"/>
                </patternFill>
              </fill>
            </x14:dxf>
          </x14:cfRule>
          <xm:sqref>J71:K71 J73</xm:sqref>
        </x14:conditionalFormatting>
        <x14:conditionalFormatting xmlns:xm="http://schemas.microsoft.com/office/excel/2006/main">
          <x14:cfRule type="expression" priority="165" id="{A8C9E1D5-9E24-4709-AB41-E53DCA36D4BD}">
            <xm:f>$J$73=Formeln!$A$1</xm:f>
            <x14:dxf>
              <fill>
                <patternFill>
                  <bgColor theme="0" tint="-0.14996795556505021"/>
                </patternFill>
              </fill>
            </x14:dxf>
          </x14:cfRule>
          <xm:sqref>J73:K73</xm:sqref>
        </x14:conditionalFormatting>
        <x14:conditionalFormatting xmlns:xm="http://schemas.microsoft.com/office/excel/2006/main">
          <x14:cfRule type="expression" priority="246" id="{D9B77599-2A0D-434D-A62B-95AE6D30D9DF}">
            <xm:f>$J$75=Formeln!$A$1</xm:f>
            <x14:dxf>
              <fill>
                <patternFill>
                  <bgColor theme="0" tint="-0.14996795556505021"/>
                </patternFill>
              </fill>
            </x14:dxf>
          </x14:cfRule>
          <xm:sqref>J75:K75</xm:sqref>
        </x14:conditionalFormatting>
        <x14:conditionalFormatting xmlns:xm="http://schemas.microsoft.com/office/excel/2006/main">
          <x14:cfRule type="expression" priority="1" id="{BC650406-3A22-4F36-B615-A1D439BBE8F5}">
            <xm:f>$J$78=Formeln!$A$1</xm:f>
            <x14:dxf>
              <fill>
                <patternFill>
                  <bgColor theme="0" tint="-0.14996795556505021"/>
                </patternFill>
              </fill>
            </x14:dxf>
          </x14:cfRule>
          <xm:sqref>J78:K78</xm:sqref>
        </x14:conditionalFormatting>
        <x14:conditionalFormatting xmlns:xm="http://schemas.microsoft.com/office/excel/2006/main">
          <x14:cfRule type="expression" priority="80" id="{7356F648-D6B3-4A24-8D22-35B553410BDF}">
            <xm:f>$J$80=Formeln!$A$177</xm:f>
            <x14:dxf>
              <font>
                <color theme="0" tint="-0.34998626667073579"/>
              </font>
            </x14:dxf>
          </x14:cfRule>
          <xm:sqref>J80:K80</xm:sqref>
        </x14:conditionalFormatting>
        <x14:conditionalFormatting xmlns:xm="http://schemas.microsoft.com/office/excel/2006/main">
          <x14:cfRule type="expression" priority="245" id="{EA9F1C99-4D3D-4CDE-B566-7A9A25819B16}">
            <xm:f>$J$90=Formeln!$A$1</xm:f>
            <x14:dxf>
              <fill>
                <patternFill>
                  <bgColor theme="0" tint="-0.14996795556505021"/>
                </patternFill>
              </fill>
            </x14:dxf>
          </x14:cfRule>
          <xm:sqref>J90:K90</xm:sqref>
        </x14:conditionalFormatting>
        <x14:conditionalFormatting xmlns:xm="http://schemas.microsoft.com/office/excel/2006/main">
          <x14:cfRule type="expression" priority="244" id="{3AB3A3D6-F198-40F5-BF18-CD300C8E03D7}">
            <xm:f>$J$101=Formeln!$A$1</xm:f>
            <x14:dxf>
              <fill>
                <patternFill>
                  <bgColor theme="0" tint="-0.14996795556505021"/>
                </patternFill>
              </fill>
            </x14:dxf>
          </x14:cfRule>
          <xm:sqref>J101:K101</xm:sqref>
        </x14:conditionalFormatting>
        <x14:conditionalFormatting xmlns:xm="http://schemas.microsoft.com/office/excel/2006/main">
          <x14:cfRule type="expression" priority="72" id="{2E61C0F6-6F6F-46FE-947B-E0896994D016}">
            <xm:f>$J$69=Formeln!$A$177</xm:f>
            <x14:dxf>
              <font>
                <color theme="0" tint="-0.34998626667073579"/>
              </font>
            </x14:dxf>
          </x14:cfRule>
          <xm:sqref>J93:O93</xm:sqref>
        </x14:conditionalFormatting>
        <x14:conditionalFormatting xmlns:xm="http://schemas.microsoft.com/office/excel/2006/main">
          <x14:cfRule type="expression" priority="60" id="{B829B512-5D88-4627-8B4F-703E37E0C88A}">
            <xm:f>Info!$V$7=8</xm:f>
            <x14:dxf>
              <font>
                <color theme="1"/>
              </font>
              <border>
                <left style="thin">
                  <color auto="1"/>
                </left>
                <right style="thin">
                  <color auto="1"/>
                </right>
                <top style="thin">
                  <color auto="1"/>
                </top>
                <bottom style="thin">
                  <color auto="1"/>
                </bottom>
                <vertical/>
                <horizontal/>
              </border>
            </x14:dxf>
          </x14:cfRule>
          <xm:sqref>O35:O115</xm:sqref>
        </x14:conditionalFormatting>
        <x14:conditionalFormatting xmlns:xm="http://schemas.microsoft.com/office/excel/2006/main">
          <x14:cfRule type="expression" priority="59" id="{CA76B460-0EE0-4DCA-86B5-5945A0FD47BF}">
            <xm:f>Info!$V$7=8</xm:f>
            <x14:dxf>
              <font>
                <color theme="1"/>
              </font>
              <border>
                <bottom style="thin">
                  <color auto="1"/>
                </bottom>
              </border>
            </x14:dxf>
          </x14:cfRule>
          <xm:sqref>O120</xm:sqref>
        </x14:conditionalFormatting>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AK76</xm:sqref>
        </x14:conditionalFormatting>
        <x14:conditionalFormatting xmlns:xm="http://schemas.microsoft.com/office/excel/2006/main">
          <x14:cfRule type="expression" priority="57" id="{6D4F940D-6704-479A-9581-9BEDB7AFE744}">
            <xm:f>$J$36=Formeln!$A$177</xm:f>
            <x14:dxf>
              <font>
                <color theme="0" tint="-0.34998626667073579"/>
              </font>
            </x14:dxf>
          </x14:cfRule>
          <xm:sqref>ES36:EW36</xm:sqref>
        </x14:conditionalFormatting>
        <x14:conditionalFormatting xmlns:xm="http://schemas.microsoft.com/office/excel/2006/main">
          <x14:cfRule type="expression" priority="56" id="{41BECCB9-3C7B-44CC-86F0-5D71851E5AD7}">
            <xm:f>$J$37=Formeln!$A$177</xm:f>
            <x14:dxf>
              <font>
                <color theme="0" tint="-0.34998626667073579"/>
              </font>
            </x14:dxf>
          </x14:cfRule>
          <xm:sqref>ES37:EW37</xm:sqref>
        </x14:conditionalFormatting>
        <x14:conditionalFormatting xmlns:xm="http://schemas.microsoft.com/office/excel/2006/main">
          <x14:cfRule type="expression" priority="54" id="{F984C208-E0DB-472C-91F1-5579C651E2BC}">
            <xm:f>$J$39=Formeln!$A$177</xm:f>
            <x14:dxf>
              <font>
                <color theme="0" tint="-0.34998626667073579"/>
              </font>
            </x14:dxf>
          </x14:cfRule>
          <xm:sqref>ES39:EW39</xm:sqref>
        </x14:conditionalFormatting>
        <x14:conditionalFormatting xmlns:xm="http://schemas.microsoft.com/office/excel/2006/main">
          <x14:cfRule type="expression" priority="52" id="{ECB1C152-E70C-4AE3-A214-512BCE66777D}">
            <xm:f>$J$41=Formeln!$A$177</xm:f>
            <x14:dxf>
              <font>
                <color theme="0" tint="-0.34998626667073579"/>
              </font>
            </x14:dxf>
          </x14:cfRule>
          <xm:sqref>ES41:EW41</xm:sqref>
        </x14:conditionalFormatting>
        <x14:conditionalFormatting xmlns:xm="http://schemas.microsoft.com/office/excel/2006/main">
          <x14:cfRule type="expression" priority="51" id="{1813E519-D7B6-4633-905E-BA73300AD9FE}">
            <xm:f>$J$43=Formeln!$A$177</xm:f>
            <x14:dxf>
              <font>
                <color theme="0" tint="-0.34998626667073579"/>
              </font>
            </x14:dxf>
          </x14:cfRule>
          <xm:sqref>ES43:EW43</xm:sqref>
        </x14:conditionalFormatting>
        <x14:conditionalFormatting xmlns:xm="http://schemas.microsoft.com/office/excel/2006/main">
          <x14:cfRule type="expression" priority="50" id="{F47897D2-23D0-4D84-BC95-CF32A3BB8C97}">
            <xm:f>$J$44=Formeln!$A$177</xm:f>
            <x14:dxf>
              <font>
                <color theme="0" tint="-0.34998626667073579"/>
              </font>
            </x14:dxf>
          </x14:cfRule>
          <xm:sqref>ES44:EW44</xm:sqref>
        </x14:conditionalFormatting>
        <x14:conditionalFormatting xmlns:xm="http://schemas.microsoft.com/office/excel/2006/main">
          <x14:cfRule type="expression" priority="49" id="{5FA81113-420A-43DB-8D5A-CFDD2C22A1AB}">
            <xm:f>$J$45=Formeln!$A$177</xm:f>
            <x14:dxf>
              <font>
                <color theme="0" tint="-0.34998626667073579"/>
              </font>
            </x14:dxf>
          </x14:cfRule>
          <xm:sqref>ES45:EW45</xm:sqref>
        </x14:conditionalFormatting>
        <x14:conditionalFormatting xmlns:xm="http://schemas.microsoft.com/office/excel/2006/main">
          <x14:cfRule type="expression" priority="48" id="{40C63C1E-A561-41B4-842F-B3653495DC0D}">
            <xm:f>$J$46=Formeln!$A$177</xm:f>
            <x14:dxf>
              <font>
                <color theme="0" tint="-0.34998626667073579"/>
              </font>
            </x14:dxf>
          </x14:cfRule>
          <xm:sqref>ES46:EW46</xm:sqref>
        </x14:conditionalFormatting>
        <x14:conditionalFormatting xmlns:xm="http://schemas.microsoft.com/office/excel/2006/main">
          <x14:cfRule type="expression" priority="45" id="{B278DF54-3FD3-4896-A720-4A5F86A31F35}">
            <xm:f>$J$49=Formeln!$A$177</xm:f>
            <x14:dxf>
              <font>
                <color theme="0" tint="-0.34998626667073579"/>
              </font>
            </x14:dxf>
          </x14:cfRule>
          <xm:sqref>ES49:EW49</xm:sqref>
        </x14:conditionalFormatting>
        <x14:conditionalFormatting xmlns:xm="http://schemas.microsoft.com/office/excel/2006/main">
          <x14:cfRule type="expression" priority="44" id="{068D56C6-EA64-45F0-ACD3-72FBD7479ECE}">
            <xm:f>$J$53=Formeln!$A$177</xm:f>
            <x14:dxf>
              <font>
                <color theme="0" tint="-0.34998626667073579"/>
              </font>
            </x14:dxf>
          </x14:cfRule>
          <xm:sqref>ES53:EW53</xm:sqref>
        </x14:conditionalFormatting>
        <x14:conditionalFormatting xmlns:xm="http://schemas.microsoft.com/office/excel/2006/main">
          <x14:cfRule type="expression" priority="43" id="{0BCA52AD-7CC2-4FAA-9976-4D767FE82F53}">
            <xm:f>$J$54=Formeln!$A$177</xm:f>
            <x14:dxf>
              <font>
                <color theme="0" tint="-0.34998626667073579"/>
              </font>
            </x14:dxf>
          </x14:cfRule>
          <xm:sqref>ES54:EW54</xm:sqref>
        </x14:conditionalFormatting>
        <x14:conditionalFormatting xmlns:xm="http://schemas.microsoft.com/office/excel/2006/main">
          <x14:cfRule type="expression" priority="42" id="{1EE43C12-1BFE-4959-B6CB-215C0BDB5B12}">
            <xm:f>$J$55=Formeln!$A$177</xm:f>
            <x14:dxf>
              <font>
                <color theme="0" tint="-0.34998626667073579"/>
              </font>
            </x14:dxf>
          </x14:cfRule>
          <xm:sqref>ES55:EW55</xm:sqref>
        </x14:conditionalFormatting>
        <x14:conditionalFormatting xmlns:xm="http://schemas.microsoft.com/office/excel/2006/main">
          <x14:cfRule type="expression" priority="41" id="{BE8CD71F-0FC8-44B7-85C8-F68E2AF5471F}">
            <xm:f>$J$56=Formeln!$A$177</xm:f>
            <x14:dxf>
              <font>
                <color theme="0" tint="-0.34998626667073579"/>
              </font>
            </x14:dxf>
          </x14:cfRule>
          <xm:sqref>ES56:EW56</xm:sqref>
        </x14:conditionalFormatting>
        <x14:conditionalFormatting xmlns:xm="http://schemas.microsoft.com/office/excel/2006/main">
          <x14:cfRule type="expression" priority="40" id="{D3060B3C-9CC1-4C0B-8AE6-761A9A5C7003}">
            <xm:f>$J$57=Formeln!$A$177</xm:f>
            <x14:dxf>
              <font>
                <color theme="0" tint="-0.34998626667073579"/>
              </font>
            </x14:dxf>
          </x14:cfRule>
          <xm:sqref>ES57:EW57</xm:sqref>
        </x14:conditionalFormatting>
        <x14:conditionalFormatting xmlns:xm="http://schemas.microsoft.com/office/excel/2006/main">
          <x14:cfRule type="expression" priority="39" id="{2D3D3B53-7DC3-40E1-9167-8B034DD35FAC}">
            <xm:f>$J$58=Formeln!$A$177</xm:f>
            <x14:dxf>
              <font>
                <color theme="0" tint="-0.34998626667073579"/>
              </font>
            </x14:dxf>
          </x14:cfRule>
          <xm:sqref>ES58:EW58</xm:sqref>
        </x14:conditionalFormatting>
        <x14:conditionalFormatting xmlns:xm="http://schemas.microsoft.com/office/excel/2006/main">
          <x14:cfRule type="expression" priority="38" id="{7110F77B-BBAB-4EB3-A7A5-4AAB00F075F0}">
            <xm:f>$J$59=Formeln!$A$177</xm:f>
            <x14:dxf>
              <font>
                <color theme="0" tint="-0.34998626667073579"/>
              </font>
            </x14:dxf>
          </x14:cfRule>
          <xm:sqref>ES59:EW59</xm:sqref>
        </x14:conditionalFormatting>
        <x14:conditionalFormatting xmlns:xm="http://schemas.microsoft.com/office/excel/2006/main">
          <x14:cfRule type="expression" priority="37" id="{AE627290-378A-43AC-B3A3-4A855CF49311}">
            <xm:f>$J$60=Formeln!$A$177</xm:f>
            <x14:dxf>
              <font>
                <color theme="0" tint="-0.34998626667073579"/>
              </font>
            </x14:dxf>
          </x14:cfRule>
          <xm:sqref>ES60:EW60</xm:sqref>
        </x14:conditionalFormatting>
        <x14:conditionalFormatting xmlns:xm="http://schemas.microsoft.com/office/excel/2006/main">
          <x14:cfRule type="expression" priority="36" id="{62CCCB3B-DDE6-4BFD-AF02-517F7C36B11E}">
            <xm:f>$J$61=Formeln!$A$177</xm:f>
            <x14:dxf>
              <font>
                <color theme="0" tint="-0.34998626667073579"/>
              </font>
            </x14:dxf>
          </x14:cfRule>
          <xm:sqref>ES61:EW61</xm:sqref>
        </x14:conditionalFormatting>
        <x14:conditionalFormatting xmlns:xm="http://schemas.microsoft.com/office/excel/2006/main">
          <x14:cfRule type="expression" priority="35" id="{2FB7BA0A-1BB2-4DC2-9A0D-81844DCEA592}">
            <xm:f>$J$62=Formeln!$A$177</xm:f>
            <x14:dxf>
              <font>
                <color theme="0" tint="-0.34998626667073579"/>
              </font>
            </x14:dxf>
          </x14:cfRule>
          <xm:sqref>ES62:EW62</xm:sqref>
        </x14:conditionalFormatting>
        <x14:conditionalFormatting xmlns:xm="http://schemas.microsoft.com/office/excel/2006/main">
          <x14:cfRule type="expression" priority="34" id="{3E62A6FA-1E1C-4A30-A2F1-770F0306D79C}">
            <xm:f>$J$67=Formeln!$A$177</xm:f>
            <x14:dxf>
              <font>
                <color theme="0" tint="-0.34998626667073579"/>
              </font>
            </x14:dxf>
          </x14:cfRule>
          <xm:sqref>ES67:EW67</xm:sqref>
        </x14:conditionalFormatting>
        <x14:conditionalFormatting xmlns:xm="http://schemas.microsoft.com/office/excel/2006/main">
          <x14:cfRule type="expression" priority="12" id="{C6A94F65-1FEB-4635-B1D4-57828B636C93}">
            <xm:f>$J$68=Formeln!$A$177</xm:f>
            <x14:dxf>
              <font>
                <color theme="0" tint="-0.34998626667073579"/>
              </font>
            </x14:dxf>
          </x14:cfRule>
          <xm:sqref>ES68:EW68</xm:sqref>
        </x14:conditionalFormatting>
        <x14:conditionalFormatting xmlns:xm="http://schemas.microsoft.com/office/excel/2006/main">
          <x14:cfRule type="expression" priority="33" id="{78FF224F-26FB-44F2-B6FD-A5463280D1A8}">
            <xm:f>$J$69=Formeln!$A$177</xm:f>
            <x14:dxf>
              <font>
                <color theme="0" tint="-0.34998626667073579"/>
              </font>
            </x14:dxf>
          </x14:cfRule>
          <xm:sqref>ES69:EW69</xm:sqref>
        </x14:conditionalFormatting>
        <x14:conditionalFormatting xmlns:xm="http://schemas.microsoft.com/office/excel/2006/main">
          <x14:cfRule type="expression" priority="10" id="{C62C8F33-7F2B-49A2-B963-B9270547F4E6}">
            <xm:f>$J$70=Formeln!$A$177</xm:f>
            <x14:dxf>
              <font>
                <color theme="0" tint="-0.34998626667073579"/>
              </font>
            </x14:dxf>
          </x14:cfRule>
          <xm:sqref>ES70:EW70</xm:sqref>
        </x14:conditionalFormatting>
        <x14:conditionalFormatting xmlns:xm="http://schemas.microsoft.com/office/excel/2006/main">
          <x14:cfRule type="expression" priority="32" id="{AC4F44AA-C005-45E5-82AF-C7AC75E8C730}">
            <xm:f>$J$81=Formeln!$A$177</xm:f>
            <x14:dxf>
              <font>
                <color theme="0" tint="-0.34998626667073579"/>
              </font>
            </x14:dxf>
          </x14:cfRule>
          <xm:sqref>ES81:EW81</xm:sqref>
        </x14:conditionalFormatting>
        <x14:conditionalFormatting xmlns:xm="http://schemas.microsoft.com/office/excel/2006/main">
          <x14:cfRule type="expression" priority="31" id="{C107FBB9-D952-43B2-9198-7E95F37FE425}">
            <xm:f>$J$82=Formeln!$A$177</xm:f>
            <x14:dxf>
              <font>
                <color theme="0" tint="-0.34998626667073579"/>
              </font>
            </x14:dxf>
          </x14:cfRule>
          <xm:sqref>ES82:EW82</xm:sqref>
        </x14:conditionalFormatting>
        <x14:conditionalFormatting xmlns:xm="http://schemas.microsoft.com/office/excel/2006/main">
          <x14:cfRule type="expression" priority="11" id="{1C5A5081-3436-4896-BE26-22DFA8D02A54}">
            <xm:f>$J$83=Formeln!$A$177</xm:f>
            <x14:dxf>
              <font>
                <color theme="0" tint="-0.34998626667073579"/>
              </font>
            </x14:dxf>
          </x14:cfRule>
          <xm:sqref>ES83:EW83</xm:sqref>
        </x14:conditionalFormatting>
        <x14:conditionalFormatting xmlns:xm="http://schemas.microsoft.com/office/excel/2006/main">
          <x14:cfRule type="expression" priority="30" id="{080A25E2-F0C9-4162-A458-CB3CE89B2DBF}">
            <xm:f>$J$84=Formeln!$A$177</xm:f>
            <x14:dxf>
              <font>
                <color theme="0" tint="-0.34998626667073579"/>
              </font>
            </x14:dxf>
          </x14:cfRule>
          <xm:sqref>ES84:EW84</xm:sqref>
        </x14:conditionalFormatting>
        <x14:conditionalFormatting xmlns:xm="http://schemas.microsoft.com/office/excel/2006/main">
          <x14:cfRule type="expression" priority="29" id="{0867385F-DFBC-4902-9C32-821C37D8A8C8}">
            <xm:f>$J$85=Formeln!$A$177</xm:f>
            <x14:dxf>
              <font>
                <color theme="0" tint="-0.34998626667073579"/>
              </font>
            </x14:dxf>
          </x14:cfRule>
          <xm:sqref>ES85:EW85</xm:sqref>
        </x14:conditionalFormatting>
        <x14:conditionalFormatting xmlns:xm="http://schemas.microsoft.com/office/excel/2006/main">
          <x14:cfRule type="expression" priority="28" id="{97EEAC9B-D6C0-4618-8BED-AE22707096EA}">
            <xm:f>$J$86=Formeln!$A$177</xm:f>
            <x14:dxf>
              <font>
                <color theme="0" tint="-0.34998626667073579"/>
              </font>
            </x14:dxf>
          </x14:cfRule>
          <xm:sqref>ES86:EW86</xm:sqref>
        </x14:conditionalFormatting>
        <x14:conditionalFormatting xmlns:xm="http://schemas.microsoft.com/office/excel/2006/main">
          <x14:cfRule type="expression" priority="27" id="{B30DE683-0D42-4B0D-AB45-12D1A7FF4A2B}">
            <xm:f>$J$87=Formeln!$A$177</xm:f>
            <x14:dxf>
              <font>
                <color theme="0" tint="-0.34998626667073579"/>
              </font>
            </x14:dxf>
          </x14:cfRule>
          <xm:sqref>ES87:EW87</xm:sqref>
        </x14:conditionalFormatting>
        <x14:conditionalFormatting xmlns:xm="http://schemas.microsoft.com/office/excel/2006/main">
          <x14:cfRule type="expression" priority="26" id="{C0182A86-B341-46BA-A896-63B466F0D2BA}">
            <xm:f>$J$88=Formeln!$A$177</xm:f>
            <x14:dxf>
              <font>
                <color theme="0" tint="-0.34998626667073579"/>
              </font>
            </x14:dxf>
          </x14:cfRule>
          <xm:sqref>ES88:EW88</xm:sqref>
        </x14:conditionalFormatting>
        <x14:conditionalFormatting xmlns:xm="http://schemas.microsoft.com/office/excel/2006/main">
          <x14:cfRule type="expression" priority="25" id="{8833E8C6-5A2C-43D1-8B83-67F491A792E2}">
            <xm:f>$J$89=Formeln!$A$177</xm:f>
            <x14:dxf>
              <font>
                <color theme="0" tint="-0.34998626667073579"/>
              </font>
            </x14:dxf>
          </x14:cfRule>
          <xm:sqref>ES89:EW89</xm:sqref>
        </x14:conditionalFormatting>
        <x14:conditionalFormatting xmlns:xm="http://schemas.microsoft.com/office/excel/2006/main">
          <x14:cfRule type="expression" priority="23" id="{74EEF252-0AF5-40F5-8866-B14C4F9D5E8E}">
            <xm:f>$J$91=Formeln!$A$177</xm:f>
            <x14:dxf>
              <font>
                <color theme="0" tint="-0.34998626667073579"/>
              </font>
            </x14:dxf>
          </x14:cfRule>
          <xm:sqref>ES91:EW91</xm:sqref>
        </x14:conditionalFormatting>
        <x14:conditionalFormatting xmlns:xm="http://schemas.microsoft.com/office/excel/2006/main">
          <x14:cfRule type="expression" priority="22" id="{2B687ACA-F073-40FE-AC64-1506C175A1CD}">
            <xm:f>$J$92=Formeln!$A$177</xm:f>
            <x14:dxf>
              <font>
                <color theme="0" tint="-0.34998626667073579"/>
              </font>
            </x14:dxf>
          </x14:cfRule>
          <xm:sqref>ES92:EW92</xm:sqref>
        </x14:conditionalFormatting>
        <x14:conditionalFormatting xmlns:xm="http://schemas.microsoft.com/office/excel/2006/main">
          <x14:cfRule type="expression" priority="7" id="{82623A5F-D6DB-49F0-912C-E6B0B17CD6CF}">
            <xm:f>$J$84=Formeln!$A$177</xm:f>
            <x14:dxf>
              <font>
                <color theme="0" tint="-0.34998626667073579"/>
              </font>
            </x14:dxf>
          </x14:cfRule>
          <xm:sqref>ES93:EW93</xm:sqref>
        </x14:conditionalFormatting>
        <x14:conditionalFormatting xmlns:xm="http://schemas.microsoft.com/office/excel/2006/main">
          <x14:cfRule type="expression" priority="21" id="{DB95352B-A80E-4E0F-A37F-4ED66E4153BF}">
            <xm:f>$J$96=Formeln!$A$177</xm:f>
            <x14:dxf>
              <font>
                <color theme="0" tint="-0.34998626667073579"/>
              </font>
            </x14:dxf>
          </x14:cfRule>
          <xm:sqref>ES96:EW96</xm:sqref>
        </x14:conditionalFormatting>
        <x14:conditionalFormatting xmlns:xm="http://schemas.microsoft.com/office/excel/2006/main">
          <x14:cfRule type="expression" priority="20" id="{CAA8AFC0-2A1F-452F-8F13-4CF1538BD17C}">
            <xm:f>$J$97=Formeln!$A$177</xm:f>
            <x14:dxf>
              <font>
                <color theme="0" tint="-0.34998626667073579"/>
              </font>
            </x14:dxf>
          </x14:cfRule>
          <xm:sqref>ES97:EW97</xm:sqref>
        </x14:conditionalFormatting>
        <x14:conditionalFormatting xmlns:xm="http://schemas.microsoft.com/office/excel/2006/main">
          <x14:cfRule type="expression" priority="19" id="{304C6D8B-1959-4FAB-885F-209833A6A973}">
            <xm:f>$J$98=Formeln!$A$177</xm:f>
            <x14:dxf>
              <font>
                <color theme="0" tint="-0.34998626667073579"/>
              </font>
            </x14:dxf>
          </x14:cfRule>
          <xm:sqref>ES98:EW98</xm:sqref>
        </x14:conditionalFormatting>
        <x14:conditionalFormatting xmlns:xm="http://schemas.microsoft.com/office/excel/2006/main">
          <x14:cfRule type="expression" priority="18" id="{3B4378B6-62AC-4823-B4D7-366D1CE48A5A}">
            <xm:f>$J$99=Formeln!$A$177</xm:f>
            <x14:dxf>
              <font>
                <color theme="0" tint="-0.34998626667073579"/>
              </font>
            </x14:dxf>
          </x14:cfRule>
          <xm:sqref>ES99:EW99</xm:sqref>
        </x14:conditionalFormatting>
        <x14:conditionalFormatting xmlns:xm="http://schemas.microsoft.com/office/excel/2006/main">
          <x14:cfRule type="expression" priority="17" id="{A3870FE7-7CD4-4417-84F7-904CDBBD5314}">
            <xm:f>$J$100=Formeln!$A$177</xm:f>
            <x14:dxf>
              <font>
                <color theme="0" tint="-0.34998626667073579"/>
              </font>
            </x14:dxf>
          </x14:cfRule>
          <xm:sqref>ES100:EW100</xm:sqref>
        </x14:conditionalFormatting>
        <x14:conditionalFormatting xmlns:xm="http://schemas.microsoft.com/office/excel/2006/main">
          <x14:cfRule type="expression" priority="16" id="{2C7AF286-F3FC-4629-99CC-6233A8576227}">
            <xm:f>$J$104=Formeln!$A$177</xm:f>
            <x14:dxf>
              <font>
                <color theme="0" tint="-0.34998626667073579"/>
              </font>
            </x14:dxf>
          </x14:cfRule>
          <xm:sqref>ES104:EW104</xm:sqref>
        </x14:conditionalFormatting>
        <x14:conditionalFormatting xmlns:xm="http://schemas.microsoft.com/office/excel/2006/main">
          <x14:cfRule type="expression" priority="15" id="{6C5329F0-10BA-42DF-88CA-085D9E4DF428}">
            <xm:f>$J$105=Formeln!$A$177</xm:f>
            <x14:dxf>
              <font>
                <color theme="0" tint="-0.34998626667073579"/>
              </font>
            </x14:dxf>
          </x14:cfRule>
          <xm:sqref>ES105:EW105</xm:sqref>
        </x14:conditionalFormatting>
        <x14:conditionalFormatting xmlns:xm="http://schemas.microsoft.com/office/excel/2006/main">
          <x14:cfRule type="expression" priority="13" id="{D981D269-1101-4209-BA4A-DE90B8E40CDE}">
            <xm:f>$J$106=Formeln!$A$177</xm:f>
            <x14:dxf>
              <font>
                <color theme="0" tint="-0.34998626667073579"/>
              </font>
            </x14:dxf>
          </x14:cfRule>
          <xm:sqref>ES106:EW106</xm:sqref>
        </x14:conditionalFormatting>
        <x14:conditionalFormatting xmlns:xm="http://schemas.microsoft.com/office/excel/2006/main">
          <x14:cfRule type="expression" priority="14" id="{B10E76F6-A163-46BF-87C5-BE6A7B303844}">
            <xm:f>$J$107=Formeln!$A$177</xm:f>
            <x14:dxf>
              <font>
                <color theme="0" tint="-0.34998626667073579"/>
              </font>
            </x14:dxf>
          </x14:cfRule>
          <xm:sqref>ES107:EW109</xm:sqref>
        </x14:conditionalFormatting>
        <x14:conditionalFormatting xmlns:xm="http://schemas.microsoft.com/office/excel/2006/main">
          <x14:cfRule type="expression" priority="47" id="{B6F4B9CE-9E7D-4134-8258-586FCFF5A444}">
            <xm:f>$J$47=Formeln!$A$177</xm:f>
            <x14:dxf>
              <font>
                <color theme="0" tint="-0.34998626667073579"/>
              </font>
            </x14:dxf>
          </x14:cfRule>
          <xm:sqref>ET47:EX47</xm:sqref>
        </x14:conditionalFormatting>
        <x14:conditionalFormatting xmlns:xm="http://schemas.microsoft.com/office/excel/2006/main">
          <x14:cfRule type="expression" priority="46" id="{68715050-5F1A-49B9-B158-278D76EF6A34}">
            <xm:f>$J$48=Formeln!$A$177</xm:f>
            <x14:dxf>
              <font>
                <color theme="0" tint="-0.34998626667073579"/>
              </font>
            </x14:dxf>
          </x14:cfRule>
          <xm:sqref>ET48:EX48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1000000}">
          <x14:formula1>
            <xm:f>Formeln!$A$159:$A$161</xm:f>
          </x14:formula1>
          <xm:sqref>J75:K75</xm:sqref>
        </x14:dataValidation>
        <x14:dataValidation type="list" allowBlank="1" showInputMessage="1" showErrorMessage="1" xr:uid="{00000000-0002-0000-0B00-000002000000}">
          <x14:formula1>
            <xm:f>Formeln!$E$178:$E$180</xm:f>
          </x14:formula1>
          <xm:sqref>J40:K40</xm:sqref>
        </x14:dataValidation>
        <x14:dataValidation type="list" allowBlank="1" showInputMessage="1" showErrorMessage="1" xr:uid="{00000000-0002-0000-0B00-000003000000}">
          <x14:formula1>
            <xm:f>Formeln!$E$167:$E$170</xm:f>
          </x14:formula1>
          <xm:sqref>J38:K38</xm:sqref>
        </x14:dataValidation>
        <x14:dataValidation type="list" allowBlank="1" showInputMessage="1" showErrorMessage="1" xr:uid="{00000000-0002-0000-0B00-000004000000}">
          <x14:formula1>
            <xm:f>Formeln!$A$242:$A$245</xm:f>
          </x14:formula1>
          <xm:sqref>J88:K88</xm:sqref>
        </x14:dataValidation>
        <x14:dataValidation type="list" allowBlank="1" showInputMessage="1" showErrorMessage="1" xr:uid="{00000000-0002-0000-0B00-000005000000}">
          <x14:formula1>
            <xm:f>Formeln!$A$257:$A$259</xm:f>
          </x14:formula1>
          <xm:sqref>J90:K90</xm:sqref>
        </x14:dataValidation>
        <x14:dataValidation type="list" allowBlank="1" showInputMessage="1" showErrorMessage="1" xr:uid="{00000000-0002-0000-0B00-000006000000}">
          <x14:formula1>
            <xm:f>Formeln!$A$266:$A$268</xm:f>
          </x14:formula1>
          <xm:sqref>J101:K101</xm:sqref>
        </x14:dataValidation>
        <x14:dataValidation type="list" allowBlank="1" showInputMessage="1" showErrorMessage="1" xr:uid="{00000000-0002-0000-0B00-000008000000}">
          <x14:formula1>
            <xm:f>Formeln!$A$280:$A$283</xm:f>
          </x14:formula1>
          <xm:sqref>J73:K73</xm:sqref>
        </x14:dataValidation>
        <x14:dataValidation type="list" allowBlank="1" showInputMessage="1" showErrorMessage="1" xr:uid="{00000000-0002-0000-0B00-000009000000}">
          <x14:formula1>
            <xm:f>Formeln!$G$192:$G$195</xm:f>
          </x14:formula1>
          <xm:sqref>J94:K94</xm:sqref>
        </x14:dataValidation>
        <x14:dataValidation type="list" allowBlank="1" showInputMessage="1" showErrorMessage="1" xr:uid="{00000000-0002-0000-0B00-00000A000000}">
          <x14:formula1>
            <xm:f>Formeln!$A$292:$A$294</xm:f>
          </x14:formula1>
          <xm:sqref>J95:K95</xm:sqref>
        </x14:dataValidation>
        <x14:dataValidation type="list" allowBlank="1" showInputMessage="1" showErrorMessage="1" xr:uid="{67C298FF-21AF-451F-9BD3-645854DA789D}">
          <x14:formula1>
            <xm:f>Formeln!$G$194:$G$196</xm:f>
          </x14:formula1>
          <xm:sqref>J78:K78</xm:sqref>
        </x14:dataValidation>
        <x14:dataValidation type="list" allowBlank="1" showInputMessage="1" showErrorMessage="1" xr:uid="{00000000-0002-0000-0B00-000000000000}">
          <x14:formula1>
            <xm:f>Formeln!$B$151:$B$155</xm:f>
          </x14:formula1>
          <xm:sqref>J71:K71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CY140"/>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77734375" style="1" customWidth="1"/>
    <col min="15" max="15" width="14.6640625" style="5" customWidth="1"/>
    <col min="16" max="16" width="7.109375" style="5" hidden="1" customWidth="1"/>
    <col min="17" max="17" width="9.5546875" style="135" hidden="1" customWidth="1"/>
    <col min="18" max="27" width="7.109375" style="5" hidden="1" customWidth="1"/>
    <col min="28" max="28" width="9.6640625" style="5" hidden="1" customWidth="1"/>
    <col min="29" max="29" width="30.6640625" style="9" hidden="1" customWidth="1"/>
    <col min="30" max="30" width="26" style="9" hidden="1" customWidth="1"/>
    <col min="31" max="31" width="26" style="1" hidden="1" customWidth="1"/>
    <col min="32" max="50" width="8.6640625" style="1" hidden="1" customWidth="1"/>
    <col min="51" max="51" width="11.44140625" style="1" hidden="1" customWidth="1"/>
    <col min="52" max="16384" width="8.6640625" style="1" hidden="1"/>
  </cols>
  <sheetData>
    <row r="1" spans="1:31" ht="28.2">
      <c r="N1" s="2" t="str">
        <f>VLOOKUP(272,Sprachindex!$A:$Z,Info!$O$7,FALSE)</f>
        <v>Dachrinnensysteme</v>
      </c>
    </row>
    <row r="2" spans="1:31" ht="28.2">
      <c r="D2" s="18"/>
      <c r="N2" s="2" t="str">
        <f>VLOOKUP(693,Sprachindex!$A:$Z,Info!$O$7,FALSE)</f>
        <v>QUADRATROHR</v>
      </c>
    </row>
    <row r="3" spans="1:31" ht="15" customHeight="1"/>
    <row r="4" spans="1:31" ht="17.25" customHeight="1">
      <c r="A4" s="70"/>
      <c r="B4" s="70"/>
      <c r="C4" s="70"/>
      <c r="D4" s="70"/>
      <c r="E4" s="70"/>
      <c r="F4" s="70"/>
      <c r="G4" s="70"/>
      <c r="H4" s="204"/>
      <c r="I4" s="204"/>
      <c r="J4" s="204"/>
      <c r="K4" s="204"/>
      <c r="L4" s="204"/>
      <c r="M4" s="204"/>
      <c r="N4" s="204"/>
      <c r="O4" s="71"/>
      <c r="P4" s="71"/>
      <c r="Q4" s="93"/>
      <c r="R4" s="71"/>
      <c r="S4" s="71"/>
      <c r="T4" s="71"/>
      <c r="U4" s="71"/>
      <c r="V4" s="71"/>
      <c r="W4" s="71"/>
      <c r="X4" s="71"/>
      <c r="Y4" s="71"/>
      <c r="Z4" s="71"/>
      <c r="AA4" s="71"/>
      <c r="AB4" s="71"/>
      <c r="AE4" s="3"/>
    </row>
    <row r="5" spans="1:31" ht="17.25" customHeight="1">
      <c r="A5" s="70"/>
      <c r="B5" s="70"/>
      <c r="C5" s="70"/>
      <c r="D5" s="70"/>
      <c r="E5" s="70"/>
      <c r="F5" s="70"/>
      <c r="G5" s="70"/>
      <c r="H5" s="204"/>
      <c r="I5" s="204"/>
      <c r="J5" s="204"/>
      <c r="K5" s="204"/>
      <c r="L5" s="204"/>
      <c r="M5" s="204"/>
      <c r="N5" s="204"/>
      <c r="O5" s="71"/>
      <c r="P5" s="71"/>
      <c r="Q5" s="93"/>
      <c r="R5" s="71"/>
      <c r="S5" s="71"/>
      <c r="T5" s="71"/>
      <c r="U5" s="71"/>
      <c r="V5" s="71"/>
      <c r="W5" s="71"/>
      <c r="X5" s="71"/>
      <c r="Y5" s="71"/>
      <c r="Z5" s="71"/>
      <c r="AA5" s="71"/>
      <c r="AB5" s="71"/>
      <c r="AE5" s="3"/>
    </row>
    <row r="6" spans="1:31" ht="17.25" customHeight="1">
      <c r="A6" s="70"/>
      <c r="B6" s="70"/>
      <c r="C6" s="70"/>
      <c r="D6" s="70"/>
      <c r="E6" s="70"/>
      <c r="F6" s="70"/>
      <c r="G6" s="70"/>
      <c r="H6" s="204"/>
      <c r="I6" s="204"/>
      <c r="J6" s="204"/>
      <c r="K6" s="204"/>
      <c r="L6" s="204"/>
      <c r="M6" s="204"/>
      <c r="N6" s="204"/>
      <c r="O6" s="99">
        <v>0</v>
      </c>
      <c r="P6" s="99"/>
      <c r="Q6" s="73"/>
      <c r="R6" s="99"/>
      <c r="S6" s="99"/>
      <c r="T6" s="99"/>
      <c r="U6" s="99"/>
      <c r="V6" s="99"/>
      <c r="W6" s="99"/>
      <c r="X6" s="99"/>
      <c r="Y6" s="99"/>
      <c r="Z6" s="99"/>
      <c r="AA6" s="99"/>
      <c r="AB6" s="99"/>
      <c r="AE6" s="3"/>
    </row>
    <row r="7" spans="1:31" ht="17.25" customHeight="1">
      <c r="A7" s="70"/>
      <c r="B7" s="70"/>
      <c r="C7" s="70"/>
      <c r="D7" s="70"/>
      <c r="E7" s="70"/>
      <c r="F7" s="70"/>
      <c r="G7" s="70"/>
      <c r="H7" s="204"/>
      <c r="I7" s="204"/>
      <c r="J7" s="204"/>
      <c r="K7" s="204"/>
      <c r="L7" s="204"/>
      <c r="M7" s="204"/>
      <c r="N7" s="204"/>
      <c r="O7" s="99"/>
      <c r="P7" s="99"/>
      <c r="Q7" s="73"/>
      <c r="R7" s="99"/>
      <c r="S7" s="99"/>
      <c r="T7" s="99"/>
      <c r="U7" s="99"/>
      <c r="V7" s="99"/>
      <c r="W7" s="99"/>
      <c r="X7" s="99"/>
      <c r="Y7" s="99"/>
      <c r="Z7" s="99"/>
      <c r="AA7" s="99"/>
      <c r="AB7" s="99"/>
      <c r="AE7" s="3"/>
    </row>
    <row r="8" spans="1:31" ht="17.25" customHeight="1">
      <c r="A8" s="88" t="str">
        <f>VLOOKUP(393,Sprachindex!$A:$Z,Info!$O$7,FALSE)</f>
        <v>Firma / Besteller:</v>
      </c>
      <c r="B8" s="70"/>
      <c r="C8" s="70"/>
      <c r="D8" s="70"/>
      <c r="E8" s="70"/>
      <c r="F8" s="70"/>
      <c r="G8" s="70"/>
      <c r="H8" s="70"/>
      <c r="I8" s="70"/>
      <c r="J8" s="70"/>
      <c r="K8" s="70"/>
      <c r="L8" s="70"/>
      <c r="M8" s="70"/>
      <c r="N8" s="70"/>
      <c r="O8" s="71"/>
      <c r="P8" s="71"/>
      <c r="Q8" s="93"/>
      <c r="R8" s="71"/>
      <c r="S8" s="71"/>
      <c r="T8" s="71"/>
      <c r="U8" s="71"/>
      <c r="V8" s="71"/>
      <c r="W8" s="71"/>
      <c r="X8" s="71"/>
      <c r="Y8" s="71"/>
      <c r="Z8" s="71"/>
      <c r="AA8" s="71"/>
      <c r="AB8" s="71"/>
      <c r="AD8" s="10"/>
    </row>
    <row r="9" spans="1:31" ht="15" customHeight="1">
      <c r="A9" s="70"/>
      <c r="B9" s="74" t="str">
        <f>VLOOKUP(622,Sprachindex!$A:$Z,Info!$O$7,FALSE)</f>
        <v>Name:</v>
      </c>
      <c r="C9" s="585"/>
      <c r="D9" s="586"/>
      <c r="E9" s="587"/>
      <c r="F9" s="70"/>
      <c r="G9" s="87" t="str">
        <f>VLOOKUP(638,Sprachindex!$A:$Z,Info!$O$7,FALSE)</f>
        <v>Oberfläche:</v>
      </c>
      <c r="H9" s="70"/>
      <c r="I9" s="71"/>
      <c r="J9" s="69"/>
      <c r="K9" s="70"/>
      <c r="L9" s="69" t="str">
        <f>VLOOKUP(433,Sprachindex!$A:$Z,Info!$O$7,FALSE)</f>
        <v>glatt</v>
      </c>
      <c r="M9" s="70"/>
      <c r="N9" s="70"/>
      <c r="O9" s="99"/>
      <c r="P9" s="99"/>
      <c r="Q9" s="73"/>
      <c r="R9" s="99"/>
      <c r="S9" s="99"/>
      <c r="T9" s="99"/>
      <c r="U9" s="99"/>
      <c r="V9" s="99"/>
      <c r="W9" s="99"/>
      <c r="X9" s="99"/>
      <c r="Y9" s="99"/>
      <c r="Z9" s="99"/>
      <c r="AA9" s="99"/>
      <c r="AB9" s="99"/>
      <c r="AC9" s="11"/>
      <c r="AE9" s="4"/>
    </row>
    <row r="10" spans="1:31" ht="15" customHeight="1">
      <c r="A10" s="70"/>
      <c r="B10" s="74" t="str">
        <f>VLOOKUP(884,Sprachindex!$A:$Z,Info!$O$7,FALSE)</f>
        <v>Straße:</v>
      </c>
      <c r="C10" s="585"/>
      <c r="D10" s="586"/>
      <c r="E10" s="587"/>
      <c r="F10" s="70"/>
      <c r="G10" s="70"/>
      <c r="H10" s="70"/>
      <c r="I10" s="70"/>
      <c r="J10" s="71">
        <v>1</v>
      </c>
      <c r="K10" s="70"/>
      <c r="L10" s="70"/>
      <c r="M10" s="70"/>
      <c r="N10" s="70"/>
      <c r="O10" s="71"/>
      <c r="P10" s="71"/>
      <c r="Q10" s="93"/>
      <c r="R10" s="71"/>
      <c r="S10" s="71"/>
      <c r="T10" s="71"/>
      <c r="U10" s="71"/>
      <c r="V10" s="71"/>
      <c r="W10" s="71"/>
      <c r="X10" s="71"/>
      <c r="Y10" s="71"/>
      <c r="Z10" s="71"/>
      <c r="AA10" s="71"/>
      <c r="AB10" s="71"/>
      <c r="AE10" s="4"/>
    </row>
    <row r="11" spans="1:31"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v>0</v>
      </c>
      <c r="P11" s="99"/>
      <c r="Q11" s="73"/>
      <c r="R11" s="99"/>
      <c r="S11" s="99"/>
      <c r="T11" s="99"/>
      <c r="U11" s="99"/>
      <c r="V11" s="99"/>
      <c r="W11" s="99"/>
      <c r="X11" s="99"/>
      <c r="Y11" s="99"/>
      <c r="Z11" s="99"/>
      <c r="AA11" s="99"/>
      <c r="AB11" s="99"/>
      <c r="AC11" s="11"/>
      <c r="AE11" s="4"/>
    </row>
    <row r="12" spans="1:31" ht="15" customHeight="1">
      <c r="A12" s="70"/>
      <c r="B12" s="70"/>
      <c r="C12" s="70"/>
      <c r="D12" s="70"/>
      <c r="E12" s="70"/>
      <c r="F12" s="70"/>
      <c r="G12" s="70"/>
      <c r="H12" s="70"/>
      <c r="I12" s="74"/>
      <c r="J12" s="71">
        <v>1</v>
      </c>
      <c r="K12" s="70"/>
      <c r="L12" s="70"/>
      <c r="M12" s="70"/>
      <c r="N12" s="70"/>
      <c r="O12" s="71"/>
      <c r="P12" s="71"/>
      <c r="Q12" s="93"/>
      <c r="R12" s="71"/>
      <c r="S12" s="71"/>
      <c r="T12" s="71"/>
      <c r="U12" s="71"/>
      <c r="V12" s="71"/>
      <c r="W12" s="71"/>
      <c r="X12" s="71"/>
      <c r="Y12" s="71"/>
      <c r="Z12" s="71"/>
      <c r="AA12" s="71"/>
      <c r="AB12" s="71"/>
    </row>
    <row r="13" spans="1:31"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99"/>
      <c r="P13" s="99"/>
      <c r="Q13" s="73"/>
      <c r="R13" s="99"/>
      <c r="S13" s="99"/>
      <c r="T13" s="99"/>
      <c r="U13" s="99"/>
      <c r="V13" s="99"/>
      <c r="W13" s="99"/>
      <c r="X13" s="99"/>
      <c r="Y13" s="99"/>
      <c r="Z13" s="99"/>
      <c r="AA13" s="99"/>
      <c r="AB13" s="99"/>
      <c r="AC13" s="12"/>
      <c r="AE13" s="4"/>
    </row>
    <row r="14" spans="1:31" ht="15" customHeight="1">
      <c r="A14" s="70"/>
      <c r="B14" s="74" t="str">
        <f>VLOOKUP(901,Sprachindex!$A:$Z,Info!$O$7,FALSE)</f>
        <v>Telefon:</v>
      </c>
      <c r="C14" s="585"/>
      <c r="D14" s="586"/>
      <c r="E14" s="587"/>
      <c r="F14" s="70"/>
      <c r="G14" s="70"/>
      <c r="H14" s="70"/>
      <c r="I14" s="70"/>
      <c r="J14" s="70"/>
      <c r="K14" s="70"/>
      <c r="L14" s="70"/>
      <c r="M14" s="70"/>
      <c r="N14" s="70"/>
      <c r="O14" s="71"/>
      <c r="P14" s="71"/>
      <c r="Q14" s="93"/>
      <c r="R14" s="71"/>
      <c r="S14" s="71"/>
      <c r="T14" s="71"/>
      <c r="U14" s="71"/>
      <c r="V14" s="71"/>
      <c r="W14" s="71"/>
      <c r="X14" s="71"/>
      <c r="Y14" s="71"/>
      <c r="Z14" s="71"/>
      <c r="AA14" s="71"/>
      <c r="AB14" s="71"/>
      <c r="AE14" s="4"/>
    </row>
    <row r="15" spans="1:31"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1"/>
      <c r="P15" s="71"/>
      <c r="Q15" s="93"/>
      <c r="R15" s="71"/>
      <c r="T15" s="71"/>
      <c r="U15" s="71"/>
      <c r="V15" s="71"/>
      <c r="W15" s="71"/>
      <c r="X15" s="71"/>
      <c r="Y15" s="71"/>
      <c r="Z15" s="71"/>
      <c r="AA15" s="71"/>
      <c r="AB15" s="71"/>
      <c r="AE15" s="4"/>
    </row>
    <row r="16" spans="1:31" ht="15" customHeight="1">
      <c r="A16" s="70"/>
      <c r="B16" s="70"/>
      <c r="C16" s="70"/>
      <c r="D16" s="70"/>
      <c r="E16" s="70"/>
      <c r="F16" s="70"/>
      <c r="G16" s="70" t="str">
        <f>VLOOKUP(24,Sprachindex!$A:$Z,Info!$O$7,FALSE)</f>
        <v>01 Braun</v>
      </c>
      <c r="J16" s="70"/>
      <c r="K16" s="69"/>
      <c r="L16" s="70"/>
      <c r="M16" s="70"/>
      <c r="N16" s="70"/>
      <c r="O16" s="71"/>
      <c r="P16" s="71"/>
      <c r="Q16" s="93"/>
      <c r="R16" s="71"/>
      <c r="S16" s="71"/>
      <c r="T16" s="71"/>
      <c r="U16" s="71"/>
      <c r="V16" s="71"/>
      <c r="W16" s="71"/>
      <c r="X16" s="71"/>
      <c r="Y16" s="71"/>
      <c r="Z16" s="71"/>
      <c r="AA16" s="71"/>
      <c r="AB16" s="71"/>
    </row>
    <row r="17" spans="1:72" ht="15" customHeight="1">
      <c r="A17" s="88" t="str">
        <f>VLOOKUP(580,Sprachindex!$A:$Z,Info!$O$7,FALSE)</f>
        <v>Lieferadresse:</v>
      </c>
      <c r="B17" s="70"/>
      <c r="C17" s="70"/>
      <c r="D17" s="70"/>
      <c r="E17" s="70"/>
      <c r="F17" s="70"/>
      <c r="G17" s="70" t="str">
        <f>VLOOKUP(26,Sprachindex!$A:$Z,Info!$O$7,FALSE)</f>
        <v>02 Anthrazit</v>
      </c>
      <c r="H17" s="70"/>
      <c r="I17" s="69"/>
      <c r="J17" s="70"/>
      <c r="K17" s="105"/>
      <c r="L17" s="70"/>
      <c r="M17" s="70"/>
      <c r="N17" s="70"/>
      <c r="O17" s="71"/>
      <c r="P17" s="71"/>
      <c r="Q17" s="93"/>
      <c r="R17" s="71"/>
      <c r="S17" s="71"/>
      <c r="T17" s="71"/>
      <c r="U17" s="71"/>
      <c r="V17" s="71"/>
      <c r="W17" s="71"/>
      <c r="X17" s="71"/>
      <c r="Y17" s="71"/>
      <c r="Z17" s="71"/>
      <c r="AA17" s="71"/>
      <c r="AB17" s="71"/>
      <c r="AD17" s="10"/>
    </row>
    <row r="18" spans="1:72" ht="15" customHeight="1">
      <c r="A18" s="70"/>
      <c r="B18" s="74" t="str">
        <f>VLOOKUP(622,Sprachindex!$A:$Z,Info!$O$7,FALSE)</f>
        <v>Name:</v>
      </c>
      <c r="C18" s="585"/>
      <c r="D18" s="586"/>
      <c r="E18" s="587"/>
      <c r="F18" s="70"/>
      <c r="G18" s="69" t="str">
        <f>VLOOKUP(36,Sprachindex!$A:$Z,Info!$O$7,FALSE)</f>
        <v>07 Hellgrau</v>
      </c>
      <c r="H18" s="70"/>
      <c r="I18" s="69"/>
      <c r="J18" s="70"/>
      <c r="K18" s="96"/>
      <c r="L18" s="70"/>
      <c r="M18" s="70"/>
      <c r="N18" s="70"/>
      <c r="O18" s="95"/>
      <c r="P18" s="95"/>
      <c r="Q18" s="89"/>
      <c r="R18" s="95"/>
      <c r="S18" s="95"/>
      <c r="T18" s="95"/>
      <c r="U18" s="95"/>
      <c r="V18" s="95"/>
      <c r="W18" s="95"/>
      <c r="X18" s="95"/>
      <c r="Y18" s="95"/>
      <c r="Z18" s="95"/>
      <c r="AA18" s="95"/>
      <c r="AB18" s="95"/>
      <c r="AE18" s="4"/>
      <c r="BB18"/>
      <c r="BC18"/>
      <c r="BD18"/>
      <c r="BE18"/>
    </row>
    <row r="19" spans="1:72" ht="15" customHeight="1">
      <c r="A19" s="70"/>
      <c r="B19" s="74" t="str">
        <f>VLOOKUP(540,Sprachindex!$A:$Z,Info!$O$7,FALSE)</f>
        <v>Kommission:</v>
      </c>
      <c r="C19" s="585"/>
      <c r="D19" s="586"/>
      <c r="E19" s="587"/>
      <c r="F19" s="70"/>
      <c r="G19" s="69" t="str">
        <f>VLOOKUP(52,Sprachindex!$A:$Z,Info!$O$7,FALSE)</f>
        <v>12 Silbermetallic</v>
      </c>
      <c r="H19" s="70"/>
      <c r="I19" s="69"/>
      <c r="J19" s="70"/>
      <c r="K19" s="70"/>
      <c r="L19" s="105"/>
      <c r="M19" s="70"/>
      <c r="N19" s="70"/>
      <c r="O19" s="71"/>
      <c r="P19" s="71"/>
      <c r="Q19" s="93"/>
      <c r="R19" s="71"/>
      <c r="S19" s="71"/>
      <c r="T19" s="71"/>
      <c r="U19" s="71"/>
      <c r="V19" s="71"/>
      <c r="W19" s="71"/>
      <c r="X19" s="71"/>
      <c r="Y19" s="71"/>
      <c r="Z19" s="71"/>
      <c r="AA19" s="71"/>
      <c r="AB19" s="71"/>
      <c r="AE19" s="4"/>
      <c r="BB19"/>
      <c r="BC19"/>
      <c r="BD19"/>
      <c r="BE19"/>
    </row>
    <row r="20" spans="1:72" ht="15" customHeight="1">
      <c r="A20" s="70"/>
      <c r="B20" s="74" t="str">
        <f>VLOOKUP(884,Sprachindex!$A:$Z,Info!$O$7,FALSE)</f>
        <v>Straße:</v>
      </c>
      <c r="C20" s="585"/>
      <c r="D20" s="586"/>
      <c r="E20" s="587"/>
      <c r="F20" s="70"/>
      <c r="G20" s="70" t="str">
        <f>VLOOKUP(54,Sprachindex!$A:$Z,Info!$O$7,FALSE)</f>
        <v>13 Naturblank</v>
      </c>
      <c r="H20" s="70"/>
      <c r="J20" s="70"/>
      <c r="K20" s="70"/>
      <c r="L20" s="70"/>
      <c r="M20" s="70"/>
      <c r="N20" s="70"/>
      <c r="O20" s="71"/>
      <c r="P20" s="71"/>
      <c r="Q20" s="93"/>
      <c r="R20" s="71"/>
      <c r="S20" s="71"/>
      <c r="T20" s="71"/>
      <c r="U20" s="71"/>
      <c r="V20" s="71"/>
      <c r="W20" s="195"/>
      <c r="AB20" s="71"/>
      <c r="AE20" s="4"/>
    </row>
    <row r="21" spans="1:72" ht="15" customHeight="1">
      <c r="A21" s="70"/>
      <c r="B21" s="74" t="str">
        <f>VLOOKUP(641,Sprachindex!$A:$Z,Info!$O$7,FALSE)</f>
        <v>Ort:</v>
      </c>
      <c r="C21" s="585"/>
      <c r="D21" s="586"/>
      <c r="E21" s="587"/>
      <c r="F21" s="70"/>
      <c r="G21" s="70"/>
      <c r="H21" s="70"/>
      <c r="J21" s="70"/>
      <c r="K21" s="70"/>
      <c r="L21" s="70"/>
      <c r="M21" s="70"/>
      <c r="N21" s="70"/>
      <c r="O21" s="99">
        <v>0</v>
      </c>
      <c r="P21" s="99"/>
      <c r="Q21" s="73"/>
      <c r="R21" s="99"/>
      <c r="S21" s="99"/>
      <c r="T21" s="99"/>
      <c r="U21" s="99"/>
      <c r="V21" s="99"/>
      <c r="W21" s="195"/>
      <c r="AB21" s="99"/>
      <c r="AE21" s="4"/>
    </row>
    <row r="22" spans="1:72" ht="15" customHeight="1">
      <c r="A22" s="70"/>
      <c r="B22" s="74"/>
      <c r="C22" s="70"/>
      <c r="D22" s="70"/>
      <c r="E22" s="70"/>
      <c r="F22" s="70"/>
      <c r="G22" s="70"/>
      <c r="H22" s="70"/>
      <c r="I22" s="70"/>
      <c r="J22" s="70"/>
      <c r="K22" s="70"/>
      <c r="L22" s="70"/>
      <c r="M22" s="70"/>
      <c r="N22" s="70"/>
      <c r="O22" s="99"/>
      <c r="P22" s="99"/>
      <c r="Q22" s="73"/>
      <c r="R22" s="99"/>
      <c r="S22" s="99"/>
      <c r="T22" s="99"/>
      <c r="U22" s="99"/>
      <c r="V22" s="99"/>
      <c r="W22" s="99"/>
      <c r="X22" s="99"/>
      <c r="Y22" s="99"/>
      <c r="Z22" s="99"/>
      <c r="AA22" s="99"/>
      <c r="AB22" s="99"/>
      <c r="AE22" s="4"/>
    </row>
    <row r="23" spans="1:72" s="5" customFormat="1"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1"/>
      <c r="P23" s="71"/>
      <c r="Q23" s="93"/>
      <c r="R23" s="71"/>
      <c r="S23" s="71"/>
      <c r="T23" s="71"/>
      <c r="U23" s="71"/>
      <c r="V23" s="71"/>
      <c r="W23" s="71"/>
      <c r="X23" s="71"/>
      <c r="Y23" s="71"/>
      <c r="Z23" s="71"/>
      <c r="AA23" s="71"/>
      <c r="AB23" s="71"/>
      <c r="AC23" s="54"/>
      <c r="AD23" s="54"/>
      <c r="AE23" s="14"/>
    </row>
    <row r="24" spans="1:72" s="5" customFormat="1" ht="15" customHeight="1">
      <c r="A24" s="1"/>
      <c r="B24" s="584" t="str">
        <f>VLOOKUP(1430,Sprachindex!$A:$Z,Info!$O$7,FALSE)</f>
        <v>Beschreibung</v>
      </c>
      <c r="C24" s="585"/>
      <c r="D24" s="586"/>
      <c r="E24" s="587"/>
      <c r="F24" s="70"/>
      <c r="G24" s="88"/>
      <c r="H24" s="74" t="str">
        <f>VLOOKUP(1429,Sprachindex!$A:$Z,Info!$O$7,FALSE)</f>
        <v>Bearbeiter:</v>
      </c>
      <c r="I24" s="450"/>
      <c r="J24" s="70"/>
      <c r="K24" s="70"/>
      <c r="L24" s="70"/>
      <c r="M24" s="70"/>
      <c r="N24" s="70"/>
      <c r="O24" s="71"/>
      <c r="P24" s="71"/>
      <c r="Q24" s="93"/>
      <c r="R24" s="71"/>
      <c r="S24" s="71"/>
      <c r="T24" s="71"/>
      <c r="U24" s="71"/>
      <c r="V24" s="71"/>
      <c r="W24" s="71"/>
      <c r="X24" s="71"/>
      <c r="Y24" s="71"/>
      <c r="Z24" s="71"/>
      <c r="AA24" s="71"/>
      <c r="AB24" s="71"/>
      <c r="AC24" s="54"/>
      <c r="AD24" s="54"/>
      <c r="AE24" s="14"/>
    </row>
    <row r="25" spans="1:72" s="5" customFormat="1" ht="15" customHeight="1">
      <c r="A25" s="1"/>
      <c r="B25" s="584"/>
      <c r="C25" s="585"/>
      <c r="D25" s="586"/>
      <c r="E25" s="587"/>
      <c r="F25" s="70"/>
      <c r="G25" s="88"/>
      <c r="H25" s="74" t="str">
        <f>VLOOKUP(2243,Sprachindex!$A:$Z,Info!$O$7,FALSE)</f>
        <v>Projekt-ID:</v>
      </c>
      <c r="I25" s="450"/>
      <c r="J25" s="70"/>
      <c r="K25" s="70"/>
      <c r="L25" s="70"/>
      <c r="M25" s="70"/>
      <c r="N25" s="70"/>
      <c r="O25" s="71"/>
      <c r="P25" s="71"/>
      <c r="Q25" s="93"/>
      <c r="R25" s="71"/>
      <c r="S25" s="195" t="s">
        <v>1554</v>
      </c>
      <c r="V25" s="195" t="s">
        <v>1556</v>
      </c>
      <c r="Y25" s="195" t="s">
        <v>1555</v>
      </c>
      <c r="Z25" s="211" t="str">
        <f>IF(J31="600 mm",1,IF(J31="1.500 mm",2,IF(J31="3.000 mm",3,"")))</f>
        <v/>
      </c>
      <c r="AA25" s="71"/>
      <c r="AB25" s="71"/>
      <c r="AC25" s="54"/>
      <c r="AD25" s="54"/>
      <c r="AE25" s="14"/>
    </row>
    <row r="26" spans="1:72" s="5" customFormat="1" ht="15" customHeight="1">
      <c r="A26" s="1"/>
      <c r="B26" s="584"/>
      <c r="C26" s="585"/>
      <c r="D26" s="586"/>
      <c r="E26" s="587"/>
      <c r="F26" s="70"/>
      <c r="G26" s="88"/>
      <c r="H26" s="74" t="str">
        <f>VLOOKUP(286,Sprachindex!$A:$Z,Info!$O$7,FALSE)</f>
        <v>Datum:</v>
      </c>
      <c r="I26" s="550">
        <f ca="1">TODAY()</f>
        <v>45580</v>
      </c>
      <c r="J26" s="70"/>
      <c r="K26" s="70"/>
      <c r="L26" s="70"/>
      <c r="M26" s="70"/>
      <c r="N26" s="70"/>
      <c r="O26" s="71"/>
      <c r="P26" s="71"/>
      <c r="Q26" s="93"/>
      <c r="R26" s="71"/>
      <c r="S26" s="195" t="s">
        <v>1554</v>
      </c>
      <c r="V26" s="195" t="s">
        <v>1556</v>
      </c>
      <c r="Y26" s="195" t="s">
        <v>1555</v>
      </c>
      <c r="Z26" s="211" t="str">
        <f>IF(J32="600 mm",1,IF(J32="1.500 mm",2,IF(J32="3.000 mm",3,"")))</f>
        <v/>
      </c>
      <c r="AA26" s="71"/>
      <c r="AB26" s="71"/>
      <c r="AC26" s="54"/>
      <c r="AD26" s="54"/>
      <c r="AE26" s="14"/>
    </row>
    <row r="27" spans="1:72" s="5" customFormat="1" ht="15" customHeight="1">
      <c r="A27" s="1"/>
      <c r="B27" s="584"/>
      <c r="C27" s="585"/>
      <c r="D27" s="586"/>
      <c r="E27" s="587"/>
      <c r="F27" s="70"/>
      <c r="L27" s="70"/>
      <c r="M27" s="70"/>
      <c r="N27" s="70"/>
      <c r="O27" s="71"/>
      <c r="P27" s="71"/>
      <c r="Q27" s="93"/>
      <c r="R27" s="71"/>
      <c r="S27" s="71"/>
      <c r="T27" s="71"/>
      <c r="U27" s="71"/>
      <c r="V27" s="71"/>
      <c r="W27" s="71"/>
      <c r="X27" s="71"/>
      <c r="Y27" s="71"/>
      <c r="Z27" s="71"/>
      <c r="AA27" s="71"/>
      <c r="AB27" s="71"/>
      <c r="AC27" s="54"/>
      <c r="AD27" s="54"/>
      <c r="AE27" s="14"/>
    </row>
    <row r="28" spans="1:72" ht="15" customHeight="1">
      <c r="A28" s="70"/>
      <c r="B28" s="74"/>
      <c r="C28" s="70"/>
      <c r="D28" s="70"/>
      <c r="E28" s="70"/>
      <c r="F28" s="70"/>
      <c r="G28" s="70"/>
      <c r="H28" s="70"/>
      <c r="I28" s="70"/>
      <c r="J28" s="70"/>
      <c r="K28" s="70"/>
      <c r="L28" s="70"/>
      <c r="M28" s="70"/>
      <c r="N28" s="70"/>
      <c r="O28" s="71"/>
      <c r="P28" s="71"/>
      <c r="Q28" s="93"/>
      <c r="R28" s="71"/>
      <c r="S28" s="71"/>
      <c r="T28" s="71"/>
      <c r="U28" s="71"/>
      <c r="V28" s="71"/>
      <c r="W28" s="71"/>
      <c r="X28" s="71"/>
      <c r="Y28" s="71"/>
      <c r="Z28" s="71"/>
      <c r="AA28" s="71"/>
      <c r="AB28" s="71"/>
      <c r="AE28" s="4"/>
      <c r="AH28"/>
      <c r="AI28"/>
      <c r="AJ28"/>
      <c r="AK28"/>
      <c r="AL28"/>
      <c r="AM28"/>
      <c r="AN28"/>
      <c r="AO28"/>
      <c r="AP28"/>
      <c r="AQ28"/>
      <c r="AR28"/>
      <c r="AS28"/>
      <c r="AU28"/>
      <c r="AV28"/>
      <c r="AW28"/>
      <c r="AX28"/>
      <c r="AY28"/>
      <c r="AZ28"/>
      <c r="BA28"/>
      <c r="BB28"/>
      <c r="BC28"/>
      <c r="BD28"/>
      <c r="BE28"/>
      <c r="BF28"/>
      <c r="BH28"/>
      <c r="BI28"/>
      <c r="BJ28"/>
      <c r="BK28"/>
      <c r="BL28"/>
      <c r="BM28"/>
      <c r="BN28"/>
      <c r="BO28"/>
      <c r="BP28"/>
      <c r="BQ28"/>
      <c r="BR28"/>
      <c r="BS28"/>
    </row>
    <row r="29" spans="1:72" ht="15" customHeight="1" thickBot="1">
      <c r="A29" s="100" t="str">
        <f>VLOOKUP(392,Sprachindex!$A:$Z,Info!$O$7,FALSE)</f>
        <v>Filter:</v>
      </c>
      <c r="B29" s="598"/>
      <c r="C29" s="598"/>
      <c r="D29" s="598"/>
      <c r="E29" s="598"/>
      <c r="F29" s="70"/>
      <c r="G29" s="70"/>
      <c r="H29" s="70"/>
      <c r="I29" s="70"/>
      <c r="J29" s="70"/>
      <c r="K29" s="70"/>
      <c r="L29" s="70"/>
      <c r="M29" s="70"/>
      <c r="N29" s="70"/>
      <c r="O29" s="71"/>
      <c r="P29" s="71"/>
      <c r="Q29" s="93"/>
      <c r="R29" s="71"/>
      <c r="S29" s="71"/>
      <c r="T29" s="71"/>
      <c r="U29" s="71"/>
      <c r="V29" s="71"/>
      <c r="W29" s="71"/>
      <c r="X29" s="71"/>
      <c r="Y29" s="71"/>
      <c r="Z29" s="71"/>
      <c r="AA29" s="71"/>
      <c r="AB29" s="71"/>
      <c r="AD29" s="591" t="s">
        <v>25</v>
      </c>
      <c r="AE29" s="591"/>
      <c r="AF29" s="591" t="s">
        <v>421</v>
      </c>
      <c r="AG29" s="591"/>
      <c r="BG29" s="547" t="s">
        <v>1548</v>
      </c>
      <c r="BT29" s="56" t="s">
        <v>1549</v>
      </c>
    </row>
    <row r="30" spans="1:72" ht="35.1" customHeight="1" thickBot="1">
      <c r="A30" s="435" t="str">
        <f>VLOOKUP(598,Sprachindex!$A:$Z,Info!$O$7,FALSE)</f>
        <v>Menge</v>
      </c>
      <c r="B30" s="77" t="str">
        <f>VLOOKUP(332,Sprachindex!$A:$Z,Info!$O$7,FALSE)</f>
        <v>Einheit</v>
      </c>
      <c r="C30" s="77" t="str">
        <f>VLOOKUP(136,Sprachindex!$A:$Z,Info!$O$7,FALSE)</f>
        <v>Abbildung</v>
      </c>
      <c r="D30" s="77" t="str">
        <f>VLOOKUP(177,Sprachindex!$A:$Z,Info!$O$7,FALSE)</f>
        <v>Artikel-Nr.</v>
      </c>
      <c r="E30" s="607" t="str">
        <f>VLOOKUP(234,Sprachindex!$A:$Z,Info!$O$7,FALSE)</f>
        <v>Bezeichnung</v>
      </c>
      <c r="F30" s="608"/>
      <c r="G30" s="608"/>
      <c r="H30" s="608"/>
      <c r="I30" s="608"/>
      <c r="J30" s="608"/>
      <c r="K30" s="609"/>
      <c r="L30" s="77" t="str">
        <f>VLOOKUP(903,Sprachindex!$A:$Z,Info!$O$7,FALSE)</f>
        <v>Total</v>
      </c>
      <c r="M30" s="438" t="str">
        <f>VLOOKUP(332,Sprachindex!$A:$Z,Info!$O$7,FALSE)</f>
        <v>Einheit</v>
      </c>
      <c r="N30" s="75" t="str">
        <f>VLOOKUP(377,Sprachindex!$A:$Z,Info!$O$7,FALSE)</f>
        <v>Eventual</v>
      </c>
      <c r="O30" s="201" t="str">
        <f>VLOOKUP(1786,Sprachindex!$A:$Z,Info!$O$7,FALSE)</f>
        <v>Preis</v>
      </c>
      <c r="R30" s="111" t="s">
        <v>30</v>
      </c>
      <c r="S30" s="111" t="s">
        <v>95</v>
      </c>
      <c r="T30" s="232"/>
      <c r="U30" s="232"/>
      <c r="V30" s="232"/>
      <c r="W30" s="232"/>
      <c r="X30" s="232"/>
      <c r="Y30" s="232"/>
      <c r="Z30" s="232"/>
      <c r="AA30" s="232"/>
      <c r="AB30" s="195"/>
      <c r="AC30" s="1"/>
      <c r="AD30" s="160" t="s">
        <v>31</v>
      </c>
      <c r="AE30" s="160" t="s">
        <v>32</v>
      </c>
      <c r="AF30" s="160" t="s">
        <v>31</v>
      </c>
      <c r="AG30" s="160" t="s">
        <v>32</v>
      </c>
      <c r="AH30" s="158" t="s">
        <v>2134</v>
      </c>
      <c r="AI30" s="158" t="s">
        <v>2135</v>
      </c>
      <c r="AJ30" s="158" t="s">
        <v>2136</v>
      </c>
      <c r="AK30" s="158" t="s">
        <v>2137</v>
      </c>
      <c r="AL30" s="158" t="s">
        <v>2138</v>
      </c>
      <c r="AM30" s="158"/>
      <c r="AO30" s="158" t="s">
        <v>2134</v>
      </c>
      <c r="AP30" s="158" t="s">
        <v>2135</v>
      </c>
      <c r="AQ30" s="158" t="s">
        <v>2136</v>
      </c>
      <c r="AR30" s="158" t="s">
        <v>2137</v>
      </c>
      <c r="AS30" s="158" t="s">
        <v>2138</v>
      </c>
      <c r="AV30" s="158" t="s">
        <v>2134</v>
      </c>
      <c r="AW30" s="29" t="s">
        <v>2135</v>
      </c>
      <c r="AX30" s="29" t="s">
        <v>2136</v>
      </c>
      <c r="AY30" s="29" t="s">
        <v>2137</v>
      </c>
      <c r="AZ30" s="29" t="s">
        <v>2138</v>
      </c>
    </row>
    <row r="31" spans="1:72" ht="32.1" customHeight="1">
      <c r="A31" s="97"/>
      <c r="B31" s="77" t="str">
        <f>VLOOKUP(1512,Sprachindex!$A:$Z,Info!$O$7,FALSE)</f>
        <v>lfm</v>
      </c>
      <c r="C31" s="103"/>
      <c r="D31" s="76">
        <f>IF(J31=Formeln!B143,AM31,IF(J31=Formeln!B144,AT31,IF(J31=Formeln!B145,BA31,0)))</f>
        <v>0</v>
      </c>
      <c r="E31" s="600" t="str">
        <f>VLOOKUP(1881,Sprachindex!$A:$Z,Info!$O$7,FALSE)</f>
        <v>Quadratrohr 80 mm</v>
      </c>
      <c r="F31" s="601"/>
      <c r="G31" s="601"/>
      <c r="H31" s="661" t="str">
        <f>VLOOKUP(739,Sprachindex!$A:$Z,Info!$O$7,FALSE)</f>
        <v>Rohrlänge wählen:</v>
      </c>
      <c r="I31" s="662"/>
      <c r="J31" s="712"/>
      <c r="K31" s="713"/>
      <c r="L31" s="77" t="str">
        <f>IF(OR(A31="",AF31="",AG31="")," ",IF($O$11=1,AD31,IF($O$11=2,AE31,0)))</f>
        <v xml:space="preserve"> </v>
      </c>
      <c r="M31" s="432" t="str">
        <f>B31</f>
        <v>lfm</v>
      </c>
      <c r="N31" s="437"/>
      <c r="O31" s="202" t="str">
        <f>IF(ISNUMBER(A31),$L31*Q31, "")</f>
        <v/>
      </c>
      <c r="Q31" s="93" t="b">
        <f>IF(J31=S26,IF(OR($O$21=2,$O$21=3,$O$21=4),R31,IF($O$21=5,S31," ")),IF(J31=V26,IF(OR($O$21=2,$O$21=3,$O$21=4),U31,IF($O$21=5,V31," ")),IF(J31=Y26,IF(OR($O$21=2,$O$21=3,$O$21=4),X31,IF($O$21=5,Y31," ")))))</f>
        <v>0</v>
      </c>
      <c r="R31" s="236">
        <v>42.4</v>
      </c>
      <c r="S31" s="236">
        <v>41.31</v>
      </c>
      <c r="T31" s="232"/>
      <c r="U31" s="135">
        <v>47.34</v>
      </c>
      <c r="V31" s="135">
        <v>46.64</v>
      </c>
      <c r="W31" s="135"/>
      <c r="X31" s="135">
        <v>63.55</v>
      </c>
      <c r="Y31" s="135">
        <v>49.25</v>
      </c>
      <c r="Z31" s="232"/>
      <c r="AA31" s="232"/>
      <c r="AB31" s="195"/>
      <c r="AC31" s="1"/>
      <c r="AD31" s="149" t="e">
        <f t="shared" ref="AD31:AD63" si="0">ROUNDUP($A31/AF31,0)*AF31</f>
        <v>#VALUE!</v>
      </c>
      <c r="AE31" s="149" t="e">
        <f>ROUNDUP($A31/AG$31,0)*AG$31</f>
        <v>#VALUE!</v>
      </c>
      <c r="AF31" s="149" t="str">
        <f>IF($J$31=Z31,"",IF($J$31=Y25,0.6,IF($J$31=V25,1.5,IF($J$31=S25,3,""))))</f>
        <v/>
      </c>
      <c r="AG31" s="149" t="str">
        <f>IF($J$31=Formeln!$B$142,"",IF($J$31=Formeln!$B$143,0.6,IF($J$31=Formeln!$B$144,1.5,IF($J$31=Formeln!$B$145,3,""))))</f>
        <v/>
      </c>
      <c r="AI31" s="158" t="s">
        <v>2139</v>
      </c>
      <c r="AJ31" s="58" t="s">
        <v>2140</v>
      </c>
      <c r="AK31" s="58" t="s">
        <v>2141</v>
      </c>
      <c r="AL31" s="58" t="s">
        <v>2142</v>
      </c>
      <c r="AM31" s="56">
        <f>IF($O$21=1,AH31,IF($O$21=2,AI31,IF($O$21=3,AJ31,IF($O$21=4,AK31,IF($O$21=5,AL31,0)))))</f>
        <v>0</v>
      </c>
      <c r="AN31" s="56" t="s">
        <v>1547</v>
      </c>
      <c r="AP31" s="58">
        <v>151121</v>
      </c>
      <c r="AQ31" s="58">
        <v>151122</v>
      </c>
      <c r="AR31" s="58">
        <v>151123</v>
      </c>
      <c r="AS31" s="58">
        <v>151120</v>
      </c>
      <c r="AT31" s="56">
        <f>IF($O$21=1,AO31,IF($O$21=2,AP31,IF($O$21=3,AQ31,IF($O$21=4,AR31,IF($O$21=5,AS31,0)))))</f>
        <v>0</v>
      </c>
      <c r="AU31" s="56" t="s">
        <v>1548</v>
      </c>
      <c r="AW31" s="58">
        <v>1151101</v>
      </c>
      <c r="AX31" s="58">
        <v>151102</v>
      </c>
      <c r="AY31" s="58">
        <v>151103</v>
      </c>
      <c r="AZ31" s="58">
        <v>151100</v>
      </c>
      <c r="BA31" s="56">
        <f>IF($O$21=1,AV31,IF($O$21=2,AW31,IF($O$21=3,AX31,IF($O$21=4,AY31,IF($O$21=5,AZ31,0)))))</f>
        <v>0</v>
      </c>
      <c r="BB31" s="56" t="s">
        <v>1549</v>
      </c>
    </row>
    <row r="32" spans="1:72" ht="32.1" customHeight="1">
      <c r="A32" s="109"/>
      <c r="B32" s="79" t="str">
        <f>VLOOKUP(1512,Sprachindex!$A:$Z,Info!$O$7,FALSE)</f>
        <v>lfm</v>
      </c>
      <c r="C32" s="78"/>
      <c r="D32" s="78">
        <f>IF(J32=Formeln!B143,AM32,IF(J32=Formeln!B144,AT32,IF(J32=Formeln!B145,BA32,0)))</f>
        <v>0</v>
      </c>
      <c r="E32" s="561" t="str">
        <f>VLOOKUP(1882,Sprachindex!$A:$Z,Info!$O$7,FALSE)</f>
        <v>Quadratrohr 100 mm</v>
      </c>
      <c r="F32" s="562"/>
      <c r="G32" s="562"/>
      <c r="H32" s="665" t="str">
        <f>VLOOKUP(739,Sprachindex!$A:$Z,Info!$O$7,FALSE)</f>
        <v>Rohrlänge wählen:</v>
      </c>
      <c r="I32" s="666"/>
      <c r="J32" s="572"/>
      <c r="K32" s="573"/>
      <c r="L32" s="79" t="str">
        <f>IF(OR(A32="",AF32="",AG32="")," ",IF($O$11=1,AD32,IF($O$11=2,AE32,0)))</f>
        <v xml:space="preserve"> </v>
      </c>
      <c r="M32" s="433" t="str">
        <f t="shared" ref="M32:M65" si="1">B32</f>
        <v>lfm</v>
      </c>
      <c r="N32" s="80"/>
      <c r="O32" s="202" t="str">
        <f>IF(ISNUMBER(A32),$L32*Q32, "")</f>
        <v/>
      </c>
      <c r="Q32" s="93" t="b">
        <f>IF(J32=S26,IF(OR($O$21=2,$O$21=3,$O$21=4),R32,IF($O$21=5,S32," ")),IF(J32=V26,IF(OR($O$21=2,$O$21=3,$O$21=4),U32,IF($O$21=5,V32," ")),IF(J32=Y26,IF(OR($O$21=2,$O$21=3,$O$21=4),X32,IF($O$21=5,Y32," ")))))</f>
        <v>0</v>
      </c>
      <c r="R32" s="236">
        <v>52.01</v>
      </c>
      <c r="S32" s="135">
        <v>51.06</v>
      </c>
      <c r="T32" s="135"/>
      <c r="U32" s="232">
        <v>55.17</v>
      </c>
      <c r="V32" s="135">
        <v>54.27</v>
      </c>
      <c r="W32" s="135"/>
      <c r="X32" s="232">
        <v>74.88</v>
      </c>
      <c r="Y32" s="135">
        <v>58.05</v>
      </c>
      <c r="Z32" s="232"/>
      <c r="AA32" s="232"/>
      <c r="AB32" s="195"/>
      <c r="AC32" s="1"/>
      <c r="AD32" s="149" t="e">
        <f t="shared" si="0"/>
        <v>#VALUE!</v>
      </c>
      <c r="AE32" s="149" t="e">
        <f>ROUNDUP($A32/AG$32,0)*AG$32</f>
        <v>#VALUE!</v>
      </c>
      <c r="AF32" s="149" t="str">
        <f>IF($J$32=Formeln!$B$142,"",IF($J$32=Formeln!$B$143,0.6,IF($J$32=Formeln!$B$144,1.5,IF($J$32=Formeln!$B$145,3,""))))</f>
        <v/>
      </c>
      <c r="AG32" s="149" t="str">
        <f>IF($J$32=Formeln!$B$142,"",IF($J$32=Formeln!$B$143,0.6,IF($J$32=Formeln!$B$144,1.5,IF($J$32=Formeln!$B$145,3,""))))</f>
        <v/>
      </c>
      <c r="AH32" s="58" t="s">
        <v>2143</v>
      </c>
      <c r="AI32" s="158" t="s">
        <v>2144</v>
      </c>
      <c r="AJ32" s="58" t="s">
        <v>2145</v>
      </c>
      <c r="AK32" s="58" t="s">
        <v>2146</v>
      </c>
      <c r="AL32" s="58" t="s">
        <v>2147</v>
      </c>
      <c r="AM32" s="56">
        <f>IF($O$21=1,AH32,IF($O$21=2,AI32,IF($O$21=3,AJ32,IF($O$21=4,AK32,IF($O$21=5,AL32,0)))))</f>
        <v>0</v>
      </c>
      <c r="AN32" s="56" t="s">
        <v>1547</v>
      </c>
      <c r="AO32" s="58">
        <v>150121</v>
      </c>
      <c r="AP32" s="58">
        <v>150122</v>
      </c>
      <c r="AQ32" s="58">
        <v>150123</v>
      </c>
      <c r="AR32" s="58">
        <v>150125</v>
      </c>
      <c r="AS32" s="58">
        <v>150120</v>
      </c>
      <c r="AT32" s="56">
        <f>IF($O$21=1,AO32,IF($O$21=2,AP32,IF($O$21=3,AQ32,IF($O$21=4,AR32,IF($O$21=5,AS32,0)))))</f>
        <v>0</v>
      </c>
      <c r="AU32" s="56" t="s">
        <v>1548</v>
      </c>
      <c r="AV32" s="58">
        <v>150101</v>
      </c>
      <c r="AW32" s="58">
        <v>150102</v>
      </c>
      <c r="AX32" s="58">
        <v>150103</v>
      </c>
      <c r="AY32" s="58">
        <v>150105</v>
      </c>
      <c r="AZ32" s="58">
        <v>150100</v>
      </c>
      <c r="BA32" s="56">
        <f>IF($O$21=1,AV32,IF($O$21=2,AW32,IF($O$21=3,AX32,IF($O$21=4,AY32,IF($O$21=5,AZ32,0)))))</f>
        <v>0</v>
      </c>
      <c r="BB32" s="56" t="s">
        <v>1549</v>
      </c>
    </row>
    <row r="33" spans="1:58" ht="32.1" customHeight="1">
      <c r="A33" s="109"/>
      <c r="B33" s="79" t="str">
        <f>VLOOKUP(878,Sprachindex!$A:$Z,Info!$O$7,FALSE)</f>
        <v>Stk.</v>
      </c>
      <c r="C33" s="107"/>
      <c r="D33" s="78">
        <v>150050</v>
      </c>
      <c r="E33" s="667" t="str">
        <f>VLOOKUP(453,Sprachindex!$A:$Z,Info!$O$7,FALSE)</f>
        <v>Halteklemme</v>
      </c>
      <c r="F33" s="668"/>
      <c r="G33" s="668"/>
      <c r="H33" s="668"/>
      <c r="I33" s="668"/>
      <c r="J33" s="668"/>
      <c r="K33" s="669"/>
      <c r="L33" s="79" t="str">
        <f>IF(OR(A33="",AF33="",AG33="")," ",IF($O$11=1,AD33,IF($O$11=2,AE33,0)))</f>
        <v xml:space="preserve"> </v>
      </c>
      <c r="M33" s="433" t="str">
        <f t="shared" si="1"/>
        <v>Stk.</v>
      </c>
      <c r="N33" s="80"/>
      <c r="O33" s="202" t="str">
        <f>IF(ISNUMBER(A33),$L33*Q33, "")</f>
        <v/>
      </c>
      <c r="Q33" s="135">
        <f>R33</f>
        <v>13.01</v>
      </c>
      <c r="R33" s="236">
        <v>13.01</v>
      </c>
      <c r="S33" s="232"/>
      <c r="T33" s="232"/>
      <c r="U33" s="232"/>
      <c r="V33" s="232"/>
      <c r="W33" s="232"/>
      <c r="X33" s="232"/>
      <c r="Y33" s="232"/>
      <c r="Z33" s="232"/>
      <c r="AA33" s="232"/>
      <c r="AB33" s="195"/>
      <c r="AC33" s="1"/>
      <c r="AD33" s="149">
        <f t="shared" si="0"/>
        <v>0</v>
      </c>
      <c r="AE33" s="149">
        <f t="shared" ref="AE33:AE58" si="2">ROUNDUP($A33/AG33,0)*AG33</f>
        <v>0</v>
      </c>
      <c r="AF33" s="149">
        <v>1</v>
      </c>
      <c r="AG33" s="149">
        <v>1</v>
      </c>
      <c r="AH33"/>
      <c r="AQ33"/>
    </row>
    <row r="34" spans="1:58" ht="32.1" customHeight="1">
      <c r="A34" s="109"/>
      <c r="B34" s="79" t="str">
        <f>VLOOKUP(878,Sprachindex!$A:$Z,Info!$O$7,FALSE)</f>
        <v>Stk.</v>
      </c>
      <c r="C34" s="107"/>
      <c r="D34" s="78">
        <v>150051</v>
      </c>
      <c r="E34" s="667" t="str">
        <f>VLOOKUP(240,Sprachindex!$A:$Z,Info!$O$7,FALSE)</f>
        <v>Blitzschutzklemme</v>
      </c>
      <c r="F34" s="668"/>
      <c r="G34" s="668"/>
      <c r="H34" s="668"/>
      <c r="I34" s="668"/>
      <c r="J34" s="668"/>
      <c r="K34" s="669"/>
      <c r="L34" s="79" t="str">
        <f t="shared" ref="L34:L58" si="3">IF(OR(A34="",AF34="",AG34="")," ",IF($O$11=1,AD34,IF($O$11=2,AE34,0)))</f>
        <v xml:space="preserve"> </v>
      </c>
      <c r="M34" s="433" t="str">
        <f t="shared" si="1"/>
        <v>Stk.</v>
      </c>
      <c r="N34" s="80"/>
      <c r="O34" s="202" t="str">
        <f>IF(ISNUMBER(A34),$L34*Q34, "")</f>
        <v/>
      </c>
      <c r="Q34" s="135">
        <f>R34</f>
        <v>27.75</v>
      </c>
      <c r="R34" s="200">
        <v>27.75</v>
      </c>
      <c r="S34" s="195"/>
      <c r="T34" s="232"/>
      <c r="U34" s="232"/>
      <c r="V34" s="232"/>
      <c r="W34" s="232"/>
      <c r="X34" s="232"/>
      <c r="Y34" s="232"/>
      <c r="Z34" s="232"/>
      <c r="AA34" s="195"/>
      <c r="AB34" s="195"/>
      <c r="AC34" s="1"/>
      <c r="AD34" s="149">
        <f t="shared" si="0"/>
        <v>0</v>
      </c>
      <c r="AE34" s="149">
        <f t="shared" si="2"/>
        <v>0</v>
      </c>
      <c r="AF34" s="149">
        <v>1</v>
      </c>
      <c r="AG34" s="149">
        <v>1</v>
      </c>
      <c r="AH34" s="158" t="s">
        <v>2134</v>
      </c>
      <c r="AI34" s="158" t="s">
        <v>2135</v>
      </c>
      <c r="AJ34" s="158" t="s">
        <v>2136</v>
      </c>
      <c r="AK34" s="158" t="s">
        <v>2137</v>
      </c>
      <c r="AL34" s="158" t="s">
        <v>2138</v>
      </c>
      <c r="AM34" s="158"/>
      <c r="AO34" s="29" t="s">
        <v>2134</v>
      </c>
      <c r="AP34" s="29" t="s">
        <v>2135</v>
      </c>
      <c r="AQ34" s="29" t="s">
        <v>2136</v>
      </c>
      <c r="AR34" s="29" t="s">
        <v>2137</v>
      </c>
      <c r="AS34" s="29" t="s">
        <v>2138</v>
      </c>
      <c r="AV34" s="158" t="s">
        <v>2134</v>
      </c>
      <c r="AW34" s="29" t="s">
        <v>2135</v>
      </c>
      <c r="AX34" s="29" t="s">
        <v>2136</v>
      </c>
      <c r="AY34" s="29" t="s">
        <v>2137</v>
      </c>
      <c r="AZ34" s="29" t="s">
        <v>2138</v>
      </c>
    </row>
    <row r="35" spans="1:58" ht="32.1" customHeight="1">
      <c r="A35" s="109"/>
      <c r="B35" s="79" t="str">
        <f>VLOOKUP(878,Sprachindex!$A:$Z,Info!$O$7,FALSE)</f>
        <v>Stk.</v>
      </c>
      <c r="C35" s="107"/>
      <c r="D35" s="78">
        <f>AM35</f>
        <v>0</v>
      </c>
      <c r="E35" s="561" t="str">
        <f>VLOOKUP(1883,Sprachindex!$A:$Z,Info!$O$7,FALSE)</f>
        <v>Quadratrohrbogen 80 mm, 72°, lang</v>
      </c>
      <c r="F35" s="562"/>
      <c r="G35" s="562"/>
      <c r="H35" s="562"/>
      <c r="I35" s="562"/>
      <c r="J35" s="562"/>
      <c r="K35" s="563"/>
      <c r="L35" s="79" t="str">
        <f t="shared" ref="L35" si="4">IF(OR(A35="",AF35="",AG35="")," ",IF($O$11=1,AD35,IF($O$11=2,AE35,0)))</f>
        <v xml:space="preserve"> </v>
      </c>
      <c r="M35" s="433" t="str">
        <f t="shared" si="1"/>
        <v>Stk.</v>
      </c>
      <c r="N35" s="80"/>
      <c r="O35" s="202" t="str">
        <f t="shared" ref="O35:O65" si="5">IF(ISNUMBER(A35),$L35*Q35, "")</f>
        <v/>
      </c>
      <c r="Q35" s="135" t="str">
        <f>IF(OR($O$21=2,$O$21=3,$O$21=4),R35,IF($O$21=5,S35," "))</f>
        <v xml:space="preserve"> </v>
      </c>
      <c r="R35" s="200">
        <v>91.38</v>
      </c>
      <c r="S35" s="195">
        <v>83.18</v>
      </c>
      <c r="T35" s="195"/>
      <c r="U35" s="195"/>
      <c r="V35" s="195"/>
      <c r="W35" s="195"/>
      <c r="X35" s="195"/>
      <c r="Y35" s="195"/>
      <c r="Z35" s="195"/>
      <c r="AA35" s="195"/>
      <c r="AB35" s="195"/>
      <c r="AC35" s="1"/>
      <c r="AD35" s="149">
        <f t="shared" si="0"/>
        <v>0</v>
      </c>
      <c r="AE35" s="149">
        <f t="shared" si="2"/>
        <v>0</v>
      </c>
      <c r="AF35" s="149">
        <v>1</v>
      </c>
      <c r="AG35" s="149">
        <v>1</v>
      </c>
      <c r="AH35" s="58"/>
      <c r="AI35" s="58">
        <v>151201</v>
      </c>
      <c r="AJ35" s="58">
        <v>151202</v>
      </c>
      <c r="AK35" s="58">
        <v>151203</v>
      </c>
      <c r="AL35" s="58">
        <v>151200</v>
      </c>
      <c r="AM35" s="56">
        <f t="shared" ref="AM35:AM40" si="6">IF($O$21=1,AH35,IF($O$21=2,AI35,IF($O$21=3,AJ35,IF($O$21=4,AK35,IF($O$21=5,AL35,0)))))</f>
        <v>0</v>
      </c>
      <c r="AN35" s="56"/>
      <c r="AQ35"/>
    </row>
    <row r="36" spans="1:58" ht="32.1" customHeight="1">
      <c r="A36" s="109"/>
      <c r="B36" s="79" t="str">
        <f>VLOOKUP(878,Sprachindex!$A:$Z,Info!$O$7,FALSE)</f>
        <v>Stk.</v>
      </c>
      <c r="C36" s="107"/>
      <c r="D36" s="78">
        <f>AM36</f>
        <v>0</v>
      </c>
      <c r="E36" s="561" t="str">
        <f>VLOOKUP(1884,Sprachindex!$A:$Z,Info!$O$7,FALSE)</f>
        <v>Quadratrohrbogen 100 mm, 72°, lang</v>
      </c>
      <c r="F36" s="562"/>
      <c r="G36" s="562"/>
      <c r="H36" s="562"/>
      <c r="I36" s="562"/>
      <c r="J36" s="562"/>
      <c r="K36" s="563"/>
      <c r="L36" s="79" t="str">
        <f t="shared" si="3"/>
        <v xml:space="preserve"> </v>
      </c>
      <c r="M36" s="433" t="str">
        <f t="shared" si="1"/>
        <v>Stk.</v>
      </c>
      <c r="N36" s="80"/>
      <c r="O36" s="202" t="str">
        <f t="shared" si="5"/>
        <v/>
      </c>
      <c r="Q36" s="135" t="str">
        <f>IF(OR($O$21=1,$O$21=2,$O$21=3,$O$21=4),R36,IF($O$21=5,S36," "))</f>
        <v xml:space="preserve"> </v>
      </c>
      <c r="R36" s="200">
        <v>107.9</v>
      </c>
      <c r="S36" s="195">
        <v>107</v>
      </c>
      <c r="T36" s="195"/>
      <c r="U36" s="195"/>
      <c r="V36" s="195"/>
      <c r="W36" s="195"/>
      <c r="X36" s="195"/>
      <c r="Y36" s="195"/>
      <c r="Z36" s="195"/>
      <c r="AA36" s="195"/>
      <c r="AB36" s="195"/>
      <c r="AC36" s="1"/>
      <c r="AD36" s="149">
        <f t="shared" si="0"/>
        <v>0</v>
      </c>
      <c r="AE36" s="149">
        <f t="shared" si="2"/>
        <v>0</v>
      </c>
      <c r="AF36" s="149">
        <v>1</v>
      </c>
      <c r="AG36" s="149">
        <v>1</v>
      </c>
      <c r="AH36" s="58">
        <v>150201</v>
      </c>
      <c r="AI36" s="58">
        <v>150202</v>
      </c>
      <c r="AJ36" s="58">
        <v>150204</v>
      </c>
      <c r="AK36" s="58">
        <v>150205</v>
      </c>
      <c r="AL36" s="58">
        <v>150200</v>
      </c>
      <c r="AM36" s="56">
        <f t="shared" si="6"/>
        <v>0</v>
      </c>
      <c r="AN36" s="56"/>
      <c r="AQ36"/>
    </row>
    <row r="37" spans="1:58" ht="32.1" customHeight="1">
      <c r="A37" s="109"/>
      <c r="B37" s="79" t="str">
        <f>VLOOKUP(878,Sprachindex!$A:$Z,Info!$O$7,FALSE)</f>
        <v>Stk.</v>
      </c>
      <c r="C37" s="78"/>
      <c r="D37" s="78">
        <f t="shared" ref="D37:D42" si="7">AM37</f>
        <v>0</v>
      </c>
      <c r="E37" s="561" t="str">
        <f>VLOOKUP(1885,Sprachindex!$A:$Z,Info!$O$7,FALSE)</f>
        <v>Quadratrohrbogen 80 mm, 72°, kurz</v>
      </c>
      <c r="F37" s="562"/>
      <c r="G37" s="562"/>
      <c r="H37" s="562"/>
      <c r="I37" s="562"/>
      <c r="J37" s="562"/>
      <c r="K37" s="563"/>
      <c r="L37" s="79" t="str">
        <f t="shared" ref="L37" si="8">IF(OR(A37="",AF37="",AG37="")," ",IF($O$11=1,AD37,IF($O$11=2,AE37,0)))</f>
        <v xml:space="preserve"> </v>
      </c>
      <c r="M37" s="433" t="str">
        <f t="shared" si="1"/>
        <v>Stk.</v>
      </c>
      <c r="N37" s="80"/>
      <c r="O37" s="202" t="str">
        <f t="shared" si="5"/>
        <v/>
      </c>
      <c r="Q37" s="135" t="str">
        <f>IF(OR($O$21=2,$O$21=3,$O$21=4),R37,IF($O$21=5,S37," "))</f>
        <v xml:space="preserve"> </v>
      </c>
      <c r="R37" s="200">
        <v>68.95</v>
      </c>
      <c r="S37" s="200">
        <v>64.61</v>
      </c>
      <c r="T37" s="195"/>
      <c r="U37" s="195"/>
      <c r="V37" s="195"/>
      <c r="W37" s="195"/>
      <c r="X37" s="195"/>
      <c r="Y37" s="195"/>
      <c r="Z37" s="195"/>
      <c r="AA37" s="195"/>
      <c r="AB37" s="195"/>
      <c r="AC37" s="1"/>
      <c r="AD37" s="149">
        <f t="shared" si="0"/>
        <v>0</v>
      </c>
      <c r="AE37" s="149">
        <f t="shared" si="2"/>
        <v>0</v>
      </c>
      <c r="AF37" s="149">
        <v>1</v>
      </c>
      <c r="AG37" s="149">
        <v>1</v>
      </c>
      <c r="AH37" s="58"/>
      <c r="AI37" s="58">
        <v>151261</v>
      </c>
      <c r="AJ37" s="58">
        <v>151262</v>
      </c>
      <c r="AK37" s="58">
        <v>151263</v>
      </c>
      <c r="AL37" s="58">
        <v>151260</v>
      </c>
      <c r="AM37" s="56">
        <f t="shared" si="6"/>
        <v>0</v>
      </c>
      <c r="AN37" s="56"/>
    </row>
    <row r="38" spans="1:58" ht="32.1" customHeight="1">
      <c r="A38" s="109"/>
      <c r="B38" s="79" t="str">
        <f>VLOOKUP(878,Sprachindex!$A:$Z,Info!$O$7,FALSE)</f>
        <v>Stk.</v>
      </c>
      <c r="C38" s="78"/>
      <c r="D38" s="78">
        <f t="shared" si="7"/>
        <v>0</v>
      </c>
      <c r="E38" s="561" t="str">
        <f>VLOOKUP(1886,Sprachindex!$A:$Z,Info!$O$7,FALSE)</f>
        <v>Quadratrohrbogen 100 mm, 72°, kurz</v>
      </c>
      <c r="F38" s="562"/>
      <c r="G38" s="562"/>
      <c r="H38" s="562"/>
      <c r="I38" s="562"/>
      <c r="J38" s="562"/>
      <c r="K38" s="563"/>
      <c r="L38" s="79" t="str">
        <f t="shared" si="3"/>
        <v xml:space="preserve"> </v>
      </c>
      <c r="M38" s="433" t="str">
        <f t="shared" si="1"/>
        <v>Stk.</v>
      </c>
      <c r="N38" s="80"/>
      <c r="O38" s="202" t="str">
        <f t="shared" si="5"/>
        <v/>
      </c>
      <c r="Q38" s="135" t="str">
        <f>IF(OR($O$21=1,$O$21=2,$O$21=3,$O$21=4),R38,IF($O$21=5,S38," "))</f>
        <v xml:space="preserve"> </v>
      </c>
      <c r="R38" s="200">
        <v>74.52</v>
      </c>
      <c r="S38" s="195">
        <v>73.63</v>
      </c>
      <c r="T38" s="195"/>
      <c r="U38" s="195"/>
      <c r="V38" s="195"/>
      <c r="W38" s="195"/>
      <c r="X38" s="195"/>
      <c r="Y38" s="195"/>
      <c r="Z38" s="195"/>
      <c r="AA38" s="195"/>
      <c r="AB38" s="195"/>
      <c r="AC38" s="1"/>
      <c r="AD38" s="149">
        <f t="shared" si="0"/>
        <v>0</v>
      </c>
      <c r="AE38" s="149">
        <f t="shared" si="2"/>
        <v>0</v>
      </c>
      <c r="AF38" s="149">
        <v>1</v>
      </c>
      <c r="AG38" s="149">
        <v>1</v>
      </c>
      <c r="AH38" s="58">
        <v>150261</v>
      </c>
      <c r="AI38" s="58">
        <v>150262</v>
      </c>
      <c r="AJ38" s="58">
        <v>150263</v>
      </c>
      <c r="AK38" s="58">
        <v>150265</v>
      </c>
      <c r="AL38" s="58">
        <v>150260</v>
      </c>
      <c r="AM38" s="56">
        <f t="shared" si="6"/>
        <v>0</v>
      </c>
      <c r="AN38" s="56"/>
    </row>
    <row r="39" spans="1:58" ht="32.1" customHeight="1">
      <c r="A39" s="109"/>
      <c r="B39" s="79" t="str">
        <f>VLOOKUP(878,Sprachindex!$A:$Z,Info!$O$7,FALSE)</f>
        <v>Stk.</v>
      </c>
      <c r="C39" s="78"/>
      <c r="D39" s="78">
        <f t="shared" si="7"/>
        <v>0</v>
      </c>
      <c r="E39" s="561" t="str">
        <f>VLOOKUP(1887,Sprachindex!$A:$Z,Info!$O$7,FALSE)</f>
        <v>Quadratrohr 80 mm, Wasserfangkasten</v>
      </c>
      <c r="F39" s="562"/>
      <c r="G39" s="562"/>
      <c r="H39" s="562"/>
      <c r="I39" s="562"/>
      <c r="J39" s="562"/>
      <c r="K39" s="563"/>
      <c r="L39" s="79" t="str">
        <f t="shared" ref="L39" si="9">IF(OR(A39="",AF39="",AG39="")," ",IF($O$11=1,AD39,IF($O$11=2,AE39,0)))</f>
        <v xml:space="preserve"> </v>
      </c>
      <c r="M39" s="433" t="str">
        <f t="shared" si="1"/>
        <v>Stk.</v>
      </c>
      <c r="N39" s="80"/>
      <c r="O39" s="202" t="str">
        <f t="shared" si="5"/>
        <v/>
      </c>
      <c r="Q39" s="135" t="str">
        <f>IF(OR($O$21=2,$O$21=3,$O$21=4),R39,IF($O$21=5,S39," "))</f>
        <v xml:space="preserve"> </v>
      </c>
      <c r="R39" s="200">
        <v>230</v>
      </c>
      <c r="S39" s="200">
        <v>225.4</v>
      </c>
      <c r="T39" s="195"/>
      <c r="U39" s="195"/>
      <c r="V39" s="195"/>
      <c r="W39" s="195"/>
      <c r="X39" s="195"/>
      <c r="Z39" s="195"/>
      <c r="AA39" s="195"/>
      <c r="AB39" s="195"/>
      <c r="AC39" s="1"/>
      <c r="AD39" s="149">
        <f t="shared" si="0"/>
        <v>0</v>
      </c>
      <c r="AE39" s="149">
        <f t="shared" si="2"/>
        <v>0</v>
      </c>
      <c r="AF39" s="149">
        <v>1</v>
      </c>
      <c r="AG39" s="149">
        <v>1</v>
      </c>
      <c r="AH39" s="58"/>
      <c r="AI39" s="58">
        <v>151301</v>
      </c>
      <c r="AJ39" s="58">
        <v>151302</v>
      </c>
      <c r="AK39" s="58">
        <v>151303</v>
      </c>
      <c r="AL39" s="58">
        <v>151300</v>
      </c>
      <c r="AM39" s="56">
        <f t="shared" si="6"/>
        <v>0</v>
      </c>
      <c r="AN39" s="56"/>
    </row>
    <row r="40" spans="1:58" ht="32.1" customHeight="1">
      <c r="A40" s="109"/>
      <c r="B40" s="79" t="str">
        <f>VLOOKUP(878,Sprachindex!$A:$Z,Info!$O$7,FALSE)</f>
        <v>Stk.</v>
      </c>
      <c r="C40" s="78"/>
      <c r="D40" s="78">
        <f t="shared" si="7"/>
        <v>0</v>
      </c>
      <c r="E40" s="561" t="str">
        <f>VLOOKUP(1888,Sprachindex!$A:$Z,Info!$O$7,FALSE)</f>
        <v>Quadratrohr 100 mm, Wasserfangkasten</v>
      </c>
      <c r="F40" s="562"/>
      <c r="G40" s="562"/>
      <c r="H40" s="562"/>
      <c r="I40" s="562"/>
      <c r="J40" s="562"/>
      <c r="K40" s="563"/>
      <c r="L40" s="79" t="str">
        <f t="shared" si="3"/>
        <v xml:space="preserve"> </v>
      </c>
      <c r="M40" s="433" t="str">
        <f t="shared" si="1"/>
        <v>Stk.</v>
      </c>
      <c r="N40" s="80"/>
      <c r="O40" s="202" t="str">
        <f t="shared" si="5"/>
        <v/>
      </c>
      <c r="Q40" s="135" t="str">
        <f>IF(OR($O$21=1,$O$21=2,$O$21=3,$O$21=4),R40,IF($O$21=5,S40," "))</f>
        <v xml:space="preserve"> </v>
      </c>
      <c r="R40" s="200">
        <v>230.4</v>
      </c>
      <c r="S40" s="195">
        <v>221.4</v>
      </c>
      <c r="T40" s="195"/>
      <c r="U40" s="195"/>
      <c r="V40" s="195"/>
      <c r="W40" s="195"/>
      <c r="X40" s="195"/>
      <c r="Y40" s="195"/>
      <c r="Z40" s="195"/>
      <c r="AA40" s="195"/>
      <c r="AB40" s="195"/>
      <c r="AC40" s="1"/>
      <c r="AD40" s="149">
        <f t="shared" si="0"/>
        <v>0</v>
      </c>
      <c r="AE40" s="149">
        <f t="shared" si="2"/>
        <v>0</v>
      </c>
      <c r="AF40" s="149">
        <v>1</v>
      </c>
      <c r="AG40" s="149">
        <v>1</v>
      </c>
      <c r="AH40" s="58">
        <v>150301</v>
      </c>
      <c r="AI40" s="58">
        <v>150302</v>
      </c>
      <c r="AJ40" s="58">
        <v>150303</v>
      </c>
      <c r="AK40" s="58">
        <v>150305</v>
      </c>
      <c r="AL40" s="58">
        <v>150300</v>
      </c>
      <c r="AM40" s="56">
        <f t="shared" si="6"/>
        <v>0</v>
      </c>
      <c r="AN40" s="56"/>
    </row>
    <row r="41" spans="1:58" ht="32.1" customHeight="1">
      <c r="A41" s="109"/>
      <c r="B41" s="79" t="str">
        <f>VLOOKUP(878,Sprachindex!$A:$Z,Info!$O$7,FALSE)</f>
        <v>Stk.</v>
      </c>
      <c r="C41" s="78"/>
      <c r="D41" s="78">
        <f t="shared" si="7"/>
        <v>0</v>
      </c>
      <c r="E41" s="561" t="str">
        <f>VLOOKUP(1893,Sprachindex!$A:$Z,Info!$O$7,FALSE)</f>
        <v>Quadratrohr 80 mm, Muffe</v>
      </c>
      <c r="F41" s="562"/>
      <c r="G41" s="562"/>
      <c r="H41" s="562"/>
      <c r="I41" s="562"/>
      <c r="J41" s="714" t="s">
        <v>2148</v>
      </c>
      <c r="K41" s="628"/>
      <c r="L41" s="79" t="str">
        <f t="shared" ref="L41:L42" si="10">IF(OR(A41="",AF41="",AG41="")," ",IF($O$11=1,AD41,IF($O$11=2,AE41,0)))</f>
        <v xml:space="preserve"> </v>
      </c>
      <c r="M41" s="433" t="str">
        <f t="shared" si="1"/>
        <v>Stk.</v>
      </c>
      <c r="N41" s="80"/>
      <c r="O41" s="202" t="str">
        <f t="shared" si="5"/>
        <v/>
      </c>
      <c r="Q41" s="135" t="str">
        <f>IF(OR($O$21=2,$O$21=3,$O$21=4),R41,IF($O$21=5,S41," "))</f>
        <v xml:space="preserve"> </v>
      </c>
      <c r="R41" s="200">
        <v>99.23</v>
      </c>
      <c r="S41" s="195">
        <v>93.11</v>
      </c>
      <c r="T41" s="195"/>
      <c r="U41" s="195"/>
      <c r="V41" s="195"/>
      <c r="W41" s="195"/>
      <c r="X41" s="195"/>
      <c r="Y41" s="195"/>
      <c r="Z41" s="195"/>
      <c r="AA41" s="195"/>
      <c r="AB41" s="195"/>
      <c r="AC41" s="1"/>
      <c r="AD41" s="149">
        <f t="shared" si="0"/>
        <v>0</v>
      </c>
      <c r="AE41" s="149">
        <f t="shared" si="2"/>
        <v>0</v>
      </c>
      <c r="AF41" s="149">
        <v>1</v>
      </c>
      <c r="AG41" s="149">
        <v>1</v>
      </c>
      <c r="AH41"/>
      <c r="AI41" s="58">
        <v>151381</v>
      </c>
      <c r="AJ41" s="58">
        <v>151382</v>
      </c>
      <c r="AK41" s="58">
        <v>151383</v>
      </c>
      <c r="AL41" s="58">
        <v>151380</v>
      </c>
      <c r="AM41" s="56">
        <f t="shared" ref="AM41:AM43" si="11">IF($O$21=1,AH41,IF($O$21=2,AI41,IF($O$21=3,AJ41,IF($O$21=4,AK41,IF($O$21=5,AL41,0)))))</f>
        <v>0</v>
      </c>
      <c r="AN41" s="56"/>
    </row>
    <row r="42" spans="1:58" ht="32.1" customHeight="1">
      <c r="A42" s="109"/>
      <c r="B42" s="79" t="str">
        <f>VLOOKUP(878,Sprachindex!$A:$Z,Info!$O$7,FALSE)</f>
        <v>Stk.</v>
      </c>
      <c r="C42" s="78"/>
      <c r="D42" s="78">
        <f t="shared" si="7"/>
        <v>0</v>
      </c>
      <c r="E42" s="561" t="str">
        <f>VLOOKUP(1893,Sprachindex!$A:$Z,Info!$O$7,FALSE)</f>
        <v>Quadratrohr 80 mm, Muffe</v>
      </c>
      <c r="F42" s="562"/>
      <c r="G42" s="562"/>
      <c r="H42" s="562"/>
      <c r="I42" s="562"/>
      <c r="J42" s="711" t="s">
        <v>1618</v>
      </c>
      <c r="K42" s="628"/>
      <c r="L42" s="79" t="str">
        <f t="shared" si="10"/>
        <v xml:space="preserve"> </v>
      </c>
      <c r="M42" s="433" t="str">
        <f t="shared" si="1"/>
        <v>Stk.</v>
      </c>
      <c r="N42" s="80"/>
      <c r="O42" s="202" t="str">
        <f t="shared" si="5"/>
        <v/>
      </c>
      <c r="R42" s="200"/>
      <c r="S42" s="195"/>
      <c r="T42" s="195"/>
      <c r="U42" s="195"/>
      <c r="V42" s="195"/>
      <c r="W42" s="195"/>
      <c r="X42" s="195"/>
      <c r="Y42" s="195"/>
      <c r="Z42" s="195"/>
      <c r="AA42" s="195"/>
      <c r="AB42" s="195"/>
      <c r="AC42" s="1"/>
      <c r="AD42" s="149"/>
      <c r="AE42" s="149"/>
      <c r="AF42" s="149"/>
      <c r="AG42" s="149"/>
      <c r="AH42"/>
      <c r="AI42" s="549">
        <v>151361</v>
      </c>
      <c r="AJ42" s="549">
        <v>151362</v>
      </c>
      <c r="AK42" s="549">
        <v>151363</v>
      </c>
      <c r="AL42" s="549">
        <v>151360</v>
      </c>
      <c r="AM42" s="56">
        <f t="shared" si="11"/>
        <v>0</v>
      </c>
      <c r="AN42" s="56"/>
    </row>
    <row r="43" spans="1:58" ht="32.1" customHeight="1">
      <c r="A43" s="109"/>
      <c r="B43" s="79" t="str">
        <f>VLOOKUP(878,Sprachindex!$A:$Z,Info!$O$7,FALSE)</f>
        <v>Stk.</v>
      </c>
      <c r="C43" s="78"/>
      <c r="D43" s="78">
        <f>IF(I43=Formeln!A147,AM43,IF(I43=Formeln!A148,AT43,0))</f>
        <v>0</v>
      </c>
      <c r="E43" s="561" t="str">
        <f>VLOOKUP(1894,Sprachindex!$A:$Z,Info!$O$7,FALSE)</f>
        <v>Quadratrohr 100 mm, Muffe</v>
      </c>
      <c r="F43" s="562"/>
      <c r="G43" s="562"/>
      <c r="H43" s="84" t="str">
        <f>VLOOKUP(306,Sprachindex!$A:$Z,Info!$O$7,FALSE)</f>
        <v>Dimension wählen:</v>
      </c>
      <c r="I43" s="572"/>
      <c r="J43" s="573"/>
      <c r="K43" s="573"/>
      <c r="L43" s="79" t="str">
        <f t="shared" si="3"/>
        <v xml:space="preserve"> </v>
      </c>
      <c r="M43" s="433" t="str">
        <f t="shared" si="1"/>
        <v>Stk.</v>
      </c>
      <c r="N43" s="80"/>
      <c r="O43" s="202" t="str">
        <f t="shared" si="5"/>
        <v/>
      </c>
      <c r="Q43" s="135" t="str">
        <f>IF(OR($O$21=1,$O$21=2,$O$21=3,$O$21=4),R43,IF($O$21=5,S43," "))</f>
        <v xml:space="preserve"> </v>
      </c>
      <c r="R43" s="200">
        <v>47.48</v>
      </c>
      <c r="S43" s="195">
        <v>44.55</v>
      </c>
      <c r="T43" s="195"/>
      <c r="U43" s="195"/>
      <c r="V43" s="195"/>
      <c r="W43" s="195"/>
      <c r="X43" s="195"/>
      <c r="Y43" s="195"/>
      <c r="Z43" s="195"/>
      <c r="AA43" s="195"/>
      <c r="AB43" s="195"/>
      <c r="AC43" s="1"/>
      <c r="AD43" s="149" t="e">
        <f t="shared" si="0"/>
        <v>#VALUE!</v>
      </c>
      <c r="AE43" s="149">
        <f t="shared" si="2"/>
        <v>0</v>
      </c>
      <c r="AF43" s="149" t="str">
        <f>IF(I43=Formeln!$A$146,"",1)</f>
        <v/>
      </c>
      <c r="AG43" s="149">
        <v>1</v>
      </c>
      <c r="AH43" s="58">
        <v>150381</v>
      </c>
      <c r="AI43" s="58">
        <v>150382</v>
      </c>
      <c r="AJ43" s="58">
        <v>150383</v>
      </c>
      <c r="AK43" s="58">
        <v>150385</v>
      </c>
      <c r="AL43" s="58">
        <v>150380</v>
      </c>
      <c r="AM43" s="56">
        <f t="shared" si="11"/>
        <v>0</v>
      </c>
      <c r="AN43" s="56" t="s">
        <v>2149</v>
      </c>
      <c r="AO43" s="58">
        <v>150361</v>
      </c>
      <c r="AP43" s="58">
        <v>150362</v>
      </c>
      <c r="AQ43" s="58">
        <v>150363</v>
      </c>
      <c r="AR43" s="58">
        <v>150365</v>
      </c>
      <c r="AS43" s="58">
        <v>150360</v>
      </c>
      <c r="AT43" s="548">
        <f t="shared" ref="AT43" si="12">IF($O$21=1,AO43,IF($O$21=2,AP43,IF($O$21=3,AQ43,IF($O$21=4,AR43,IF($O$21=5,AS43,0)))))</f>
        <v>0</v>
      </c>
      <c r="AU43" s="56" t="s">
        <v>1618</v>
      </c>
      <c r="AV43"/>
      <c r="AW43"/>
      <c r="AX43"/>
    </row>
    <row r="44" spans="1:58" ht="32.1" customHeight="1">
      <c r="A44" s="109"/>
      <c r="B44" s="79" t="str">
        <f>VLOOKUP(878,Sprachindex!$A:$Z,Info!$O$7,FALSE)</f>
        <v>Stk.</v>
      </c>
      <c r="C44" s="78"/>
      <c r="D44" s="78">
        <f>IF(J44=Formeln!G194,150052,IF(J44=Formeln_RI_P.10!G187,150053,0))</f>
        <v>0</v>
      </c>
      <c r="E44" s="561" t="str">
        <f>VLOOKUP(444,Sprachindex!$A:$Z,Info!$O$7,FALSE)</f>
        <v>Gummidichtung passend für HT/KG</v>
      </c>
      <c r="F44" s="562"/>
      <c r="G44" s="562"/>
      <c r="H44" s="562"/>
      <c r="I44" s="551" t="str">
        <f>VLOOKUP(306,Sprachindex!$A:$Z,Info!$O$7,FALSE)</f>
        <v>Dimension wählen:</v>
      </c>
      <c r="J44" s="711"/>
      <c r="K44" s="628"/>
      <c r="L44" s="79" t="str">
        <f t="shared" si="3"/>
        <v xml:space="preserve"> </v>
      </c>
      <c r="M44" s="433" t="str">
        <f t="shared" si="1"/>
        <v>Stk.</v>
      </c>
      <c r="N44" s="80"/>
      <c r="O44" s="202" t="str">
        <f t="shared" si="5"/>
        <v/>
      </c>
      <c r="Q44" s="135">
        <f>R44</f>
        <v>6.98</v>
      </c>
      <c r="R44" s="200">
        <v>6.98</v>
      </c>
      <c r="S44" s="195"/>
      <c r="T44" s="195"/>
      <c r="U44" s="195"/>
      <c r="V44" s="195"/>
      <c r="W44" s="195"/>
      <c r="X44" s="195"/>
      <c r="Y44" s="195"/>
      <c r="Z44" s="195"/>
      <c r="AA44" s="195"/>
      <c r="AB44" s="195"/>
      <c r="AC44" s="1"/>
      <c r="AD44" s="149">
        <f t="shared" si="0"/>
        <v>0</v>
      </c>
      <c r="AE44" s="149">
        <f t="shared" si="2"/>
        <v>0</v>
      </c>
      <c r="AF44" s="149">
        <v>1</v>
      </c>
      <c r="AG44" s="149">
        <v>1</v>
      </c>
      <c r="AH44" s="158" t="s">
        <v>2134</v>
      </c>
      <c r="AI44" s="158" t="s">
        <v>2135</v>
      </c>
      <c r="AJ44" s="158" t="s">
        <v>2136</v>
      </c>
      <c r="AK44" s="158" t="s">
        <v>2137</v>
      </c>
      <c r="AL44" s="158" t="s">
        <v>2138</v>
      </c>
      <c r="AM44" s="158"/>
      <c r="AO44" s="29" t="s">
        <v>2134</v>
      </c>
      <c r="AP44" s="29" t="s">
        <v>2135</v>
      </c>
      <c r="AQ44" s="29" t="s">
        <v>2136</v>
      </c>
      <c r="AR44" s="29" t="s">
        <v>2137</v>
      </c>
      <c r="AS44" s="29" t="s">
        <v>2138</v>
      </c>
      <c r="AV44" s="158" t="s">
        <v>2134</v>
      </c>
      <c r="AW44" s="29" t="s">
        <v>2135</v>
      </c>
      <c r="AX44" s="29" t="s">
        <v>2136</v>
      </c>
      <c r="AY44" s="29" t="s">
        <v>2137</v>
      </c>
      <c r="AZ44" s="29" t="s">
        <v>2138</v>
      </c>
      <c r="BB44"/>
      <c r="BC44"/>
      <c r="BD44"/>
      <c r="BE44"/>
      <c r="BF44"/>
    </row>
    <row r="45" spans="1:58" ht="32.1" customHeight="1">
      <c r="A45" s="109"/>
      <c r="B45" s="79" t="str">
        <f>VLOOKUP(878,Sprachindex!$A:$Z,Info!$O$7,FALSE)</f>
        <v>Stk.</v>
      </c>
      <c r="C45" s="78"/>
      <c r="D45" s="78">
        <f>IF(I45=Formeln_RI_P.10!A141,AM45,IF(I45=Formeln_RI_P.10!A142,AT45,0))</f>
        <v>0</v>
      </c>
      <c r="E45" s="561" t="str">
        <f>VLOOKUP(1889,Sprachindex!$A:$Z,Info!$O$7,FALSE)</f>
        <v>Quadratrohr 80 mm, Kessel</v>
      </c>
      <c r="F45" s="562"/>
      <c r="G45" s="562"/>
      <c r="H45" s="84" t="str">
        <f>VLOOKUP(306,Sprachindex!$A:$Z,Info!$O$7,FALSE)</f>
        <v>Dimension wählen:</v>
      </c>
      <c r="I45" s="572"/>
      <c r="J45" s="573"/>
      <c r="K45" s="573"/>
      <c r="L45" s="79" t="str">
        <f t="shared" ref="L45" si="13">IF(OR(A45="",AF45="",AG45="")," ",IF($O$11=1,AD45,IF($O$11=2,AE45,0)))</f>
        <v xml:space="preserve"> </v>
      </c>
      <c r="M45" s="433" t="str">
        <f t="shared" si="1"/>
        <v>Stk.</v>
      </c>
      <c r="N45" s="80"/>
      <c r="O45" s="202" t="str">
        <f t="shared" si="5"/>
        <v/>
      </c>
      <c r="Q45" s="195" t="str">
        <f>IF(I45=T45,IF(OR($O$21=2,$O$21=3,$O$21=4),R45,IF($O$21=5,S45," ")),IF(I45=W45,IF(OR($O$21=2,$O$21=3,$O$21=4),Y45,IF($O$21=5,Z45," "))," "))</f>
        <v xml:space="preserve"> </v>
      </c>
      <c r="R45" s="200">
        <v>52.15</v>
      </c>
      <c r="S45" s="195">
        <v>48.74</v>
      </c>
      <c r="T45" s="715" t="s">
        <v>1636</v>
      </c>
      <c r="U45" s="715"/>
      <c r="V45" s="70"/>
      <c r="W45" s="716" t="s">
        <v>1637</v>
      </c>
      <c r="X45" s="716"/>
      <c r="Y45" s="195">
        <v>68.010000000000005</v>
      </c>
      <c r="Z45" s="195">
        <v>65.12</v>
      </c>
      <c r="AA45" s="195"/>
      <c r="AB45" s="195"/>
      <c r="AC45" s="1"/>
      <c r="AD45" s="149">
        <f t="shared" si="0"/>
        <v>0</v>
      </c>
      <c r="AE45" s="149">
        <f t="shared" si="2"/>
        <v>0</v>
      </c>
      <c r="AF45" s="149">
        <v>1</v>
      </c>
      <c r="AG45" s="149">
        <v>1</v>
      </c>
      <c r="AH45" s="58"/>
      <c r="AI45" s="58">
        <v>151401</v>
      </c>
      <c r="AJ45" s="58">
        <v>151402</v>
      </c>
      <c r="AK45" s="58">
        <v>151403</v>
      </c>
      <c r="AL45" s="58">
        <v>151400</v>
      </c>
      <c r="AM45" s="56">
        <f t="shared" ref="AM45" si="14">IF($O$21=1,AH45,IF($O$21=2,AI45,IF($O$21=3,AJ45,IF($O$21=4,AK45,IF($O$21=5,AL45,0)))))</f>
        <v>0</v>
      </c>
      <c r="AN45" s="56" t="s">
        <v>2150</v>
      </c>
      <c r="AO45" s="58"/>
      <c r="AP45" s="58">
        <v>151421</v>
      </c>
      <c r="AQ45" s="58">
        <v>151422</v>
      </c>
      <c r="AR45" s="58">
        <v>151423</v>
      </c>
      <c r="AS45" s="58">
        <v>151420</v>
      </c>
      <c r="AT45" s="548">
        <f t="shared" ref="AT45:AT46" si="15">IF($O$21=1,AO45,IF($O$21=2,AP45,IF($O$21=3,AQ45,IF($O$21=4,AR45,IF($O$21=5,AS45,0)))))</f>
        <v>0</v>
      </c>
      <c r="AU45" s="56" t="s">
        <v>2151</v>
      </c>
      <c r="AV45"/>
      <c r="AW45"/>
      <c r="AX45"/>
    </row>
    <row r="46" spans="1:58" ht="32.1" customHeight="1">
      <c r="A46" s="109"/>
      <c r="B46" s="79" t="str">
        <f>VLOOKUP(878,Sprachindex!$A:$Z,Info!$O$7,FALSE)</f>
        <v>Stk.</v>
      </c>
      <c r="C46" s="78"/>
      <c r="D46" s="78">
        <f>IF(I46=Formeln_RI_P.10!A143,AM46,IF(I46=Formeln_RI_P.10!A144,AT46,0))</f>
        <v>0</v>
      </c>
      <c r="E46" s="561" t="str">
        <f>VLOOKUP(1890,Sprachindex!$A:$Z,Info!$O$7,FALSE)</f>
        <v>Quadratrohr 100 mm, Kessel</v>
      </c>
      <c r="F46" s="562"/>
      <c r="G46" s="562"/>
      <c r="H46" s="84" t="str">
        <f>VLOOKUP(306,Sprachindex!$A:$Z,Info!$O$7,FALSE)</f>
        <v>Dimension wählen:</v>
      </c>
      <c r="I46" s="572"/>
      <c r="J46" s="573"/>
      <c r="K46" s="573"/>
      <c r="L46" s="79" t="str">
        <f t="shared" si="3"/>
        <v xml:space="preserve"> </v>
      </c>
      <c r="M46" s="433" t="str">
        <f t="shared" si="1"/>
        <v>Stk.</v>
      </c>
      <c r="N46" s="80"/>
      <c r="O46" s="202" t="str">
        <f t="shared" si="5"/>
        <v/>
      </c>
      <c r="Q46" s="195" t="str">
        <f>IF(I46=T46,IF(OR($O$21=2,$O$21=3,$O$21=4),R46,IF($O$21=5,S46," ")),IF(I46=W46,IF(OR($O$21=2,$O$21=3,$O$21=4),Y46,IF($O$21=5,Z46," "))," "))</f>
        <v xml:space="preserve"> </v>
      </c>
      <c r="R46" s="200">
        <v>69.55</v>
      </c>
      <c r="S46" s="195">
        <v>64.010000000000005</v>
      </c>
      <c r="T46" s="715" t="s">
        <v>1638</v>
      </c>
      <c r="U46" s="715"/>
      <c r="V46" s="195"/>
      <c r="W46" s="715" t="s">
        <v>1639</v>
      </c>
      <c r="X46" s="715"/>
      <c r="Y46" s="195">
        <v>71.12</v>
      </c>
      <c r="Z46" s="195">
        <v>65.17</v>
      </c>
      <c r="AA46" s="195"/>
      <c r="AB46" s="195"/>
      <c r="AC46" s="1"/>
      <c r="AD46" s="149" t="e">
        <f t="shared" si="0"/>
        <v>#VALUE!</v>
      </c>
      <c r="AE46" s="149">
        <f t="shared" si="2"/>
        <v>0</v>
      </c>
      <c r="AF46" s="149" t="str">
        <f>IF(I46=Formeln!$A$149,"",1)</f>
        <v/>
      </c>
      <c r="AG46" s="149">
        <v>1</v>
      </c>
      <c r="AH46" s="58">
        <v>150401</v>
      </c>
      <c r="AI46" s="58">
        <v>150402</v>
      </c>
      <c r="AJ46" s="58">
        <v>150403</v>
      </c>
      <c r="AK46" s="58">
        <v>150405</v>
      </c>
      <c r="AL46" s="58">
        <v>150400</v>
      </c>
      <c r="AM46" s="56">
        <f>IF($O$21=1,AH46,IF($O$21=2,AI46,IF($O$21=3,AJ46,IF($O$21=4,AK46,IF($O$21=5,AL46,0)))))</f>
        <v>0</v>
      </c>
      <c r="AN46" s="56" t="s">
        <v>2152</v>
      </c>
      <c r="AO46" s="549">
        <v>150421</v>
      </c>
      <c r="AP46" s="549">
        <v>150422</v>
      </c>
      <c r="AQ46" s="549">
        <v>150423</v>
      </c>
      <c r="AR46" s="549">
        <v>150425</v>
      </c>
      <c r="AS46" s="549">
        <v>150420</v>
      </c>
      <c r="AT46" s="548">
        <f t="shared" si="15"/>
        <v>0</v>
      </c>
      <c r="AU46" s="56" t="s">
        <v>2153</v>
      </c>
      <c r="AV46"/>
      <c r="AW46"/>
      <c r="AX46"/>
    </row>
    <row r="47" spans="1:58" ht="32.1" customHeight="1">
      <c r="A47" s="109"/>
      <c r="B47" s="79" t="str">
        <f>VLOOKUP(878,Sprachindex!$A:$Z,Info!$O$7,FALSE)</f>
        <v>Stk.</v>
      </c>
      <c r="C47" s="78"/>
      <c r="D47" s="78">
        <f>AM47</f>
        <v>0</v>
      </c>
      <c r="E47" s="561" t="str">
        <f>VLOOKUP(1891,Sprachindex!$A:$Z,Info!$O$7,FALSE)</f>
        <v>Quadratrohr 80 mm, Speiereinmündung</v>
      </c>
      <c r="F47" s="562"/>
      <c r="G47" s="562"/>
      <c r="H47" s="562"/>
      <c r="I47" s="562"/>
      <c r="J47" s="562"/>
      <c r="K47" s="563"/>
      <c r="L47" s="79" t="str">
        <f t="shared" ref="L47" si="16">IF(OR(A47="",AF47="",AG47="")," ",IF($O$11=1,AD47,IF($O$11=2,AE47,0)))</f>
        <v xml:space="preserve"> </v>
      </c>
      <c r="M47" s="433" t="str">
        <f t="shared" si="1"/>
        <v>Stk.</v>
      </c>
      <c r="N47" s="80"/>
      <c r="O47" s="202" t="str">
        <f t="shared" si="5"/>
        <v/>
      </c>
      <c r="Q47" s="135" t="str">
        <f>IF(OR($O$21=2,$O$21=3,$O$21=4),R47,IF($O$21=5,S47," "))</f>
        <v xml:space="preserve"> </v>
      </c>
      <c r="R47" s="200">
        <v>248.2</v>
      </c>
      <c r="S47" s="195">
        <v>237.1</v>
      </c>
      <c r="T47" s="195"/>
      <c r="U47" s="195"/>
      <c r="V47" s="195"/>
      <c r="W47" s="195"/>
      <c r="X47" s="195"/>
      <c r="Y47" s="195"/>
      <c r="Z47" s="195"/>
      <c r="AA47" s="195"/>
      <c r="AB47" s="195"/>
      <c r="AC47" s="1"/>
      <c r="AD47" s="149">
        <f t="shared" si="0"/>
        <v>0</v>
      </c>
      <c r="AE47" s="149">
        <f t="shared" si="2"/>
        <v>0</v>
      </c>
      <c r="AF47" s="149">
        <v>1</v>
      </c>
      <c r="AG47" s="149">
        <v>1</v>
      </c>
      <c r="AH47" s="58"/>
      <c r="AI47" s="58">
        <v>151501</v>
      </c>
      <c r="AJ47" s="58">
        <v>151502</v>
      </c>
      <c r="AK47" s="58">
        <v>151503</v>
      </c>
      <c r="AL47" s="58">
        <v>151500</v>
      </c>
      <c r="AM47" s="56">
        <f t="shared" ref="AM47:AM51" si="17">IF($O$21=1,AH47,IF($O$21=2,AI47,IF($O$21=3,AJ47,IF($O$21=4,AK47,IF($O$21=5,AL47,0)))))</f>
        <v>0</v>
      </c>
      <c r="AN47" s="56"/>
      <c r="AQ47"/>
    </row>
    <row r="48" spans="1:58" ht="32.1" customHeight="1">
      <c r="A48" s="109"/>
      <c r="B48" s="79" t="str">
        <f>VLOOKUP(878,Sprachindex!$A:$Z,Info!$O$7,FALSE)</f>
        <v>Stk.</v>
      </c>
      <c r="C48" s="78"/>
      <c r="D48" s="78">
        <f t="shared" ref="D48:D51" si="18">AM48</f>
        <v>0</v>
      </c>
      <c r="E48" s="561" t="str">
        <f>VLOOKUP(1892,Sprachindex!$A:$Z,Info!$O$7,FALSE)</f>
        <v>Quadratrohr 100 mm, Speiereinmündung</v>
      </c>
      <c r="F48" s="562"/>
      <c r="G48" s="562"/>
      <c r="H48" s="562"/>
      <c r="I48" s="562"/>
      <c r="J48" s="562"/>
      <c r="K48" s="563"/>
      <c r="L48" s="79" t="str">
        <f t="shared" si="3"/>
        <v xml:space="preserve"> </v>
      </c>
      <c r="M48" s="433" t="str">
        <f t="shared" si="1"/>
        <v>Stk.</v>
      </c>
      <c r="N48" s="80"/>
      <c r="O48" s="202" t="str">
        <f t="shared" si="5"/>
        <v/>
      </c>
      <c r="Q48" s="135" t="str">
        <f>IF(OR($O$21=1,$O$21=2,$O$21=3,$O$21=4),R48,IF($O$21=5,S48," "))</f>
        <v xml:space="preserve"> </v>
      </c>
      <c r="R48" s="200">
        <v>248.2</v>
      </c>
      <c r="S48" s="195">
        <v>237.3</v>
      </c>
      <c r="T48" s="195"/>
      <c r="U48" s="195"/>
      <c r="V48" s="195"/>
      <c r="W48" s="195"/>
      <c r="X48" s="195"/>
      <c r="Y48" s="195"/>
      <c r="Z48" s="195"/>
      <c r="AA48" s="195"/>
      <c r="AB48" s="195"/>
      <c r="AC48" s="1"/>
      <c r="AD48" s="149">
        <f t="shared" si="0"/>
        <v>0</v>
      </c>
      <c r="AE48" s="149">
        <f t="shared" si="2"/>
        <v>0</v>
      </c>
      <c r="AF48" s="149">
        <v>1</v>
      </c>
      <c r="AG48" s="149">
        <v>1</v>
      </c>
      <c r="AH48" s="58">
        <v>150501</v>
      </c>
      <c r="AI48" s="58">
        <v>150502</v>
      </c>
      <c r="AJ48" s="58">
        <v>150503</v>
      </c>
      <c r="AK48" s="58">
        <v>150505</v>
      </c>
      <c r="AL48" s="58">
        <v>150500</v>
      </c>
      <c r="AM48" s="56">
        <f t="shared" si="17"/>
        <v>0</v>
      </c>
      <c r="AN48" s="56"/>
      <c r="AQ48"/>
    </row>
    <row r="49" spans="1:103" ht="32.1" customHeight="1">
      <c r="A49" s="109"/>
      <c r="B49" s="79" t="str">
        <f>VLOOKUP(878,Sprachindex!$A:$Z,Info!$O$7,FALSE)</f>
        <v>Stk.</v>
      </c>
      <c r="C49" s="78"/>
      <c r="D49" s="78">
        <f t="shared" si="18"/>
        <v>0</v>
      </c>
      <c r="E49" s="561" t="str">
        <f>VLOOKUP(1895,Sprachindex!$A:$Z,Info!$O$7,FALSE)</f>
        <v>Quadratrohr 80 mm, mit Reinigungsöffnung</v>
      </c>
      <c r="F49" s="562"/>
      <c r="G49" s="562"/>
      <c r="H49" s="562"/>
      <c r="I49" s="562"/>
      <c r="J49" s="562"/>
      <c r="K49" s="563"/>
      <c r="L49" s="79" t="str">
        <f t="shared" ref="L49" si="19">IF(OR(A49="",AF49="",AG49="")," ",IF($O$11=1,AD49,IF($O$11=2,AE49,0)))</f>
        <v xml:space="preserve"> </v>
      </c>
      <c r="M49" s="433" t="str">
        <f t="shared" si="1"/>
        <v>Stk.</v>
      </c>
      <c r="N49" s="80"/>
      <c r="O49" s="202" t="str">
        <f t="shared" si="5"/>
        <v/>
      </c>
      <c r="Q49" s="135" t="str">
        <f>IF(OR($O$21=2,$O$21=3,$O$21=4),R49,IF($O$21=5,S49," "))</f>
        <v xml:space="preserve"> </v>
      </c>
      <c r="R49" s="200">
        <v>101.7</v>
      </c>
      <c r="S49" s="195">
        <v>100.9</v>
      </c>
      <c r="T49" s="195"/>
      <c r="U49" s="195"/>
      <c r="V49" s="195"/>
      <c r="W49" s="195"/>
      <c r="Y49" s="195"/>
      <c r="Z49" s="195"/>
      <c r="AA49" s="195"/>
      <c r="AB49" s="195"/>
      <c r="AC49" s="1"/>
      <c r="AD49" s="149">
        <f t="shared" si="0"/>
        <v>0</v>
      </c>
      <c r="AE49" s="149">
        <f t="shared" si="2"/>
        <v>0</v>
      </c>
      <c r="AF49" s="149">
        <v>1</v>
      </c>
      <c r="AG49" s="149">
        <v>1</v>
      </c>
      <c r="AH49" s="58"/>
      <c r="AI49" s="58">
        <v>151141</v>
      </c>
      <c r="AJ49" s="58">
        <v>151142</v>
      </c>
      <c r="AK49" s="58">
        <v>151143</v>
      </c>
      <c r="AL49" s="58">
        <v>151140</v>
      </c>
      <c r="AM49" s="56">
        <f t="shared" si="17"/>
        <v>0</v>
      </c>
      <c r="AN49" s="56"/>
      <c r="AQ49"/>
    </row>
    <row r="50" spans="1:103" ht="32.1" customHeight="1">
      <c r="A50" s="109"/>
      <c r="B50" s="79" t="str">
        <f>VLOOKUP(878,Sprachindex!$A:$Z,Info!$O$7,FALSE)</f>
        <v>Stk.</v>
      </c>
      <c r="C50" s="78"/>
      <c r="D50" s="78">
        <f t="shared" si="18"/>
        <v>0</v>
      </c>
      <c r="E50" s="561" t="str">
        <f>VLOOKUP(1896,Sprachindex!$A:$Z,Info!$O$7,FALSE)</f>
        <v>Quadratrohr 100 mm, mit Reinigungsöffnung</v>
      </c>
      <c r="F50" s="562"/>
      <c r="G50" s="562"/>
      <c r="H50" s="562"/>
      <c r="I50" s="562"/>
      <c r="J50" s="562"/>
      <c r="K50" s="563"/>
      <c r="L50" s="79" t="str">
        <f t="shared" si="3"/>
        <v xml:space="preserve"> </v>
      </c>
      <c r="M50" s="433" t="str">
        <f t="shared" si="1"/>
        <v>Stk.</v>
      </c>
      <c r="N50" s="80"/>
      <c r="O50" s="202" t="str">
        <f t="shared" si="5"/>
        <v/>
      </c>
      <c r="Q50" s="135" t="str">
        <f>IF(OR($O$21=1,$O$21=2,$O$21=3,$O$21=4),R50,IF($O$21=5,S50," "))</f>
        <v xml:space="preserve"> </v>
      </c>
      <c r="R50" s="200">
        <v>116.9</v>
      </c>
      <c r="S50" s="195">
        <v>116</v>
      </c>
      <c r="T50" s="195"/>
      <c r="U50" s="195"/>
      <c r="V50" s="195"/>
      <c r="W50" s="195"/>
      <c r="Y50" s="195"/>
      <c r="Z50" s="195"/>
      <c r="AA50" s="195"/>
      <c r="AB50" s="195"/>
      <c r="AC50" s="1"/>
      <c r="AD50" s="149">
        <f t="shared" si="0"/>
        <v>0</v>
      </c>
      <c r="AE50" s="149">
        <f t="shared" si="2"/>
        <v>0</v>
      </c>
      <c r="AF50" s="149">
        <v>1</v>
      </c>
      <c r="AG50" s="149">
        <v>1</v>
      </c>
      <c r="AH50" s="58">
        <v>150141</v>
      </c>
      <c r="AI50" s="58">
        <v>150142</v>
      </c>
      <c r="AJ50" s="58">
        <v>150143</v>
      </c>
      <c r="AK50" s="58">
        <v>150145</v>
      </c>
      <c r="AL50" s="58">
        <v>150140</v>
      </c>
      <c r="AM50" s="56">
        <f t="shared" si="17"/>
        <v>0</v>
      </c>
      <c r="AN50" s="56"/>
      <c r="AQ50"/>
    </row>
    <row r="51" spans="1:103" ht="32.1" customHeight="1">
      <c r="A51" s="109"/>
      <c r="B51" s="79" t="str">
        <f>VLOOKUP(878,Sprachindex!$A:$Z,Info!$O$7,FALSE)</f>
        <v>Stk.</v>
      </c>
      <c r="C51" s="78"/>
      <c r="D51" s="78">
        <f t="shared" si="18"/>
        <v>0</v>
      </c>
      <c r="E51" s="561" t="str">
        <f>VLOOKUP(1897,Sprachindex!$A:$Z,Info!$O$7,FALSE)</f>
        <v>Wassersammler für Quadratrohr 100 mm</v>
      </c>
      <c r="F51" s="562"/>
      <c r="G51" s="562"/>
      <c r="H51" s="562"/>
      <c r="I51" s="562"/>
      <c r="J51" s="562"/>
      <c r="K51" s="563"/>
      <c r="L51" s="79" t="str">
        <f t="shared" si="3"/>
        <v xml:space="preserve"> </v>
      </c>
      <c r="M51" s="433" t="str">
        <f t="shared" si="1"/>
        <v>Stk.</v>
      </c>
      <c r="N51" s="80"/>
      <c r="O51" s="202" t="str">
        <f t="shared" si="5"/>
        <v/>
      </c>
      <c r="Q51" s="135" t="str">
        <f>IF(OR($O$21=2,$O$21=3,$O$21=4),R51,IF($O$21=5,S51," "))</f>
        <v xml:space="preserve"> </v>
      </c>
      <c r="R51" s="200">
        <v>163.6</v>
      </c>
      <c r="S51" s="195">
        <v>157.30000000000001</v>
      </c>
      <c r="T51" s="195"/>
      <c r="U51" s="195"/>
      <c r="V51" s="195"/>
      <c r="W51" s="195"/>
      <c r="X51" s="195"/>
      <c r="Y51" s="195"/>
      <c r="Z51" s="195"/>
      <c r="AA51" s="195"/>
      <c r="AB51" s="195"/>
      <c r="AC51" s="1"/>
      <c r="AD51" s="149">
        <f t="shared" si="0"/>
        <v>0</v>
      </c>
      <c r="AE51" s="149">
        <f t="shared" si="2"/>
        <v>0</v>
      </c>
      <c r="AF51" s="149">
        <v>1</v>
      </c>
      <c r="AG51" s="149">
        <v>1</v>
      </c>
      <c r="AH51" s="58"/>
      <c r="AI51" s="58">
        <v>150322</v>
      </c>
      <c r="AJ51" s="58">
        <v>150323</v>
      </c>
      <c r="AK51" s="58">
        <v>150325</v>
      </c>
      <c r="AL51" s="58">
        <v>150320</v>
      </c>
      <c r="AM51" s="56">
        <f t="shared" si="17"/>
        <v>0</v>
      </c>
      <c r="AN51" s="56"/>
      <c r="AQ51"/>
    </row>
    <row r="52" spans="1:103" ht="32.1" customHeight="1">
      <c r="A52" s="109"/>
      <c r="B52" s="79" t="str">
        <f>VLOOKUP(878,Sprachindex!$A:$Z,Info!$O$7,FALSE)</f>
        <v>Stk.</v>
      </c>
      <c r="C52" s="78"/>
      <c r="D52" s="78">
        <f>IF(J52=Formeln!A267,AM52,IF(J52=Formeln!A268,AT52,0))</f>
        <v>0</v>
      </c>
      <c r="E52" s="561" t="str">
        <f>VLOOKUP(654,Sprachindex!$A:$Z,Info!$O$7,FALSE)</f>
        <v>Patentniete</v>
      </c>
      <c r="F52" s="562"/>
      <c r="G52" s="562"/>
      <c r="H52" s="562"/>
      <c r="I52" s="562"/>
      <c r="J52" s="614"/>
      <c r="K52" s="630"/>
      <c r="L52" s="79" t="str">
        <f t="shared" ref="L52" si="20">IF(OR(A52="",AF52="",AG52="")," ",IF($O$11=1,$AD52,IF($O$11=2,AE52,0)))</f>
        <v xml:space="preserve"> </v>
      </c>
      <c r="M52" s="433" t="str">
        <f t="shared" si="1"/>
        <v>Stk.</v>
      </c>
      <c r="N52" s="80"/>
      <c r="O52" s="202" t="str">
        <f>IF(ISNUMBER(A52),$L52*Q52," ")</f>
        <v xml:space="preserve"> </v>
      </c>
      <c r="Q52" s="232" t="str">
        <f>IF(J52=U52,IF($O$21=5,S52,R52),IF(J52=W52,IF($O$21=5,S52," ")," "))</f>
        <v xml:space="preserve"> </v>
      </c>
      <c r="R52" s="200">
        <v>0.18</v>
      </c>
      <c r="S52" s="195">
        <v>0.15</v>
      </c>
      <c r="T52" s="195"/>
      <c r="U52" s="715" t="s">
        <v>2112</v>
      </c>
      <c r="V52" s="715"/>
      <c r="W52" s="70" t="s">
        <v>2113</v>
      </c>
      <c r="X52" s="70"/>
      <c r="Y52" s="195"/>
      <c r="Z52" s="195"/>
      <c r="AA52" s="195"/>
      <c r="AB52" s="195"/>
      <c r="AC52" s="1"/>
      <c r="AD52" s="149" t="e">
        <f t="shared" si="0"/>
        <v>#VALUE!</v>
      </c>
      <c r="AE52" s="149">
        <f t="shared" si="2"/>
        <v>0</v>
      </c>
      <c r="AF52" s="149" t="str">
        <f>IF($J52=Formeln!$A$267,1000,IF($J52=Formeln!$A$268,500,""))</f>
        <v/>
      </c>
      <c r="AG52" s="149">
        <v>1</v>
      </c>
      <c r="AH52" s="58">
        <v>533003</v>
      </c>
      <c r="AI52" s="58">
        <v>533004</v>
      </c>
      <c r="AJ52" s="58">
        <v>533009</v>
      </c>
      <c r="AK52" s="58">
        <v>533017</v>
      </c>
      <c r="AL52" s="58">
        <v>533001</v>
      </c>
      <c r="AM52" s="56">
        <f t="shared" ref="AM52" si="21">IF($O$21=1,AH52,IF($O$21=2,AI52,IF($O$21=3,AJ52,IF($O$21=4,AK52,IF($O$21=5,AL52,0)))))</f>
        <v>0</v>
      </c>
      <c r="AN52" s="56" t="s">
        <v>2154</v>
      </c>
      <c r="AO52" s="58"/>
      <c r="AP52" s="58"/>
      <c r="AQ52" s="58"/>
      <c r="AR52" s="58"/>
      <c r="AS52" s="58">
        <v>533002</v>
      </c>
      <c r="AT52" s="56">
        <f t="shared" ref="AT52" si="22">IF($O$21=1,AO52,IF($O$21=2,AP52,IF($O$21=3,AQ52,IF($O$21=4,AR52,IF($O$21=5,AS52,0)))))</f>
        <v>0</v>
      </c>
      <c r="AU52" s="56" t="s">
        <v>2155</v>
      </c>
      <c r="AV52"/>
    </row>
    <row r="53" spans="1:103" ht="32.1" customHeight="1">
      <c r="A53" s="109"/>
      <c r="B53" s="79" t="str">
        <f>VLOOKUP(878,Sprachindex!$A:$Z,Info!$O$7,FALSE)</f>
        <v>Stk.</v>
      </c>
      <c r="C53" s="78"/>
      <c r="D53" s="78">
        <f>IF(J53=Formeln!B153,345030,IF(J53=Formeln!B154,345031,IF(J53=Formeln!B155,345032,IF(J53=Formeln!B152,345033,0))))</f>
        <v>0</v>
      </c>
      <c r="E53" s="561" t="str">
        <f>VLOOKUP(744,Sprachindex!$A:$Z,Info!$O$7,FALSE)</f>
        <v>Rohrschellendorn für WDVS-Rohrschellendübel ⌀ 10</v>
      </c>
      <c r="F53" s="562"/>
      <c r="G53" s="562"/>
      <c r="H53" s="562"/>
      <c r="I53" s="84" t="str">
        <f>VLOOKUP(556,Sprachindex!$A:$Z,Info!$O$7,FALSE)</f>
        <v>Länge wählen:</v>
      </c>
      <c r="J53" s="614"/>
      <c r="K53" s="630"/>
      <c r="L53" s="79" t="str">
        <f t="shared" si="3"/>
        <v xml:space="preserve"> </v>
      </c>
      <c r="M53" s="433" t="str">
        <f t="shared" si="1"/>
        <v>Stk.</v>
      </c>
      <c r="N53" s="80"/>
      <c r="O53" s="202" t="str">
        <f t="shared" si="5"/>
        <v/>
      </c>
      <c r="Q53" s="135" t="str">
        <f>IF(J53=V53,R53,IF(J53=W53,S53,IF(J53=X53,T53," ")))</f>
        <v xml:space="preserve"> </v>
      </c>
      <c r="R53" s="200">
        <v>1.62</v>
      </c>
      <c r="S53" s="195">
        <v>1.98</v>
      </c>
      <c r="T53" s="195">
        <v>4.21</v>
      </c>
      <c r="U53" s="195"/>
      <c r="V53" s="195" t="s">
        <v>1663</v>
      </c>
      <c r="W53" s="195" t="s">
        <v>1664</v>
      </c>
      <c r="X53" s="195" t="s">
        <v>1662</v>
      </c>
      <c r="Y53" s="195"/>
      <c r="Z53" s="195"/>
      <c r="AA53" s="195"/>
      <c r="AB53" s="195"/>
      <c r="AC53" s="1"/>
      <c r="AD53" s="149">
        <f t="shared" si="0"/>
        <v>0</v>
      </c>
      <c r="AE53" s="149">
        <f t="shared" si="2"/>
        <v>0</v>
      </c>
      <c r="AF53" s="149">
        <f>IF(J53=Formeln!$B$152,"",25)</f>
        <v>25</v>
      </c>
      <c r="AG53" s="149">
        <v>1</v>
      </c>
    </row>
    <row r="54" spans="1:103" ht="32.1" customHeight="1">
      <c r="A54" s="109"/>
      <c r="B54" s="79" t="str">
        <f>VLOOKUP(878,Sprachindex!$A:$Z,Info!$O$7,FALSE)</f>
        <v>Stk.</v>
      </c>
      <c r="C54" s="78"/>
      <c r="D54" s="78">
        <f>IF(J54=Formeln!A281,345040,IF(J54=Formeln!A282,345041,IF(J54=Formeln!A283,345042,0)))</f>
        <v>0</v>
      </c>
      <c r="E54" s="561" t="str">
        <f>VLOOKUP(745,Sprachindex!$A:$Z,Info!$O$7,FALSE)</f>
        <v>WDVS-Rohrschellendübel ⌀ 10</v>
      </c>
      <c r="F54" s="562"/>
      <c r="G54" s="562"/>
      <c r="H54" s="562"/>
      <c r="I54" s="84" t="str">
        <f>VLOOKUP(556,Sprachindex!$A:$Z,Info!$O$7,FALSE)</f>
        <v>Länge wählen:</v>
      </c>
      <c r="J54" s="614"/>
      <c r="K54" s="630"/>
      <c r="L54" s="79" t="str">
        <f t="shared" si="3"/>
        <v xml:space="preserve"> </v>
      </c>
      <c r="M54" s="433" t="str">
        <f t="shared" si="1"/>
        <v>Stk.</v>
      </c>
      <c r="N54" s="80"/>
      <c r="O54" s="202" t="str">
        <f t="shared" si="5"/>
        <v/>
      </c>
      <c r="Q54" s="195" t="str">
        <f>IF(J54=V54,R54,IF(J54=Y54,S54,IF(J54=AB54,T54," ")))</f>
        <v xml:space="preserve"> </v>
      </c>
      <c r="R54" s="200">
        <v>1.1599999999999999</v>
      </c>
      <c r="S54" s="195">
        <v>1.35</v>
      </c>
      <c r="T54" s="195">
        <v>1.55</v>
      </c>
      <c r="U54" s="195"/>
      <c r="V54" s="195" t="s">
        <v>1057</v>
      </c>
      <c r="W54" s="195"/>
      <c r="X54" s="195"/>
      <c r="Y54" s="195" t="s">
        <v>1058</v>
      </c>
      <c r="Z54" s="195"/>
      <c r="AA54" s="195"/>
      <c r="AB54" s="1" t="s">
        <v>1059</v>
      </c>
      <c r="AD54" s="149" t="e">
        <f t="shared" si="0"/>
        <v>#VALUE!</v>
      </c>
      <c r="AE54" s="149">
        <f t="shared" si="2"/>
        <v>0</v>
      </c>
      <c r="AF54" s="149" t="str">
        <f>IF(J54=Formeln!$A$280,"",25)</f>
        <v/>
      </c>
      <c r="AG54" s="149">
        <v>1</v>
      </c>
    </row>
    <row r="55" spans="1:103" ht="32.1" customHeight="1">
      <c r="A55" s="109"/>
      <c r="B55" s="79" t="str">
        <f>VLOOKUP(878,Sprachindex!$A:$Z,Info!$O$7,FALSE)</f>
        <v>Stk.</v>
      </c>
      <c r="C55" s="78"/>
      <c r="D55" s="78">
        <v>345015</v>
      </c>
      <c r="E55" s="561" t="str">
        <f>VLOOKUP(587,Sprachindex!$A:$Z,Info!$O$7,FALSE)</f>
        <v>M10-Gewindedorn</v>
      </c>
      <c r="F55" s="562"/>
      <c r="G55" s="562"/>
      <c r="H55" s="562"/>
      <c r="I55" s="562"/>
      <c r="J55" s="627" t="str">
        <f>VLOOKUP(64,Sprachindex!$A:$Z,Info!$O$7,FALSE)</f>
        <v>195 mm lang</v>
      </c>
      <c r="K55" s="628"/>
      <c r="L55" s="79" t="str">
        <f t="shared" si="3"/>
        <v xml:space="preserve"> </v>
      </c>
      <c r="M55" s="433" t="str">
        <f t="shared" si="1"/>
        <v>Stk.</v>
      </c>
      <c r="N55" s="80"/>
      <c r="O55" s="202" t="str">
        <f t="shared" si="5"/>
        <v/>
      </c>
      <c r="Q55" s="135">
        <f>R55</f>
        <v>3.2</v>
      </c>
      <c r="R55" s="200">
        <v>3.2</v>
      </c>
      <c r="S55" s="195"/>
      <c r="T55" s="195"/>
      <c r="U55" s="195"/>
      <c r="V55" s="195"/>
      <c r="W55" s="195"/>
      <c r="X55" s="195"/>
      <c r="Y55" s="195"/>
      <c r="Z55" s="195"/>
      <c r="AA55" s="195"/>
      <c r="AB55" s="195"/>
      <c r="AC55" s="1"/>
      <c r="AD55" s="149">
        <f t="shared" si="0"/>
        <v>0</v>
      </c>
      <c r="AE55" s="149">
        <f t="shared" si="2"/>
        <v>0</v>
      </c>
      <c r="AF55" s="149">
        <v>100</v>
      </c>
      <c r="AG55" s="149">
        <v>1</v>
      </c>
    </row>
    <row r="56" spans="1:103" ht="32.1" customHeight="1">
      <c r="A56" s="109"/>
      <c r="B56" s="79" t="str">
        <f>VLOOKUP(878,Sprachindex!$A:$Z,Info!$O$7,FALSE)</f>
        <v>Stk.</v>
      </c>
      <c r="C56" s="78"/>
      <c r="D56" s="78">
        <f>IF(J56=Formeln!A160,420305,IF(J56=Formeln!A161,420306,0))</f>
        <v>0</v>
      </c>
      <c r="E56" s="561" t="str">
        <f>VLOOKUP(746,Sprachindex!$A:$Z,Info!$O$7,FALSE)</f>
        <v>Rohrschellenhalter für WDVS</v>
      </c>
      <c r="F56" s="562"/>
      <c r="G56" s="562"/>
      <c r="H56" s="562"/>
      <c r="I56" s="84" t="str">
        <f>VLOOKUP(556,Sprachindex!$A:$Z,Info!$O$7,FALSE)</f>
        <v>Länge wählen:</v>
      </c>
      <c r="J56" s="614"/>
      <c r="K56" s="630"/>
      <c r="L56" s="79" t="str">
        <f t="shared" si="3"/>
        <v xml:space="preserve"> </v>
      </c>
      <c r="M56" s="433" t="str">
        <f t="shared" si="1"/>
        <v>Stk.</v>
      </c>
      <c r="N56" s="80"/>
      <c r="O56" s="202" t="str">
        <f t="shared" si="5"/>
        <v/>
      </c>
      <c r="Q56" s="207" t="str">
        <f>IF(J56=V56,R56,IF(J56=Y56,S56," "))</f>
        <v xml:space="preserve"> </v>
      </c>
      <c r="R56" s="200">
        <v>19.53</v>
      </c>
      <c r="S56" s="195">
        <v>20.86</v>
      </c>
      <c r="T56" s="195"/>
      <c r="U56" s="195"/>
      <c r="V56" s="195" t="s">
        <v>1060</v>
      </c>
      <c r="W56" s="195"/>
      <c r="X56" s="195"/>
      <c r="Y56" s="195" t="s">
        <v>1062</v>
      </c>
      <c r="Z56" s="195"/>
      <c r="AA56" s="195"/>
      <c r="AB56" s="195"/>
      <c r="AC56" s="1"/>
      <c r="AD56" s="149" t="e">
        <f t="shared" si="0"/>
        <v>#VALUE!</v>
      </c>
      <c r="AE56" s="149">
        <f t="shared" si="2"/>
        <v>0</v>
      </c>
      <c r="AF56" s="149" t="str">
        <f>IF(J56=Formeln!$A$159,"",4)</f>
        <v/>
      </c>
      <c r="AG56" s="151">
        <v>1</v>
      </c>
      <c r="AH56" s="20"/>
      <c r="AI56" s="20"/>
      <c r="AJ56" s="20"/>
      <c r="AK56" s="20"/>
      <c r="AL56" s="20"/>
      <c r="AM56" s="20"/>
      <c r="AN56" s="20"/>
      <c r="AO56" s="20"/>
      <c r="AP56" s="20"/>
      <c r="AQ56" s="20"/>
      <c r="AR56" s="20"/>
      <c r="AS56" s="20"/>
      <c r="AT56" s="20"/>
      <c r="AU56" s="139"/>
      <c r="AV56" s="20"/>
      <c r="AW56" s="20"/>
      <c r="AX56" s="20"/>
      <c r="AY56" s="20"/>
      <c r="AZ56" s="20"/>
      <c r="BA56" s="20"/>
      <c r="BB56" s="20"/>
      <c r="BC56" s="20"/>
      <c r="BD56" s="20"/>
      <c r="BE56" s="20"/>
      <c r="BF56" s="20"/>
      <c r="BG56" s="20"/>
      <c r="BH56" s="20"/>
      <c r="BI56" s="139"/>
      <c r="BJ56" s="20"/>
      <c r="BK56" s="20"/>
      <c r="BL56" s="20"/>
      <c r="BM56" s="20"/>
      <c r="BN56" s="20"/>
      <c r="BO56" s="20"/>
      <c r="BP56" s="20"/>
      <c r="BQ56" s="20"/>
      <c r="BR56" s="20"/>
      <c r="BS56" s="20"/>
      <c r="BT56" s="20"/>
      <c r="BU56" s="20"/>
      <c r="BV56" s="20"/>
      <c r="BW56" s="139"/>
      <c r="BX56" s="20"/>
      <c r="BY56" s="20"/>
      <c r="BZ56" s="20"/>
      <c r="CA56" s="20"/>
      <c r="CB56" s="20"/>
      <c r="CC56" s="20"/>
      <c r="CD56" s="20"/>
      <c r="CE56" s="20"/>
      <c r="CF56" s="20"/>
      <c r="CG56" s="20"/>
      <c r="CH56" s="20"/>
      <c r="CI56" s="20"/>
      <c r="CJ56" s="20"/>
      <c r="CK56" s="139"/>
      <c r="CL56" s="20"/>
      <c r="CM56" s="20"/>
      <c r="CN56" s="20"/>
      <c r="CO56" s="20"/>
      <c r="CP56" s="20"/>
      <c r="CQ56" s="20"/>
      <c r="CR56" s="20"/>
      <c r="CS56" s="20"/>
      <c r="CT56" s="20"/>
      <c r="CU56" s="20"/>
      <c r="CV56" s="20"/>
      <c r="CW56" s="20"/>
      <c r="CX56" s="20"/>
      <c r="CY56" s="139"/>
    </row>
    <row r="57" spans="1:103" ht="32.1" customHeight="1">
      <c r="A57" s="109"/>
      <c r="B57" s="79" t="str">
        <f>VLOOKUP(878,Sprachindex!$A:$Z,Info!$O$7,FALSE)</f>
        <v>Stk.</v>
      </c>
      <c r="C57" s="78"/>
      <c r="D57" s="78">
        <f>AM57</f>
        <v>0</v>
      </c>
      <c r="E57" s="561" t="str">
        <f>VLOOKUP(1001,Sprachindex!$A:$Z,Info!$O$7,FALSE)</f>
        <v>Wandmontageplatte</v>
      </c>
      <c r="F57" s="562"/>
      <c r="G57" s="562"/>
      <c r="H57" s="562"/>
      <c r="I57" s="562"/>
      <c r="J57" s="627"/>
      <c r="K57" s="628"/>
      <c r="L57" s="79" t="str">
        <f t="shared" si="3"/>
        <v xml:space="preserve"> </v>
      </c>
      <c r="M57" s="433" t="str">
        <f t="shared" si="1"/>
        <v>Stk.</v>
      </c>
      <c r="N57" s="80"/>
      <c r="O57" s="202" t="str">
        <f t="shared" si="5"/>
        <v/>
      </c>
      <c r="Q57" s="135">
        <f>IF($O$21=5,S57,R57)</f>
        <v>9.6999999999999993</v>
      </c>
      <c r="R57" s="214">
        <v>9.6999999999999993</v>
      </c>
      <c r="S57" s="207">
        <v>9.26</v>
      </c>
      <c r="T57" s="207"/>
      <c r="U57" s="207"/>
      <c r="V57" s="207"/>
      <c r="W57" s="207"/>
      <c r="X57" s="207"/>
      <c r="Y57" s="207"/>
      <c r="Z57" s="207"/>
      <c r="AA57" s="207"/>
      <c r="AB57" s="207"/>
      <c r="AC57" s="1"/>
      <c r="AD57" s="149">
        <f t="shared" si="0"/>
        <v>0</v>
      </c>
      <c r="AE57" s="149">
        <f t="shared" si="2"/>
        <v>0</v>
      </c>
      <c r="AF57" s="149">
        <v>6</v>
      </c>
      <c r="AG57" s="149">
        <v>1</v>
      </c>
      <c r="AH57" s="58">
        <v>529302</v>
      </c>
      <c r="AI57" s="58">
        <v>529303</v>
      </c>
      <c r="AJ57" s="58">
        <v>529304</v>
      </c>
      <c r="AK57" s="58">
        <v>529310</v>
      </c>
      <c r="AL57" s="58">
        <v>529301</v>
      </c>
      <c r="AM57" s="56">
        <f>IF($O$21=1,AH57,IF($O$21=2,AI57,IF($O$21=3,AJ57,IF($O$21=4,AK57,IF($O$21=5,AL57,0)))))</f>
        <v>0</v>
      </c>
      <c r="AN57" s="56"/>
      <c r="AO57"/>
      <c r="AP57"/>
      <c r="AQ57"/>
      <c r="AR57"/>
      <c r="AT57" s="139"/>
      <c r="AU57" s="139"/>
    </row>
    <row r="58" spans="1:103" ht="32.1" customHeight="1">
      <c r="A58" s="109"/>
      <c r="B58" s="79" t="str">
        <f>VLOOKUP(878,Sprachindex!$A:$Z,Info!$O$7,FALSE)</f>
        <v>Stk.</v>
      </c>
      <c r="C58" s="78"/>
      <c r="D58" s="78">
        <v>529502</v>
      </c>
      <c r="E58" s="561" t="str">
        <f>VLOOKUP(138,Sprachindex!$A:$Z,Info!$O$7,FALSE)</f>
        <v>Abdeckkappe für Rohrschellendorn</v>
      </c>
      <c r="F58" s="562"/>
      <c r="G58" s="562"/>
      <c r="H58" s="562"/>
      <c r="I58" s="562"/>
      <c r="J58" s="627"/>
      <c r="K58" s="628"/>
      <c r="L58" s="79" t="str">
        <f t="shared" si="3"/>
        <v xml:space="preserve"> </v>
      </c>
      <c r="M58" s="433" t="str">
        <f t="shared" si="1"/>
        <v>Stk.</v>
      </c>
      <c r="N58" s="80"/>
      <c r="O58" s="202" t="str">
        <f t="shared" si="5"/>
        <v/>
      </c>
      <c r="Q58" s="135">
        <f>R58</f>
        <v>0.61</v>
      </c>
      <c r="R58" s="214">
        <v>0.61</v>
      </c>
      <c r="S58" s="207"/>
      <c r="T58" s="207"/>
      <c r="V58" s="207"/>
      <c r="W58" s="207"/>
      <c r="X58" s="207"/>
      <c r="Y58" s="207"/>
      <c r="Z58" s="195"/>
      <c r="AA58" s="195"/>
      <c r="AB58" s="195"/>
      <c r="AC58" s="1"/>
      <c r="AD58" s="161">
        <f t="shared" si="0"/>
        <v>0</v>
      </c>
      <c r="AE58" s="161">
        <f t="shared" si="2"/>
        <v>0</v>
      </c>
      <c r="AF58" s="161">
        <v>25</v>
      </c>
      <c r="AG58" s="161">
        <v>1</v>
      </c>
    </row>
    <row r="59" spans="1:103" ht="32.1" customHeight="1">
      <c r="A59" s="109"/>
      <c r="B59" s="79" t="str">
        <f>VLOOKUP(878,Sprachindex!$A:$Z,Info!$O$7,FALSE)</f>
        <v>Stk.</v>
      </c>
      <c r="C59" s="78"/>
      <c r="D59" s="78">
        <f>AM59</f>
        <v>0</v>
      </c>
      <c r="E59" s="561" t="str">
        <f>VLOOKUP(1877,Sprachindex!$A:$Z,Info!$O$7,FALSE)</f>
        <v>Ausbesserungslack</v>
      </c>
      <c r="F59" s="562"/>
      <c r="G59" s="562"/>
      <c r="H59" s="562"/>
      <c r="I59" s="562"/>
      <c r="J59" s="627" t="str">
        <f>VLOOKUP(1878,Sprachindex!$A:$Z,Info!$O$7,FALSE)</f>
        <v>12 ml</v>
      </c>
      <c r="K59" s="628"/>
      <c r="L59" s="79" t="str">
        <f t="shared" ref="L59:L65" si="23">IF(OR(A59="",AF59="",AG59="")," ",IF($O$11=1,$AD59,IF($O$11=2,AE59,0)))</f>
        <v xml:space="preserve"> </v>
      </c>
      <c r="M59" s="433" t="str">
        <f t="shared" si="1"/>
        <v>Stk.</v>
      </c>
      <c r="N59" s="80"/>
      <c r="O59" s="202" t="str">
        <f t="shared" si="5"/>
        <v/>
      </c>
      <c r="Q59" s="135">
        <f t="shared" ref="Q59:Q65" si="24">R59</f>
        <v>6.01</v>
      </c>
      <c r="R59" s="200">
        <v>6.01</v>
      </c>
      <c r="S59" s="195"/>
      <c r="T59" s="195"/>
      <c r="U59" s="195"/>
      <c r="V59" s="195"/>
      <c r="W59" s="195"/>
      <c r="X59" s="195"/>
      <c r="Y59" s="195"/>
      <c r="Z59" s="195"/>
      <c r="AA59" s="195"/>
      <c r="AB59" s="195"/>
      <c r="AC59" s="1"/>
      <c r="AD59" s="149">
        <f t="shared" si="0"/>
        <v>0</v>
      </c>
      <c r="AE59" s="149">
        <f t="shared" ref="AE59:AE62" si="25">ROUNDUP($A59/AG59,0)*AG59</f>
        <v>0</v>
      </c>
      <c r="AF59" s="149">
        <v>1</v>
      </c>
      <c r="AG59" s="149">
        <v>1</v>
      </c>
      <c r="AH59" s="58">
        <v>430151</v>
      </c>
      <c r="AI59" s="58">
        <v>430150</v>
      </c>
      <c r="AJ59" s="58">
        <v>430152</v>
      </c>
      <c r="AK59" s="58"/>
      <c r="AL59" s="58"/>
      <c r="AM59" s="56">
        <f>IF($O$21=1,AH59,IF($O$21=2,AI59,IF($O$21=3,AJ59,IF($O$21=4,AK59,IF($O$21=5,AL59,0)))))</f>
        <v>0</v>
      </c>
      <c r="AN59" s="56"/>
      <c r="AT59" s="139"/>
      <c r="AU59" s="139"/>
    </row>
    <row r="60" spans="1:103" ht="32.1" customHeight="1">
      <c r="A60" s="109"/>
      <c r="B60" s="79" t="str">
        <f>VLOOKUP(878,Sprachindex!$A:$Z,Info!$O$7,FALSE)</f>
        <v>Stk.</v>
      </c>
      <c r="C60" s="78"/>
      <c r="D60" s="78">
        <f>AM60</f>
        <v>0</v>
      </c>
      <c r="E60" s="561" t="str">
        <f>VLOOKUP(1879,Sprachindex!$A:$Z,Info!$O$7,FALSE)</f>
        <v>Ausbesserungsstift</v>
      </c>
      <c r="F60" s="562"/>
      <c r="G60" s="562"/>
      <c r="H60" s="562"/>
      <c r="I60" s="562"/>
      <c r="J60" s="627" t="str">
        <f>VLOOKUP(1880,Sprachindex!$A:$Z,Info!$O$7,FALSE)</f>
        <v>11 ml</v>
      </c>
      <c r="K60" s="628"/>
      <c r="L60" s="79" t="str">
        <f t="shared" si="23"/>
        <v xml:space="preserve"> </v>
      </c>
      <c r="M60" s="433" t="str">
        <f t="shared" si="1"/>
        <v>Stk.</v>
      </c>
      <c r="N60" s="80"/>
      <c r="O60" s="202" t="str">
        <f t="shared" si="5"/>
        <v/>
      </c>
      <c r="Q60" s="135">
        <f t="shared" si="24"/>
        <v>14.32</v>
      </c>
      <c r="R60" s="200">
        <v>14.32</v>
      </c>
      <c r="S60" s="195"/>
      <c r="T60" s="195"/>
      <c r="U60" s="195"/>
      <c r="V60" s="195"/>
      <c r="W60" s="195"/>
      <c r="X60" s="195"/>
      <c r="Y60" s="195"/>
      <c r="Z60" s="195"/>
      <c r="AA60" s="195"/>
      <c r="AB60" s="195"/>
      <c r="AC60" s="1"/>
      <c r="AD60" s="149">
        <f t="shared" si="0"/>
        <v>0</v>
      </c>
      <c r="AE60" s="149">
        <f t="shared" si="25"/>
        <v>0</v>
      </c>
      <c r="AF60" s="149">
        <v>1</v>
      </c>
      <c r="AG60" s="149">
        <v>1</v>
      </c>
      <c r="AH60" s="58">
        <v>430201</v>
      </c>
      <c r="AI60" s="58">
        <v>430200</v>
      </c>
      <c r="AJ60" s="58">
        <v>430202</v>
      </c>
      <c r="AK60" s="58">
        <v>430210</v>
      </c>
      <c r="AL60" s="58"/>
      <c r="AM60" s="56">
        <f>IF($O$21=1,AH60,IF($O$21=2,AI60,IF($O$21=3,AJ60,IF($O$21=4,AK60,IF($O$21=5,AL60,0)))))</f>
        <v>0</v>
      </c>
      <c r="AN60" s="56"/>
      <c r="AT60" s="139"/>
      <c r="AU60" s="139"/>
    </row>
    <row r="61" spans="1:103" ht="32.1" customHeight="1">
      <c r="A61" s="109"/>
      <c r="B61" s="79" t="str">
        <f>VLOOKUP(878,Sprachindex!$A:$Z,Info!$O$7,FALSE)</f>
        <v>Stk.</v>
      </c>
      <c r="C61" s="78"/>
      <c r="D61" s="78">
        <v>425002</v>
      </c>
      <c r="E61" s="561" t="str">
        <f>VLOOKUP(167,Sprachindex!$A:$Z,Info!$O$7,FALSE)</f>
        <v>Aluminiumlötstäbe</v>
      </c>
      <c r="F61" s="562"/>
      <c r="G61" s="562"/>
      <c r="H61" s="562"/>
      <c r="I61" s="562"/>
      <c r="J61" s="627" t="str">
        <f>VLOOKUP(75,Sprachindex!$A:$Z,Info!$O$7,FALSE)</f>
        <v>250 g</v>
      </c>
      <c r="K61" s="628"/>
      <c r="L61" s="79" t="str">
        <f t="shared" si="23"/>
        <v xml:space="preserve"> </v>
      </c>
      <c r="M61" s="433" t="str">
        <f t="shared" si="1"/>
        <v>Stk.</v>
      </c>
      <c r="N61" s="80"/>
      <c r="O61" s="202" t="str">
        <f t="shared" si="5"/>
        <v/>
      </c>
      <c r="Q61" s="135">
        <f t="shared" si="24"/>
        <v>145.6</v>
      </c>
      <c r="R61" s="200">
        <v>145.6</v>
      </c>
      <c r="S61" s="195"/>
      <c r="T61" s="195"/>
      <c r="U61" s="195"/>
      <c r="V61" s="195"/>
      <c r="W61" s="195"/>
      <c r="X61" s="195"/>
      <c r="Y61" s="195"/>
      <c r="Z61" s="195"/>
      <c r="AA61" s="195"/>
      <c r="AB61" s="195"/>
      <c r="AC61" s="1"/>
      <c r="AD61" s="149">
        <f t="shared" si="0"/>
        <v>0</v>
      </c>
      <c r="AE61" s="149">
        <f t="shared" si="25"/>
        <v>0</v>
      </c>
      <c r="AF61" s="149">
        <v>1</v>
      </c>
      <c r="AG61" s="149">
        <v>1</v>
      </c>
      <c r="AH61" s="158" t="s">
        <v>2134</v>
      </c>
      <c r="AI61" s="158" t="s">
        <v>2135</v>
      </c>
      <c r="AJ61" s="158" t="s">
        <v>2136</v>
      </c>
      <c r="AK61" s="158" t="s">
        <v>2137</v>
      </c>
      <c r="AL61" s="158" t="s">
        <v>2138</v>
      </c>
      <c r="AM61" s="158"/>
      <c r="AO61" s="31" t="s">
        <v>2134</v>
      </c>
      <c r="AP61" s="31" t="s">
        <v>2135</v>
      </c>
      <c r="AQ61" s="31" t="s">
        <v>2136</v>
      </c>
      <c r="AR61" s="31" t="s">
        <v>2137</v>
      </c>
      <c r="AS61" s="31" t="s">
        <v>2138</v>
      </c>
      <c r="AV61" s="34" t="s">
        <v>2134</v>
      </c>
      <c r="AW61" s="31" t="s">
        <v>2135</v>
      </c>
      <c r="AX61" s="31" t="s">
        <v>2136</v>
      </c>
      <c r="AY61" s="29" t="s">
        <v>2137</v>
      </c>
      <c r="AZ61" s="29" t="s">
        <v>2138</v>
      </c>
    </row>
    <row r="62" spans="1:103" ht="32.1" customHeight="1">
      <c r="A62" s="109"/>
      <c r="B62" s="79" t="str">
        <f>VLOOKUP(878,Sprachindex!$A:$Z,Info!$O$7,FALSE)</f>
        <v>Stk.</v>
      </c>
      <c r="C62" s="78"/>
      <c r="D62" s="78">
        <v>420006</v>
      </c>
      <c r="E62" s="561" t="str">
        <f>VLOOKUP(838,Sprachindex!$A:$Z,Info!$O$7,FALSE)</f>
        <v>Spezialsilikon</v>
      </c>
      <c r="F62" s="562"/>
      <c r="G62" s="562"/>
      <c r="H62" s="562"/>
      <c r="I62" s="562"/>
      <c r="J62" s="627" t="str">
        <f>VLOOKUP(86,Sprachindex!$A:$Z,Info!$O$7,FALSE)</f>
        <v>300 ml</v>
      </c>
      <c r="K62" s="628"/>
      <c r="L62" s="79" t="str">
        <f t="shared" si="23"/>
        <v xml:space="preserve"> </v>
      </c>
      <c r="M62" s="433" t="str">
        <f t="shared" si="1"/>
        <v>Stk.</v>
      </c>
      <c r="N62" s="80"/>
      <c r="O62" s="202" t="str">
        <f t="shared" si="5"/>
        <v/>
      </c>
      <c r="Q62" s="135">
        <f t="shared" si="24"/>
        <v>10.11</v>
      </c>
      <c r="R62" s="200">
        <v>10.11</v>
      </c>
      <c r="S62" s="195"/>
      <c r="T62" s="195"/>
      <c r="U62" s="195"/>
      <c r="V62" s="195"/>
      <c r="W62" s="195"/>
      <c r="X62" s="195"/>
      <c r="Y62" s="195"/>
      <c r="Z62" s="195"/>
      <c r="AA62" s="195"/>
      <c r="AB62" s="195"/>
      <c r="AC62" s="1"/>
      <c r="AD62" s="149">
        <f t="shared" si="0"/>
        <v>0</v>
      </c>
      <c r="AE62" s="149">
        <f t="shared" si="25"/>
        <v>0</v>
      </c>
      <c r="AF62" s="149">
        <v>1</v>
      </c>
      <c r="AG62" s="149">
        <v>1</v>
      </c>
    </row>
    <row r="63" spans="1:103" ht="32.1" customHeight="1">
      <c r="A63" s="109"/>
      <c r="B63" s="79" t="str">
        <f>VLOOKUP(878,Sprachindex!$A:$Z,Info!$O$7,FALSE)</f>
        <v>Stk.</v>
      </c>
      <c r="C63" s="78"/>
      <c r="D63" s="78">
        <v>420501</v>
      </c>
      <c r="E63" s="561" t="str">
        <f>VLOOKUP(851,Sprachindex!$A:$Z,Info!$O$7,FALSE)</f>
        <v>Spezialkleber</v>
      </c>
      <c r="F63" s="562"/>
      <c r="G63" s="562"/>
      <c r="H63" s="562"/>
      <c r="I63" s="562"/>
      <c r="J63" s="627"/>
      <c r="K63" s="628"/>
      <c r="L63" s="79" t="str">
        <f t="shared" ref="L63:L64" si="26">IF(A63=0,"",IF($O$11=1,AD63,AE63))</f>
        <v/>
      </c>
      <c r="M63" s="433" t="str">
        <f t="shared" si="1"/>
        <v>Stk.</v>
      </c>
      <c r="N63" s="80"/>
      <c r="O63" s="202" t="str">
        <f t="shared" si="5"/>
        <v/>
      </c>
      <c r="Q63" s="135">
        <f t="shared" si="24"/>
        <v>39.130000000000003</v>
      </c>
      <c r="R63" s="200">
        <v>39.130000000000003</v>
      </c>
      <c r="S63" s="195"/>
      <c r="T63" s="195"/>
      <c r="U63" s="195"/>
      <c r="V63" s="195"/>
      <c r="W63" s="195"/>
      <c r="X63" s="195"/>
      <c r="Y63" s="195"/>
      <c r="Z63" s="195"/>
      <c r="AA63" s="195"/>
      <c r="AB63" s="195"/>
      <c r="AC63" s="1"/>
      <c r="AD63" s="149">
        <f t="shared" si="0"/>
        <v>0</v>
      </c>
      <c r="AE63" s="149">
        <f>ROUNDUP($A63,0)</f>
        <v>0</v>
      </c>
      <c r="AF63" s="149">
        <v>24</v>
      </c>
      <c r="AG63" s="149">
        <v>1</v>
      </c>
    </row>
    <row r="64" spans="1:103" ht="32.1" customHeight="1">
      <c r="A64" s="109"/>
      <c r="B64" s="79" t="str">
        <f>VLOOKUP(821,Sprachindex!$A:$Z,Info!$O$7,FALSE)</f>
        <v>Set</v>
      </c>
      <c r="C64" s="81"/>
      <c r="D64" s="78">
        <v>420500</v>
      </c>
      <c r="E64" s="561" t="str">
        <f>VLOOKUP(852,Sprachindex!$A:$Z,Info!$O$7,FALSE)</f>
        <v>Spezialkleberset</v>
      </c>
      <c r="F64" s="562"/>
      <c r="G64" s="562"/>
      <c r="H64" s="562"/>
      <c r="I64" s="562"/>
      <c r="J64" s="627"/>
      <c r="K64" s="628"/>
      <c r="L64" s="79" t="str">
        <f t="shared" si="26"/>
        <v/>
      </c>
      <c r="M64" s="433" t="str">
        <f t="shared" si="1"/>
        <v>Set</v>
      </c>
      <c r="N64" s="80"/>
      <c r="O64" s="202" t="str">
        <f t="shared" si="5"/>
        <v/>
      </c>
      <c r="Q64" s="135">
        <f t="shared" si="24"/>
        <v>53.57</v>
      </c>
      <c r="R64" s="200">
        <v>53.57</v>
      </c>
      <c r="S64" s="195"/>
      <c r="T64" s="195"/>
      <c r="U64" s="195"/>
      <c r="V64" s="195"/>
      <c r="W64" s="195"/>
      <c r="X64" s="195"/>
      <c r="Y64" s="195"/>
      <c r="Z64" s="195"/>
      <c r="AA64" s="195"/>
      <c r="AB64" s="195"/>
      <c r="AC64" s="1"/>
      <c r="AD64" s="149">
        <f>ROUNDUP($A64,0)</f>
        <v>0</v>
      </c>
      <c r="AE64" s="149">
        <f>ROUNDUP($A64,0)</f>
        <v>0</v>
      </c>
      <c r="AF64" s="149">
        <v>1</v>
      </c>
      <c r="AG64" s="149">
        <v>1</v>
      </c>
    </row>
    <row r="65" spans="1:33" ht="32.1" customHeight="1">
      <c r="A65" s="109"/>
      <c r="B65" s="79" t="str">
        <f>VLOOKUP(878,Sprachindex!$A:$Z,Info!$O$7,FALSE)</f>
        <v>Stk.</v>
      </c>
      <c r="C65" s="78"/>
      <c r="D65" s="78">
        <v>420028</v>
      </c>
      <c r="E65" s="561" t="str">
        <f>VLOOKUP(723,Sprachindex!$A:$Z,Info!$O$7,FALSE)</f>
        <v>Rinnenwulstöffner</v>
      </c>
      <c r="F65" s="562"/>
      <c r="G65" s="562"/>
      <c r="H65" s="562"/>
      <c r="I65" s="562"/>
      <c r="J65" s="627"/>
      <c r="K65" s="628"/>
      <c r="L65" s="79" t="str">
        <f t="shared" si="23"/>
        <v xml:space="preserve"> </v>
      </c>
      <c r="M65" s="433" t="str">
        <f t="shared" si="1"/>
        <v>Stk.</v>
      </c>
      <c r="N65" s="80"/>
      <c r="O65" s="202" t="str">
        <f t="shared" si="5"/>
        <v/>
      </c>
      <c r="Q65" s="135">
        <f t="shared" si="24"/>
        <v>72.28</v>
      </c>
      <c r="R65" s="200">
        <v>72.28</v>
      </c>
      <c r="S65" s="195"/>
      <c r="T65" s="195"/>
      <c r="U65" s="195"/>
      <c r="V65" s="195"/>
      <c r="W65" s="195"/>
      <c r="X65" s="195"/>
      <c r="Y65" s="195"/>
      <c r="Z65" s="195"/>
      <c r="AA65" s="195"/>
      <c r="AB65" s="195"/>
      <c r="AC65" s="1"/>
      <c r="AD65" s="149">
        <f>ROUNDUP($A65/AF65,0)*AF65</f>
        <v>0</v>
      </c>
      <c r="AE65" s="149">
        <f>ROUNDUP($A65/AG65,0)*AG65</f>
        <v>0</v>
      </c>
      <c r="AF65" s="149">
        <v>1</v>
      </c>
      <c r="AG65" s="149">
        <v>1</v>
      </c>
    </row>
    <row r="66" spans="1:33" ht="32.1" customHeight="1">
      <c r="A66" s="109"/>
      <c r="B66" s="104"/>
      <c r="C66" s="104"/>
      <c r="D66" s="104"/>
      <c r="E66" s="575"/>
      <c r="F66" s="576"/>
      <c r="G66" s="576"/>
      <c r="H66" s="576"/>
      <c r="I66" s="576"/>
      <c r="J66" s="576"/>
      <c r="K66" s="577"/>
      <c r="L66" s="104"/>
      <c r="M66" s="433"/>
      <c r="N66" s="80"/>
      <c r="O66" s="202" t="str">
        <f>IF(ISNUMBER(A66),$L66*#REF!, "")</f>
        <v/>
      </c>
      <c r="R66" s="195"/>
      <c r="S66" s="195"/>
      <c r="T66" s="195"/>
      <c r="U66" s="195"/>
      <c r="V66" s="195"/>
      <c r="W66" s="195"/>
      <c r="X66" s="195"/>
      <c r="Y66" s="195"/>
      <c r="Z66" s="195"/>
      <c r="AA66" s="195"/>
      <c r="AB66" s="195"/>
      <c r="AC66" s="1"/>
      <c r="AD66" s="161"/>
      <c r="AE66" s="161"/>
      <c r="AF66" s="161"/>
      <c r="AG66" s="161"/>
    </row>
    <row r="67" spans="1:33" ht="32.1" customHeight="1">
      <c r="A67" s="109"/>
      <c r="B67" s="104"/>
      <c r="C67" s="104"/>
      <c r="D67" s="104"/>
      <c r="E67" s="575"/>
      <c r="F67" s="576"/>
      <c r="G67" s="576"/>
      <c r="H67" s="576"/>
      <c r="I67" s="576"/>
      <c r="J67" s="576"/>
      <c r="K67" s="577"/>
      <c r="L67" s="104"/>
      <c r="M67" s="433"/>
      <c r="N67" s="80"/>
      <c r="O67" s="202" t="str">
        <f>IF(ISNUMBER(A67),$L67*#REF!, "")</f>
        <v/>
      </c>
      <c r="R67" s="195"/>
      <c r="S67" s="195"/>
      <c r="T67" s="195"/>
      <c r="U67" s="195"/>
      <c r="V67" s="195"/>
      <c r="W67" s="195"/>
      <c r="X67" s="195"/>
      <c r="Y67" s="195"/>
      <c r="Z67" s="195"/>
      <c r="AA67" s="195"/>
      <c r="AB67" s="195"/>
      <c r="AC67" s="1"/>
      <c r="AD67" s="8"/>
      <c r="AE67" s="8"/>
    </row>
    <row r="68" spans="1:33" ht="32.1" customHeight="1" thickBot="1">
      <c r="A68" s="153"/>
      <c r="B68" s="154"/>
      <c r="C68" s="154"/>
      <c r="D68" s="154"/>
      <c r="E68" s="578"/>
      <c r="F68" s="579"/>
      <c r="G68" s="579"/>
      <c r="H68" s="579"/>
      <c r="I68" s="579"/>
      <c r="J68" s="579"/>
      <c r="K68" s="580"/>
      <c r="L68" s="154"/>
      <c r="M68" s="434"/>
      <c r="N68" s="155"/>
      <c r="O68" s="202" t="str">
        <f>IF(ISNUMBER(A68),$L68*#REF!, "")</f>
        <v/>
      </c>
      <c r="R68" s="195"/>
      <c r="S68" s="195"/>
      <c r="T68" s="195"/>
      <c r="U68" s="195"/>
      <c r="V68" s="195"/>
      <c r="W68" s="195"/>
      <c r="X68" s="195"/>
      <c r="Y68" s="195"/>
      <c r="Z68" s="195"/>
      <c r="AA68" s="195"/>
      <c r="AB68" s="195"/>
      <c r="AC68" s="1"/>
      <c r="AD68" s="8"/>
      <c r="AE68" s="8"/>
    </row>
    <row r="69" spans="1:33" ht="15" customHeight="1">
      <c r="A69" s="70"/>
      <c r="B69" s="70"/>
      <c r="C69" s="70"/>
      <c r="D69" s="564"/>
      <c r="E69" s="564"/>
      <c r="F69" s="564"/>
      <c r="G69" s="564"/>
      <c r="H69" s="564"/>
      <c r="I69" s="564"/>
      <c r="J69" s="564"/>
      <c r="K69" s="564"/>
      <c r="L69" s="564"/>
      <c r="M69" s="564"/>
      <c r="N69" s="564"/>
      <c r="R69" s="195"/>
      <c r="S69" s="195"/>
      <c r="T69" s="195"/>
      <c r="U69" s="195"/>
      <c r="V69" s="195"/>
      <c r="W69" s="195"/>
      <c r="X69" s="195"/>
      <c r="Y69" s="195"/>
      <c r="Z69" s="195"/>
      <c r="AA69" s="195"/>
      <c r="AB69" s="195"/>
    </row>
    <row r="70" spans="1:33" ht="17.399999999999999">
      <c r="A70" s="70"/>
      <c r="B70" s="70"/>
      <c r="C70" s="89" t="str">
        <f>VLOOKUP(1035,Sprachindex!$A:$Z,Info!$O$7,FALSE)</f>
        <v>Zusatzvermerk:</v>
      </c>
      <c r="D70" s="565"/>
      <c r="E70" s="565"/>
      <c r="F70" s="565"/>
      <c r="G70" s="565"/>
      <c r="H70" s="565"/>
      <c r="I70" s="565"/>
      <c r="J70" s="565"/>
      <c r="K70" s="565"/>
      <c r="L70" s="565"/>
      <c r="M70" s="565"/>
      <c r="N70" s="565"/>
      <c r="O70" s="196">
        <f>SUM(O31:O68)</f>
        <v>0</v>
      </c>
      <c r="R70" s="195"/>
      <c r="S70" s="195"/>
      <c r="T70" s="195"/>
      <c r="U70" s="195"/>
      <c r="V70" s="195"/>
      <c r="W70" s="195"/>
      <c r="X70" s="195"/>
      <c r="Y70" s="195"/>
      <c r="Z70" s="195"/>
      <c r="AA70" s="195"/>
      <c r="AB70" s="195"/>
    </row>
    <row r="71" spans="1:33" ht="17.399999999999999">
      <c r="A71" s="70"/>
      <c r="B71" s="70"/>
      <c r="C71" s="70"/>
      <c r="D71" s="566"/>
      <c r="E71" s="566"/>
      <c r="F71" s="566"/>
      <c r="G71" s="566"/>
      <c r="H71" s="566"/>
      <c r="I71" s="566"/>
      <c r="J71" s="566"/>
      <c r="K71" s="566"/>
      <c r="L71" s="566"/>
      <c r="M71" s="566"/>
      <c r="N71" s="566"/>
      <c r="R71" s="195"/>
      <c r="S71" s="195"/>
      <c r="T71" s="195"/>
      <c r="U71" s="195"/>
      <c r="V71" s="195"/>
      <c r="W71" s="195"/>
      <c r="X71" s="195"/>
      <c r="Y71" s="195"/>
      <c r="Z71" s="195"/>
      <c r="AA71" s="195"/>
      <c r="AB71" s="195"/>
    </row>
    <row r="72" spans="1:33" ht="17.399999999999999">
      <c r="A72" s="70"/>
      <c r="B72" s="70"/>
      <c r="C72" s="70"/>
      <c r="D72" s="565"/>
      <c r="E72" s="565"/>
      <c r="F72" s="565"/>
      <c r="G72" s="565"/>
      <c r="H72" s="565"/>
      <c r="I72" s="565"/>
      <c r="J72" s="565"/>
      <c r="K72" s="565"/>
      <c r="L72" s="565"/>
      <c r="M72" s="565"/>
      <c r="N72" s="565"/>
      <c r="S72" s="195"/>
      <c r="T72" s="195"/>
      <c r="U72" s="195"/>
      <c r="V72" s="195"/>
      <c r="W72" s="195"/>
      <c r="X72" s="195"/>
      <c r="Y72" s="195"/>
      <c r="Z72" s="195"/>
      <c r="AA72" s="195"/>
      <c r="AB72" s="195"/>
    </row>
    <row r="73" spans="1:33" ht="17.399999999999999">
      <c r="A73" s="70"/>
      <c r="B73" s="70"/>
      <c r="C73" s="70"/>
      <c r="D73" s="566"/>
      <c r="E73" s="566"/>
      <c r="F73" s="566"/>
      <c r="G73" s="566"/>
      <c r="H73" s="566"/>
      <c r="I73" s="566"/>
      <c r="J73" s="566"/>
      <c r="K73" s="566"/>
      <c r="L73" s="566"/>
      <c r="M73" s="566"/>
      <c r="N73" s="566"/>
      <c r="S73" s="195"/>
      <c r="T73" s="195"/>
      <c r="U73" s="195"/>
      <c r="V73" s="195"/>
      <c r="W73" s="195"/>
      <c r="X73" s="195"/>
      <c r="Y73" s="195"/>
      <c r="Z73" s="195"/>
      <c r="AA73" s="195"/>
      <c r="AB73" s="195"/>
    </row>
    <row r="74" spans="1:33" ht="17.399999999999999">
      <c r="A74" s="70"/>
      <c r="B74" s="70"/>
      <c r="C74" s="70"/>
      <c r="D74" s="565"/>
      <c r="E74" s="565"/>
      <c r="F74" s="565"/>
      <c r="G74" s="565"/>
      <c r="H74" s="565"/>
      <c r="I74" s="565"/>
      <c r="J74" s="565"/>
      <c r="K74" s="565"/>
      <c r="L74" s="565"/>
      <c r="M74" s="565"/>
      <c r="N74" s="565"/>
      <c r="S74" s="195"/>
      <c r="T74" s="195"/>
      <c r="U74" s="195"/>
      <c r="V74" s="195"/>
      <c r="W74" s="195"/>
      <c r="X74" s="195"/>
      <c r="Y74" s="195"/>
      <c r="Z74" s="195"/>
      <c r="AA74" s="195"/>
      <c r="AB74" s="195"/>
    </row>
    <row r="75" spans="1:33" ht="17.399999999999999">
      <c r="A75" s="70"/>
      <c r="B75" s="70"/>
      <c r="C75" s="70"/>
      <c r="D75" s="70"/>
      <c r="E75" s="70"/>
      <c r="F75" s="70"/>
      <c r="G75" s="70"/>
      <c r="H75" s="70"/>
      <c r="I75" s="70"/>
      <c r="J75" s="70"/>
      <c r="K75" s="70"/>
      <c r="L75" s="70"/>
      <c r="M75" s="70"/>
      <c r="N75" s="70"/>
      <c r="S75" s="195"/>
      <c r="T75" s="195"/>
      <c r="U75" s="195"/>
      <c r="V75" s="195"/>
      <c r="W75" s="195"/>
      <c r="X75" s="195"/>
      <c r="Y75" s="195"/>
      <c r="Z75" s="195"/>
      <c r="AA75" s="195"/>
      <c r="AB75" s="195"/>
    </row>
    <row r="76" spans="1:33" ht="17.399999999999999">
      <c r="A76" s="70"/>
      <c r="B76" s="70"/>
      <c r="C76" s="70"/>
      <c r="D76" s="70"/>
      <c r="E76" s="70"/>
      <c r="F76" s="70"/>
      <c r="G76" s="70"/>
      <c r="H76" s="70"/>
      <c r="I76" s="70"/>
      <c r="J76" s="70"/>
      <c r="K76" s="70"/>
      <c r="L76" s="70"/>
      <c r="M76" s="70"/>
      <c r="N76" s="70"/>
      <c r="S76" s="195"/>
      <c r="T76" s="195"/>
      <c r="U76" s="195"/>
      <c r="V76" s="195"/>
      <c r="W76" s="195"/>
      <c r="X76" s="195"/>
      <c r="Y76" s="195"/>
      <c r="Z76" s="195"/>
      <c r="AA76" s="195"/>
      <c r="AB76" s="195"/>
    </row>
    <row r="77" spans="1:33" ht="17.399999999999999">
      <c r="A77" s="90" t="str">
        <f>VLOOKUP(2097,Sprachindex!$A:$Z,Info!$O$7,FALSE)</f>
        <v>Produkttechnik</v>
      </c>
      <c r="B77" s="91"/>
      <c r="C77" s="91"/>
      <c r="D77" s="569"/>
      <c r="E77" s="569"/>
      <c r="F77" s="569"/>
      <c r="G77" s="569"/>
      <c r="H77" s="569"/>
      <c r="I77" s="569"/>
      <c r="J77" s="569"/>
      <c r="K77" s="92" t="str">
        <f>VLOOKUP(856,Sprachindex!$A:$Z,Info!$O$7,FALSE)</f>
        <v>Stand:</v>
      </c>
      <c r="L77" s="567">
        <f>Info!M59</f>
        <v>45511</v>
      </c>
      <c r="M77" s="567"/>
      <c r="N77" s="568"/>
      <c r="S77" s="195"/>
      <c r="T77" s="195"/>
      <c r="U77" s="195"/>
      <c r="V77" s="195"/>
      <c r="W77" s="195"/>
      <c r="X77" s="195"/>
      <c r="Y77" s="195"/>
      <c r="Z77" s="195"/>
      <c r="AA77" s="195"/>
      <c r="AB77" s="195"/>
    </row>
    <row r="78" spans="1:33" ht="17.399999999999999">
      <c r="S78" s="195"/>
      <c r="T78" s="195"/>
      <c r="U78" s="195"/>
      <c r="V78" s="195"/>
      <c r="W78" s="195"/>
      <c r="X78" s="195"/>
      <c r="Y78" s="195"/>
      <c r="Z78" s="195"/>
      <c r="AA78" s="195"/>
      <c r="AB78" s="195"/>
    </row>
    <row r="79" spans="1:33" ht="17.399999999999999" hidden="1">
      <c r="S79" s="195"/>
      <c r="T79" s="195"/>
      <c r="U79" s="195"/>
      <c r="V79" s="195"/>
      <c r="W79" s="195"/>
      <c r="X79" s="195"/>
      <c r="Y79" s="195"/>
      <c r="Z79" s="195"/>
      <c r="AA79" s="195"/>
      <c r="AB79" s="195"/>
    </row>
    <row r="80" spans="1:33" ht="17.399999999999999" hidden="1">
      <c r="S80" s="195"/>
      <c r="T80" s="195"/>
      <c r="U80" s="195"/>
      <c r="V80" s="195"/>
      <c r="W80" s="195"/>
      <c r="X80" s="195"/>
      <c r="Y80" s="195"/>
      <c r="Z80" s="195"/>
      <c r="AA80" s="195"/>
      <c r="AB80" s="195"/>
    </row>
    <row r="81" spans="19:28" ht="17.399999999999999" hidden="1">
      <c r="S81" s="195"/>
      <c r="T81" s="195"/>
      <c r="U81" s="195"/>
      <c r="V81" s="195"/>
      <c r="W81" s="195"/>
      <c r="X81" s="195"/>
      <c r="Y81" s="195"/>
      <c r="Z81" s="195"/>
      <c r="AA81" s="195"/>
      <c r="AB81" s="195"/>
    </row>
    <row r="82" spans="19:28" ht="17.399999999999999" hidden="1">
      <c r="S82" s="195"/>
      <c r="T82" s="195"/>
      <c r="U82" s="195"/>
      <c r="V82" s="195"/>
      <c r="W82" s="195"/>
      <c r="X82" s="195"/>
      <c r="Y82" s="195"/>
      <c r="Z82" s="195"/>
      <c r="AA82" s="195"/>
      <c r="AB82" s="195"/>
    </row>
    <row r="83" spans="19:28" ht="17.399999999999999" hidden="1">
      <c r="S83" s="195"/>
      <c r="T83" s="195"/>
      <c r="U83" s="195"/>
      <c r="V83" s="195"/>
      <c r="W83" s="195"/>
      <c r="X83" s="195"/>
      <c r="Y83" s="195"/>
      <c r="Z83" s="195"/>
      <c r="AA83" s="195"/>
      <c r="AB83" s="195"/>
    </row>
    <row r="84" spans="19:28" ht="17.399999999999999" hidden="1">
      <c r="S84" s="195"/>
      <c r="T84" s="195"/>
      <c r="U84" s="195"/>
      <c r="V84" s="195"/>
      <c r="W84" s="195"/>
      <c r="X84" s="195"/>
      <c r="Y84" s="195"/>
      <c r="Z84" s="195"/>
      <c r="AA84" s="195"/>
      <c r="AB84" s="195"/>
    </row>
    <row r="85" spans="19:28" ht="17.399999999999999" hidden="1">
      <c r="S85" s="195"/>
      <c r="T85" s="195"/>
      <c r="U85" s="195"/>
      <c r="V85" s="195"/>
      <c r="W85" s="195"/>
      <c r="X85" s="195"/>
      <c r="Y85" s="195"/>
      <c r="Z85" s="195"/>
      <c r="AA85" s="195"/>
      <c r="AB85" s="195"/>
    </row>
    <row r="86" spans="19:28" ht="17.399999999999999" hidden="1">
      <c r="S86" s="195"/>
      <c r="T86" s="195"/>
      <c r="U86" s="195"/>
      <c r="V86" s="195"/>
      <c r="W86" s="195"/>
      <c r="X86" s="195"/>
      <c r="Y86" s="195"/>
      <c r="Z86" s="195"/>
      <c r="AA86" s="195"/>
      <c r="AB86" s="195"/>
    </row>
    <row r="87" spans="19:28" ht="17.399999999999999" hidden="1">
      <c r="S87" s="195"/>
      <c r="T87" s="195"/>
      <c r="U87" s="195"/>
      <c r="V87" s="195"/>
      <c r="W87" s="195"/>
      <c r="X87" s="195"/>
      <c r="Y87" s="195"/>
      <c r="Z87" s="195"/>
      <c r="AA87" s="195"/>
      <c r="AB87" s="195"/>
    </row>
    <row r="88" spans="19:28" ht="17.399999999999999" hidden="1">
      <c r="S88" s="195"/>
      <c r="T88" s="195"/>
      <c r="U88" s="195"/>
      <c r="V88" s="195"/>
      <c r="W88" s="195"/>
      <c r="X88" s="195"/>
      <c r="Y88" s="195"/>
      <c r="Z88" s="195"/>
      <c r="AA88" s="195"/>
      <c r="AB88" s="195"/>
    </row>
    <row r="89" spans="19:28" ht="17.399999999999999" hidden="1">
      <c r="S89" s="195"/>
      <c r="T89" s="195"/>
      <c r="U89" s="195"/>
      <c r="V89" s="195"/>
      <c r="W89" s="195"/>
      <c r="X89" s="195"/>
      <c r="Y89" s="195"/>
      <c r="Z89" s="195"/>
      <c r="AA89" s="195"/>
      <c r="AB89" s="195"/>
    </row>
    <row r="90" spans="19:28" ht="17.399999999999999" hidden="1">
      <c r="S90" s="195"/>
      <c r="T90" s="195"/>
      <c r="U90" s="195"/>
      <c r="V90" s="195"/>
      <c r="W90" s="195"/>
      <c r="X90" s="195"/>
      <c r="Y90" s="195"/>
      <c r="Z90" s="195"/>
      <c r="AA90" s="195"/>
      <c r="AB90" s="195"/>
    </row>
    <row r="91" spans="19:28" ht="17.399999999999999" hidden="1">
      <c r="S91" s="195"/>
      <c r="T91" s="195"/>
      <c r="U91" s="195"/>
      <c r="V91" s="195"/>
      <c r="W91" s="195"/>
      <c r="X91" s="195"/>
      <c r="Y91" s="195"/>
      <c r="Z91" s="195"/>
      <c r="AA91" s="195"/>
      <c r="AB91" s="195"/>
    </row>
    <row r="92" spans="19:28" ht="17.399999999999999" hidden="1">
      <c r="S92" s="195"/>
      <c r="T92" s="195"/>
      <c r="U92" s="195"/>
      <c r="V92" s="195"/>
      <c r="W92" s="195"/>
      <c r="X92" s="195"/>
      <c r="Y92" s="195"/>
      <c r="Z92" s="195"/>
      <c r="AA92" s="195"/>
      <c r="AB92" s="195"/>
    </row>
    <row r="93" spans="19:28" ht="17.399999999999999" hidden="1">
      <c r="S93" s="195"/>
      <c r="T93" s="195"/>
      <c r="U93" s="195"/>
      <c r="V93" s="195"/>
      <c r="W93" s="195"/>
      <c r="X93" s="195"/>
      <c r="Y93" s="195"/>
      <c r="Z93" s="195"/>
      <c r="AA93" s="195"/>
      <c r="AB93" s="195"/>
    </row>
    <row r="94" spans="19:28" ht="17.399999999999999" hidden="1">
      <c r="S94" s="195"/>
      <c r="T94" s="195"/>
      <c r="U94" s="195"/>
      <c r="V94" s="195"/>
      <c r="W94" s="195"/>
      <c r="X94" s="195"/>
      <c r="Y94" s="195"/>
      <c r="Z94" s="195"/>
      <c r="AA94" s="195"/>
      <c r="AB94" s="195"/>
    </row>
    <row r="95" spans="19:28" ht="17.399999999999999" hidden="1">
      <c r="S95" s="195"/>
      <c r="T95" s="195"/>
      <c r="U95" s="195"/>
      <c r="V95" s="195"/>
      <c r="W95" s="195"/>
      <c r="X95" s="195"/>
      <c r="Y95" s="195"/>
      <c r="Z95" s="195"/>
      <c r="AA95" s="195"/>
      <c r="AB95" s="195"/>
    </row>
    <row r="96" spans="19:28" ht="17.399999999999999" hidden="1">
      <c r="S96" s="195"/>
      <c r="T96" s="195"/>
      <c r="U96" s="195"/>
      <c r="V96" s="195"/>
      <c r="W96" s="195"/>
      <c r="X96" s="195"/>
      <c r="Y96" s="195"/>
      <c r="Z96" s="195"/>
      <c r="AA96" s="195"/>
      <c r="AB96" s="195"/>
    </row>
    <row r="97" spans="19:28" ht="17.399999999999999" hidden="1">
      <c r="S97" s="195"/>
      <c r="T97" s="195"/>
      <c r="U97" s="195"/>
      <c r="V97" s="195"/>
      <c r="W97" s="195"/>
      <c r="X97" s="195"/>
      <c r="Y97" s="195"/>
      <c r="Z97" s="195"/>
      <c r="AA97" s="195"/>
      <c r="AB97" s="195"/>
    </row>
    <row r="98" spans="19:28" ht="17.399999999999999" hidden="1">
      <c r="S98" s="195"/>
      <c r="T98" s="195"/>
      <c r="U98" s="195"/>
      <c r="V98" s="195"/>
      <c r="W98" s="195"/>
      <c r="X98" s="195"/>
      <c r="Y98" s="195"/>
      <c r="Z98" s="195"/>
      <c r="AA98" s="195"/>
      <c r="AB98" s="195"/>
    </row>
    <row r="99" spans="19:28" ht="17.399999999999999" hidden="1">
      <c r="S99" s="195"/>
      <c r="T99" s="195"/>
      <c r="U99" s="195"/>
      <c r="V99" s="195"/>
      <c r="W99" s="195"/>
      <c r="X99" s="195"/>
      <c r="Y99" s="195"/>
      <c r="Z99" s="195"/>
      <c r="AA99" s="195"/>
      <c r="AB99" s="195"/>
    </row>
    <row r="100" spans="19:28" ht="17.399999999999999" hidden="1">
      <c r="S100" s="195"/>
      <c r="T100" s="195"/>
      <c r="U100" s="195"/>
      <c r="V100" s="195"/>
      <c r="W100" s="195"/>
      <c r="X100" s="195"/>
      <c r="Y100" s="195"/>
      <c r="Z100" s="195"/>
      <c r="AA100" s="195"/>
      <c r="AB100" s="195"/>
    </row>
    <row r="101" spans="19:28" ht="17.399999999999999" hidden="1">
      <c r="S101" s="195"/>
      <c r="T101" s="195"/>
      <c r="U101" s="195"/>
      <c r="V101" s="195"/>
      <c r="W101" s="195"/>
      <c r="X101" s="195"/>
      <c r="Y101" s="195"/>
      <c r="Z101" s="195"/>
      <c r="AA101" s="195"/>
      <c r="AB101" s="195"/>
    </row>
    <row r="102" spans="19:28" ht="17.399999999999999" hidden="1">
      <c r="S102" s="195"/>
      <c r="T102" s="195"/>
      <c r="U102" s="195"/>
      <c r="V102" s="195"/>
      <c r="W102" s="195"/>
      <c r="X102" s="195"/>
      <c r="Y102" s="195"/>
      <c r="Z102" s="195"/>
      <c r="AA102" s="195"/>
      <c r="AB102" s="195"/>
    </row>
    <row r="103" spans="19:28" ht="17.399999999999999" hidden="1">
      <c r="S103" s="195"/>
      <c r="T103" s="195"/>
      <c r="U103" s="195"/>
      <c r="V103" s="195"/>
      <c r="W103" s="195"/>
      <c r="X103" s="195"/>
      <c r="Y103" s="195"/>
      <c r="Z103" s="195"/>
      <c r="AA103" s="195"/>
      <c r="AB103" s="195"/>
    </row>
    <row r="104" spans="19:28" ht="17.399999999999999" hidden="1">
      <c r="S104" s="195"/>
      <c r="T104" s="195"/>
      <c r="U104" s="195"/>
      <c r="V104" s="195"/>
      <c r="W104" s="195"/>
      <c r="X104" s="195"/>
      <c r="Y104" s="195"/>
      <c r="Z104" s="195"/>
      <c r="AA104" s="195"/>
      <c r="AB104" s="195"/>
    </row>
    <row r="105" spans="19:28" ht="17.399999999999999" hidden="1">
      <c r="S105" s="195"/>
      <c r="T105" s="195"/>
      <c r="U105" s="195"/>
      <c r="V105" s="195"/>
      <c r="W105" s="195"/>
      <c r="X105" s="195"/>
      <c r="Y105" s="195"/>
      <c r="Z105" s="195"/>
      <c r="AA105" s="195"/>
      <c r="AB105" s="195"/>
    </row>
    <row r="106" spans="19:28" ht="17.399999999999999" hidden="1">
      <c r="S106" s="195"/>
      <c r="T106" s="195"/>
      <c r="U106" s="195"/>
      <c r="V106" s="195"/>
      <c r="W106" s="195"/>
      <c r="X106" s="195"/>
      <c r="Y106" s="195"/>
      <c r="Z106" s="195"/>
      <c r="AA106" s="195"/>
      <c r="AB106" s="195"/>
    </row>
    <row r="107" spans="19:28" ht="17.399999999999999" hidden="1">
      <c r="S107" s="195"/>
      <c r="T107" s="195"/>
      <c r="U107" s="195"/>
      <c r="V107" s="195"/>
      <c r="W107" s="195"/>
      <c r="X107" s="195"/>
      <c r="Y107" s="195"/>
      <c r="Z107" s="195"/>
      <c r="AA107" s="195"/>
      <c r="AB107" s="195"/>
    </row>
    <row r="108" spans="19:28" ht="17.399999999999999" hidden="1">
      <c r="S108" s="195"/>
      <c r="T108" s="195"/>
      <c r="U108" s="195"/>
      <c r="V108" s="195"/>
      <c r="W108" s="195"/>
      <c r="X108" s="195"/>
      <c r="Y108" s="195"/>
      <c r="Z108" s="195"/>
      <c r="AA108" s="195"/>
      <c r="AB108" s="195"/>
    </row>
    <row r="109" spans="19:28" ht="17.399999999999999" hidden="1">
      <c r="S109" s="195"/>
      <c r="T109" s="195"/>
      <c r="U109" s="195"/>
      <c r="V109" s="195"/>
      <c r="W109" s="195"/>
      <c r="X109" s="195"/>
      <c r="Y109" s="195"/>
      <c r="Z109" s="195"/>
      <c r="AA109" s="195"/>
      <c r="AB109" s="195"/>
    </row>
    <row r="110" spans="19:28" ht="17.399999999999999" hidden="1">
      <c r="S110" s="195"/>
      <c r="T110" s="195"/>
      <c r="U110" s="195"/>
      <c r="V110" s="195"/>
      <c r="W110" s="195"/>
      <c r="X110" s="195"/>
      <c r="Y110" s="195"/>
      <c r="Z110" s="195"/>
      <c r="AA110" s="195"/>
      <c r="AB110" s="195"/>
    </row>
    <row r="111" spans="19:28" ht="13.8" hidden="1"/>
    <row r="112" spans="19:28"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4.25" customHeight="1"/>
  </sheetData>
  <sheetProtection algorithmName="SHA-512" hashValue="hcZ8JFQxFyQyd+En7vCLs/aILJONRrnA3LjeipvK02L5L1qg1MLYgP3315U6qmg6v+qWTbR+/VnpmWXk7cWwYg==" saltValue="KsVAoKS49kCCEU4/B9VeXw==" spinCount="100000" sheet="1" objects="1" selectLockedCells="1" autoFilter="0"/>
  <protectedRanges>
    <protectedRange password="DEBF" sqref="AD67:AE68" name="darf vom Benutzer nicht verändert werden_1_5"/>
    <protectedRange password="DEBF" sqref="AD53:AE58" name="darf vom Benutzer nicht verändert werden_1_2_2_1"/>
    <protectedRange password="DEBF" sqref="AD31:AE43 AD45:AE51" name="darf vom Benutzer nicht verändert werden_1_2"/>
    <protectedRange password="DEBF" sqref="AG43 AF46:AG46 AG32 AF31:AG31 AF45 AF32:AF43" name="darf vom Benutzer nicht verändert werden_1_12"/>
    <protectedRange password="DEBF" sqref="AD44:AE44" name="darf vom Benutzer nicht verändert werden_1_2_2_2"/>
    <protectedRange password="DEBF" sqref="AF44" name="darf vom Benutzer nicht verändert werden_1_12_1_1"/>
    <protectedRange password="DEBF" sqref="AD52:AE52" name="darf vom Benutzer nicht verändert werden_1_2_1_1"/>
    <protectedRange password="DEBF" sqref="AD65:AE66 AD59:AE62" name="darf vom Benutzer nicht verändert werden_1_2_1_1_1"/>
    <protectedRange password="DEBF" sqref="AD63:AE64" name="darf vom Benutzer nicht verändert werden_1_5_4"/>
  </protectedRanges>
  <autoFilter ref="A29:A68" xr:uid="{00000000-0009-0000-0000-00000C000000}"/>
  <mergeCells count="91">
    <mergeCell ref="J44:K44"/>
    <mergeCell ref="U52:V52"/>
    <mergeCell ref="T45:U45"/>
    <mergeCell ref="W45:X45"/>
    <mergeCell ref="T46:U46"/>
    <mergeCell ref="W46:X46"/>
    <mergeCell ref="E53:H53"/>
    <mergeCell ref="J53:K53"/>
    <mergeCell ref="E54:H54"/>
    <mergeCell ref="J54:K54"/>
    <mergeCell ref="E58:I58"/>
    <mergeCell ref="J58:K58"/>
    <mergeCell ref="E55:I55"/>
    <mergeCell ref="J55:K55"/>
    <mergeCell ref="E56:H56"/>
    <mergeCell ref="J56:K56"/>
    <mergeCell ref="E57:I57"/>
    <mergeCell ref="J57:K57"/>
    <mergeCell ref="D77:J77"/>
    <mergeCell ref="E66:K66"/>
    <mergeCell ref="E67:K67"/>
    <mergeCell ref="E68:K68"/>
    <mergeCell ref="L77:N77"/>
    <mergeCell ref="D69:N70"/>
    <mergeCell ref="D71:N72"/>
    <mergeCell ref="D73:N74"/>
    <mergeCell ref="B24:B27"/>
    <mergeCell ref="C24:E24"/>
    <mergeCell ref="C25:E25"/>
    <mergeCell ref="C26:E26"/>
    <mergeCell ref="C27:E27"/>
    <mergeCell ref="J41:K41"/>
    <mergeCell ref="E41:I41"/>
    <mergeCell ref="C20:E20"/>
    <mergeCell ref="C9:E9"/>
    <mergeCell ref="C10:E10"/>
    <mergeCell ref="C11:E11"/>
    <mergeCell ref="C13:E13"/>
    <mergeCell ref="C14:E14"/>
    <mergeCell ref="C15:E15"/>
    <mergeCell ref="C18:E18"/>
    <mergeCell ref="C19:E19"/>
    <mergeCell ref="C21:E21"/>
    <mergeCell ref="B29:E29"/>
    <mergeCell ref="E30:K30"/>
    <mergeCell ref="E32:G32"/>
    <mergeCell ref="H32:I32"/>
    <mergeCell ref="AF29:AG29"/>
    <mergeCell ref="E38:K38"/>
    <mergeCell ref="E40:K40"/>
    <mergeCell ref="E37:K37"/>
    <mergeCell ref="E35:K35"/>
    <mergeCell ref="E33:K33"/>
    <mergeCell ref="E34:K34"/>
    <mergeCell ref="E36:K36"/>
    <mergeCell ref="E39:K39"/>
    <mergeCell ref="AD29:AE29"/>
    <mergeCell ref="J32:K32"/>
    <mergeCell ref="E31:G31"/>
    <mergeCell ref="H31:I31"/>
    <mergeCell ref="J31:K31"/>
    <mergeCell ref="J62:K62"/>
    <mergeCell ref="E59:I59"/>
    <mergeCell ref="J59:K59"/>
    <mergeCell ref="E60:I60"/>
    <mergeCell ref="J60:K60"/>
    <mergeCell ref="E61:I61"/>
    <mergeCell ref="J61:K61"/>
    <mergeCell ref="E62:I62"/>
    <mergeCell ref="E65:I65"/>
    <mergeCell ref="J65:K65"/>
    <mergeCell ref="E64:I64"/>
    <mergeCell ref="E63:I63"/>
    <mergeCell ref="J63:K63"/>
    <mergeCell ref="J64:K64"/>
    <mergeCell ref="E42:I42"/>
    <mergeCell ref="J42:K42"/>
    <mergeCell ref="E51:K51"/>
    <mergeCell ref="E52:I52"/>
    <mergeCell ref="J52:K52"/>
    <mergeCell ref="E50:K50"/>
    <mergeCell ref="E45:G45"/>
    <mergeCell ref="I45:K45"/>
    <mergeCell ref="E47:K47"/>
    <mergeCell ref="E49:K49"/>
    <mergeCell ref="E43:G43"/>
    <mergeCell ref="I43:K43"/>
    <mergeCell ref="E46:G46"/>
    <mergeCell ref="I46:K46"/>
    <mergeCell ref="E48:K48"/>
    <mergeCell ref="E44:H44"/>
  </mergeCells>
  <phoneticPr fontId="44" type="noConversion"/>
  <conditionalFormatting sqref="A31:A68">
    <cfRule type="cellIs" dxfId="135" priority="17" operator="equal">
      <formula>0</formula>
    </cfRule>
  </conditionalFormatting>
  <conditionalFormatting sqref="B66:E68">
    <cfRule type="cellIs" dxfId="133" priority="63" operator="equal">
      <formula>0</formula>
    </cfRule>
  </conditionalFormatting>
  <conditionalFormatting sqref="C9:E11">
    <cfRule type="cellIs" dxfId="132" priority="130" operator="equal">
      <formula>""</formula>
    </cfRule>
  </conditionalFormatting>
  <conditionalFormatting sqref="C13:E15">
    <cfRule type="cellIs" dxfId="131" priority="127" operator="equal">
      <formula>""</formula>
    </cfRule>
  </conditionalFormatting>
  <conditionalFormatting sqref="C18:E21">
    <cfRule type="cellIs" dxfId="130" priority="123" operator="equal">
      <formula>""</formula>
    </cfRule>
  </conditionalFormatting>
  <conditionalFormatting sqref="C24:E27">
    <cfRule type="cellIs" dxfId="129" priority="48" operator="equal">
      <formula>""</formula>
    </cfRule>
  </conditionalFormatting>
  <conditionalFormatting sqref="I13">
    <cfRule type="expression" dxfId="128" priority="59">
      <formula>$O$13=2</formula>
    </cfRule>
    <cfRule type="expression" dxfId="127" priority="62">
      <formula>$O$13=1</formula>
    </cfRule>
  </conditionalFormatting>
  <conditionalFormatting sqref="I24:I26">
    <cfRule type="cellIs" dxfId="126" priority="47" operator="equal">
      <formula>""</formula>
    </cfRule>
  </conditionalFormatting>
  <conditionalFormatting sqref="K17">
    <cfRule type="expression" dxfId="118" priority="141">
      <formula>$O$21=13</formula>
    </cfRule>
  </conditionalFormatting>
  <conditionalFormatting sqref="K18">
    <cfRule type="expression" dxfId="117" priority="140">
      <formula>$O$21=13</formula>
    </cfRule>
  </conditionalFormatting>
  <conditionalFormatting sqref="L13">
    <cfRule type="expression" dxfId="116" priority="60">
      <formula>$O$13=1</formula>
    </cfRule>
    <cfRule type="expression" dxfId="115" priority="61">
      <formula>$O$13=2</formula>
    </cfRule>
  </conditionalFormatting>
  <conditionalFormatting sqref="L19">
    <cfRule type="expression" dxfId="114" priority="139">
      <formula>$O$21=14</formula>
    </cfRule>
  </conditionalFormatting>
  <conditionalFormatting sqref="L66:N68">
    <cfRule type="cellIs" dxfId="113" priority="7" operator="equal">
      <formula>0</formula>
    </cfRule>
  </conditionalFormatting>
  <conditionalFormatting sqref="AU57">
    <cfRule type="dataBar" priority="55">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59:AU60">
    <cfRule type="dataBar" priority="2037">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ltText="">
                <anchor moveWithCells="1">
                  <from>
                    <xdr:col>5</xdr:col>
                    <xdr:colOff>563880</xdr:colOff>
                    <xdr:row>8</xdr:row>
                    <xdr:rowOff>0</xdr:rowOff>
                  </from>
                  <to>
                    <xdr:col>13</xdr:col>
                    <xdr:colOff>662940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ltText="">
                <anchor moveWithCells="1">
                  <from>
                    <xdr:col>5</xdr:col>
                    <xdr:colOff>563880</xdr:colOff>
                    <xdr:row>14</xdr:row>
                    <xdr:rowOff>0</xdr:rowOff>
                  </from>
                  <to>
                    <xdr:col>13</xdr:col>
                    <xdr:colOff>662940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ltText="">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ltText="">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ltText="">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129540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E91578FD-A611-4322-A79B-4535FF1032F6}">
            <xm:f>$J$107=Formeln!$A$177</xm:f>
            <x14:dxf>
              <font>
                <color theme="0" tint="-0.34998626667073579"/>
              </font>
            </x14:dxf>
          </x14:cfRule>
          <xm:sqref>B59:B60 E59:I60</xm:sqref>
        </x14:conditionalFormatting>
        <x14:conditionalFormatting xmlns:xm="http://schemas.microsoft.com/office/excel/2006/main">
          <x14:cfRule type="expression" priority="85" id="{689827F2-6E28-4BAE-AB35-8CF9935C663E}">
            <xm:f>$I43=Formeln!$A$1</xm:f>
            <x14:dxf>
              <fill>
                <patternFill>
                  <bgColor theme="0" tint="-0.14996795556505021"/>
                </patternFill>
              </fill>
            </x14:dxf>
          </x14:cfRule>
          <xm:sqref>I43:K43</xm:sqref>
        </x14:conditionalFormatting>
        <x14:conditionalFormatting xmlns:xm="http://schemas.microsoft.com/office/excel/2006/main">
          <x14:cfRule type="expression" priority="4" id="{F8C3EA09-DF3A-4AAC-BC84-EB772174F0CA}">
            <xm:f>$I45=Formeln!$A$1</xm:f>
            <x14:dxf>
              <fill>
                <patternFill>
                  <bgColor theme="0" tint="-0.14996795556505021"/>
                </patternFill>
              </fill>
            </x14:dxf>
          </x14:cfRule>
          <xm:sqref>I45:K46</xm:sqref>
        </x14:conditionalFormatting>
        <x14:conditionalFormatting xmlns:xm="http://schemas.microsoft.com/office/excel/2006/main">
          <x14:cfRule type="expression" priority="12"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86"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1" id="{1B02832B-D549-4B91-9D12-63590740635C}">
            <xm:f>$J$44=Formeln!$I$194</xm:f>
            <x14:dxf>
              <fill>
                <patternFill>
                  <bgColor theme="0" tint="-0.14996795556505021"/>
                </patternFill>
              </fill>
            </x14:dxf>
          </x14:cfRule>
          <xm:sqref>J44:K44</xm:sqref>
        </x14:conditionalFormatting>
        <x14:conditionalFormatting xmlns:xm="http://schemas.microsoft.com/office/excel/2006/main">
          <x14:cfRule type="expression" priority="3" id="{B1C0DAEB-D0BB-431C-A08C-7ED0DB622744}">
            <xm:f>$J52=Formeln!$A$1</xm:f>
            <x14:dxf>
              <fill>
                <patternFill>
                  <bgColor theme="0" tint="-0.14996795556505021"/>
                </patternFill>
              </fill>
            </x14:dxf>
          </x14:cfRule>
          <xm:sqref>J52:K54</xm:sqref>
        </x14:conditionalFormatting>
        <x14:conditionalFormatting xmlns:xm="http://schemas.microsoft.com/office/excel/2006/main">
          <x14:cfRule type="expression" priority="2" id="{25C7E613-3EC2-42F9-87DC-86003579A83A}">
            <xm:f>$J56=Formeln!$A$1</xm:f>
            <x14:dxf>
              <fill>
                <patternFill>
                  <bgColor theme="0" tint="-0.14996795556505021"/>
                </patternFill>
              </fill>
            </x14:dxf>
          </x14:cfRule>
          <xm:sqref>J56:K56</xm:sqref>
        </x14:conditionalFormatting>
        <x14:conditionalFormatting xmlns:xm="http://schemas.microsoft.com/office/excel/2006/main">
          <x14:cfRule type="expression" priority="9" id="{ADDB7E78-06D2-4F0D-8111-81EB17F9B994}">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8" id="{23967104-92FD-4B92-A643-0C86FC660E2A}">
            <xm:f>Info!$V$7=8</xm:f>
            <x14:dxf>
              <font>
                <color theme="1"/>
              </font>
              <border>
                <bottom style="thin">
                  <color auto="1"/>
                </bottom>
              </border>
            </x14:dxf>
          </x14:cfRule>
          <xm:sqref>O70</xm:sqref>
        </x14:conditionalFormatting>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AU57</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AU59:AU60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Formeln!$A$146:$A$148</xm:f>
          </x14:formula1>
          <xm:sqref>I43:K43</xm:sqref>
        </x14:dataValidation>
        <x14:dataValidation type="list" allowBlank="1" showInputMessage="1" showErrorMessage="1" xr:uid="{00000000-0002-0000-0C00-000001000000}">
          <x14:formula1>
            <xm:f>Formeln!$B$142:$B$145</xm:f>
          </x14:formula1>
          <xm:sqref>J31:K32</xm:sqref>
        </x14:dataValidation>
        <x14:dataValidation type="list" allowBlank="1" showInputMessage="1" showErrorMessage="1" xr:uid="{00000000-0002-0000-0C00-000002000000}">
          <x14:formula1>
            <xm:f>Formeln!$A$280:$A$283</xm:f>
          </x14:formula1>
          <xm:sqref>J54:K54</xm:sqref>
        </x14:dataValidation>
        <x14:dataValidation type="list" allowBlank="1" showInputMessage="1" showErrorMessage="1" xr:uid="{00000000-0002-0000-0C00-000003000000}">
          <x14:formula1>
            <xm:f>Formeln!$A$159:$A$161</xm:f>
          </x14:formula1>
          <xm:sqref>J56:K56</xm:sqref>
        </x14:dataValidation>
        <x14:dataValidation type="list" allowBlank="1" showInputMessage="1" showErrorMessage="1" xr:uid="{00000000-0002-0000-0C00-000005000000}">
          <x14:formula1>
            <xm:f>Formeln!$A$266:$A$268</xm:f>
          </x14:formula1>
          <xm:sqref>J52:K52</xm:sqref>
        </x14:dataValidation>
        <x14:dataValidation type="list" allowBlank="1" showInputMessage="1" showErrorMessage="1" xr:uid="{00000000-0002-0000-0C00-000006000000}">
          <x14:formula1>
            <xm:f>Formeln_RI_P.10!$A$141:$A$142</xm:f>
          </x14:formula1>
          <xm:sqref>I45:K45</xm:sqref>
        </x14:dataValidation>
        <x14:dataValidation type="list" allowBlank="1" showInputMessage="1" showErrorMessage="1" xr:uid="{00000000-0002-0000-0C00-000007000000}">
          <x14:formula1>
            <xm:f>Formeln_RI_P.10!$A$143:$A$144</xm:f>
          </x14:formula1>
          <xm:sqref>I46:K46</xm:sqref>
        </x14:dataValidation>
        <x14:dataValidation type="list" allowBlank="1" showInputMessage="1" showErrorMessage="1" xr:uid="{00000000-0002-0000-0C00-000004000000}">
          <x14:formula1>
            <xm:f>Formeln!$B$151:$B$155</xm:f>
          </x14:formula1>
          <xm:sqref>J53:K53</xm:sqref>
        </x14:dataValidation>
        <x14:dataValidation type="list" allowBlank="1" showInputMessage="1" showErrorMessage="1" xr:uid="{2EF3C7B1-C5CF-43C3-8748-0E2D9326963D}">
          <x14:formula1>
            <xm:f>Formeln!$G$194:$G$196</xm:f>
          </x14:formula1>
          <xm:sqref>J44:K44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baseColWidth="10" defaultColWidth="11.44140625" defaultRowHeight="14.4"/>
  <cols>
    <col min="1" max="1" width="10.109375" bestFit="1" customWidth="1"/>
    <col min="2" max="2" width="43.44140625" bestFit="1" customWidth="1"/>
    <col min="3" max="3" width="14.44140625" bestFit="1" customWidth="1"/>
    <col min="4" max="4" width="13.88671875" bestFit="1" customWidth="1"/>
    <col min="5" max="5" width="20.44140625" bestFit="1" customWidth="1"/>
  </cols>
  <sheetData>
    <row r="1" spans="1:6">
      <c r="A1" t="s">
        <v>2156</v>
      </c>
      <c r="B1" t="s">
        <v>2157</v>
      </c>
      <c r="C1" t="s">
        <v>2158</v>
      </c>
      <c r="D1" t="s">
        <v>2159</v>
      </c>
      <c r="E1" t="s">
        <v>2160</v>
      </c>
      <c r="F1" t="s">
        <v>2161</v>
      </c>
    </row>
    <row r="2" spans="1:6">
      <c r="A2">
        <v>44161</v>
      </c>
      <c r="B2" t="s">
        <v>2162</v>
      </c>
      <c r="C2" t="s">
        <v>2163</v>
      </c>
      <c r="D2" t="s">
        <v>2164</v>
      </c>
      <c r="E2" t="s">
        <v>2165</v>
      </c>
      <c r="F2" t="s">
        <v>2166</v>
      </c>
    </row>
    <row r="3" spans="1:6">
      <c r="A3">
        <v>44175</v>
      </c>
      <c r="B3" t="s">
        <v>2167</v>
      </c>
      <c r="C3" t="s">
        <v>2168</v>
      </c>
      <c r="D3" t="s">
        <v>2169</v>
      </c>
      <c r="F3" t="s">
        <v>2166</v>
      </c>
    </row>
    <row r="4" spans="1:6">
      <c r="A4">
        <v>44175</v>
      </c>
      <c r="B4" t="s">
        <v>2167</v>
      </c>
      <c r="C4" t="s">
        <v>2170</v>
      </c>
      <c r="D4" t="s">
        <v>2169</v>
      </c>
      <c r="F4" t="s">
        <v>2166</v>
      </c>
    </row>
    <row r="5" spans="1:6">
      <c r="A5">
        <v>44203</v>
      </c>
      <c r="B5" t="s">
        <v>2171</v>
      </c>
      <c r="C5" t="s">
        <v>2172</v>
      </c>
      <c r="F5" t="s">
        <v>2166</v>
      </c>
    </row>
    <row r="6" spans="1:6">
      <c r="A6">
        <v>44252</v>
      </c>
      <c r="B6" t="s">
        <v>2173</v>
      </c>
      <c r="C6" t="s">
        <v>2174</v>
      </c>
      <c r="F6" t="s">
        <v>2175</v>
      </c>
    </row>
    <row r="7" spans="1:6">
      <c r="A7">
        <v>44252</v>
      </c>
      <c r="B7" t="s">
        <v>2176</v>
      </c>
      <c r="C7" t="s">
        <v>2177</v>
      </c>
      <c r="E7" t="s">
        <v>2178</v>
      </c>
      <c r="F7" t="s">
        <v>2179</v>
      </c>
    </row>
    <row r="8" spans="1:6">
      <c r="A8">
        <v>44252</v>
      </c>
      <c r="B8" t="s">
        <v>2180</v>
      </c>
      <c r="C8" t="s">
        <v>2177</v>
      </c>
      <c r="E8" t="s">
        <v>2181</v>
      </c>
      <c r="F8" t="s">
        <v>2179</v>
      </c>
    </row>
    <row r="9" spans="1:6">
      <c r="A9">
        <v>44252</v>
      </c>
      <c r="B9" t="s">
        <v>2182</v>
      </c>
      <c r="C9" t="s">
        <v>2177</v>
      </c>
      <c r="E9" t="s">
        <v>2183</v>
      </c>
      <c r="F9" t="s">
        <v>2179</v>
      </c>
    </row>
    <row r="10" spans="1:6">
      <c r="A10">
        <v>44252</v>
      </c>
      <c r="B10" t="s">
        <v>2184</v>
      </c>
      <c r="C10" t="s">
        <v>2177</v>
      </c>
      <c r="D10" t="s">
        <v>2185</v>
      </c>
      <c r="E10" t="s">
        <v>2186</v>
      </c>
      <c r="F10" t="s">
        <v>2179</v>
      </c>
    </row>
    <row r="11" spans="1:6">
      <c r="A11">
        <v>44252</v>
      </c>
      <c r="B11" t="s">
        <v>2187</v>
      </c>
      <c r="C11" t="s">
        <v>2188</v>
      </c>
      <c r="F11" t="s">
        <v>2189</v>
      </c>
    </row>
    <row r="12" spans="1:6">
      <c r="A12">
        <v>44271</v>
      </c>
      <c r="B12" t="s">
        <v>2190</v>
      </c>
      <c r="C12" t="s">
        <v>2191</v>
      </c>
      <c r="D12" t="s">
        <v>2192</v>
      </c>
      <c r="F12" t="s">
        <v>2179</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4"/>
  <sheetViews>
    <sheetView topLeftCell="A115" workbookViewId="0">
      <selection activeCell="B153" sqref="B153"/>
    </sheetView>
  </sheetViews>
  <sheetFormatPr baseColWidth="10" defaultColWidth="11.44140625" defaultRowHeight="14.4"/>
  <cols>
    <col min="1" max="1" width="59.109375" customWidth="1"/>
    <col min="2" max="4" width="11.44140625" customWidth="1"/>
    <col min="5" max="5" width="47.441406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VLOOKUP(25,Sprachindex!$A:$Z,Info!$O$7,FALSE)</f>
        <v>1x250 (A=140 B=85 C=25 mm) 01 P.10 Braun</v>
      </c>
      <c r="E10" s="6"/>
    </row>
    <row r="11" spans="1:6">
      <c r="A11" s="6" t="str">
        <f>VLOOKUP(2199,Sprachindex!$A:$Z,Info!$O$7,FALSE) &amp; " " &amp; VLOOKUP(27,Sprachindex!$A:$Z,Info!$O$7,FALSE)</f>
        <v>1x250 (A=140 B=85 C=25 mm) 02 P.10 Anthrazit</v>
      </c>
      <c r="E11" s="6"/>
    </row>
    <row r="12" spans="1:6">
      <c r="A12" s="6" t="str">
        <f>VLOOKUP(2199,Sprachindex!$A:$Z,Info!$O$7,FALSE) &amp; " " &amp; VLOOKUP(28,Sprachindex!$A:$Z,Info!$O$7,FALSE)</f>
        <v>1x250 (A=140 B=85 C=25 mm) 03 P.10 Schwarz</v>
      </c>
      <c r="E12" s="6"/>
    </row>
    <row r="13" spans="1:6">
      <c r="A13" s="6" t="str">
        <f>VLOOKUP(2199,Sprachindex!$A:$Z,Info!$O$7,FALSE) &amp; " " &amp; VLOOKUP(37,Sprachindex!$A:$Z,Info!$O$7,FALSE)</f>
        <v>1x250 (A=140 B=85 C=25 mm) 07 P.10 Hellgrau</v>
      </c>
      <c r="E13" s="6"/>
    </row>
    <row r="14" spans="1:6">
      <c r="A14" s="6" t="str">
        <f>VLOOKUP(2200,Sprachindex!$A:$Z,Info!$O$7,FALSE) &amp; " " &amp; VLOOKUP(25,Sprachindex!$A:$Z,Info!$O$7,FALSE)</f>
        <v>1x333 (A=223 B=85 C=25 mm) 01 P.10 Braun</v>
      </c>
      <c r="E14" s="6"/>
    </row>
    <row r="15" spans="1:6">
      <c r="A15" s="6" t="str">
        <f>VLOOKUP(2200,Sprachindex!$A:$Z,Info!$O$7,FALSE) &amp; " " &amp; VLOOKUP(27,Sprachindex!$A:$Z,Info!$O$7,FALSE)</f>
        <v>1x333 (A=223 B=85 C=25 mm) 02 P.10 Anthrazit</v>
      </c>
      <c r="E15" s="6"/>
    </row>
    <row r="16" spans="1:6">
      <c r="A16" s="6"/>
      <c r="E16" s="6"/>
    </row>
    <row r="18" spans="1:5">
      <c r="A18" s="6" t="str">
        <f>VLOOKUP(2201,Sprachindex!$A:$Z,Info!$O$7,FALSE)</f>
        <v>(4,5 x 45 mm, 250 Stk/Pkt)</v>
      </c>
      <c r="E18" s="6"/>
    </row>
    <row r="19" spans="1:5">
      <c r="A19" s="6" t="str">
        <f>VLOOKUP(2202,Sprachindex!$A:$Z,Info!$O$7,FALSE)</f>
        <v>(4,5 x 45 mm, 250 Stk/Pkt, blank)</v>
      </c>
      <c r="E19" s="6"/>
    </row>
    <row r="21" spans="1:5">
      <c r="A21" s="6" t="str">
        <f>VLOOKUP(2203,Sprachindex!$A:$Z,Info!$O$7,FALSE)</f>
        <v>(4,5 x 60 mm, 100 Stk/Pkt)</v>
      </c>
      <c r="E21" s="6"/>
    </row>
    <row r="22" spans="1:5">
      <c r="A22" s="6" t="str">
        <f>VLOOKUP(2204,Sprachindex!$A:$Z,Info!$O$7,FALSE)</f>
        <v>(4,5 x 60 mm, 100 Stk/Pkt, blank)</v>
      </c>
      <c r="E22" s="6"/>
    </row>
    <row r="24" spans="1:5">
      <c r="A24" s="6" t="str">
        <f>VLOOKUP(433,Sprachindex!$A:$Z,Info!$O$7,FALSE)</f>
        <v>glatt</v>
      </c>
    </row>
    <row r="25" spans="1:5">
      <c r="A25" s="6" t="str">
        <f>VLOOKUP(886,Sprachindex!$A:$Z,Info!$O$7,FALSE)</f>
        <v>Stucco</v>
      </c>
    </row>
    <row r="27" spans="1:5">
      <c r="A27" s="6" t="str">
        <f>VLOOKUP(2205,Sprachindex!$A:$Z,Info!$O$7,FALSE)</f>
        <v>0,7 x 500 mm</v>
      </c>
      <c r="D27" s="6"/>
    </row>
    <row r="28" spans="1:5">
      <c r="A28" s="6" t="str">
        <f>VLOOKUP(2206,Sprachindex!$A:$Z,Info!$O$7,FALSE)</f>
        <v>0,7 x 650 mm</v>
      </c>
      <c r="D28" s="6"/>
    </row>
    <row r="29" spans="1:5">
      <c r="A29" s="6" t="str">
        <f>VLOOKUP(2207,Sprachindex!$A:$Z,Info!$O$7,FALSE)</f>
        <v>0,7 x 1.000 mm</v>
      </c>
      <c r="D29" s="6"/>
    </row>
    <row r="31" spans="1:5">
      <c r="A31" s="6" t="s">
        <v>2193</v>
      </c>
    </row>
    <row r="32" spans="1:5">
      <c r="A32" s="6" t="s">
        <v>2194</v>
      </c>
      <c r="C32" t="s">
        <v>2195</v>
      </c>
    </row>
    <row r="33" spans="1:4">
      <c r="A33" s="7" t="s">
        <v>2196</v>
      </c>
    </row>
    <row r="34" spans="1:4">
      <c r="A34" s="6" t="s">
        <v>102</v>
      </c>
      <c r="B34">
        <v>513980</v>
      </c>
      <c r="C34" s="717" t="s">
        <v>2197</v>
      </c>
      <c r="D34" s="717"/>
    </row>
    <row r="35" spans="1:4">
      <c r="A35" s="6" t="s">
        <v>2198</v>
      </c>
      <c r="B35">
        <v>513981</v>
      </c>
      <c r="C35" s="717" t="s">
        <v>2199</v>
      </c>
      <c r="D35" s="717"/>
    </row>
    <row r="36" spans="1:4">
      <c r="A36" s="6" t="s">
        <v>2200</v>
      </c>
      <c r="B36">
        <v>513982</v>
      </c>
      <c r="C36" s="717" t="s">
        <v>2201</v>
      </c>
      <c r="D36" s="717"/>
    </row>
    <row r="37" spans="1:4">
      <c r="A37" s="124" t="s">
        <v>2202</v>
      </c>
      <c r="B37">
        <v>513983</v>
      </c>
      <c r="C37" s="717" t="s">
        <v>2203</v>
      </c>
      <c r="D37" s="717"/>
    </row>
    <row r="38" spans="1:4">
      <c r="A38" s="6" t="s">
        <v>2204</v>
      </c>
      <c r="B38">
        <v>513984</v>
      </c>
      <c r="C38" s="717" t="s">
        <v>384</v>
      </c>
      <c r="D38" s="717"/>
    </row>
    <row r="39" spans="1:4">
      <c r="A39" s="7" t="s">
        <v>2205</v>
      </c>
      <c r="B39">
        <v>513985</v>
      </c>
      <c r="C39" s="717" t="s">
        <v>2206</v>
      </c>
      <c r="D39" s="717"/>
    </row>
    <row r="40" spans="1:4">
      <c r="A40" s="6" t="s">
        <v>2207</v>
      </c>
      <c r="B40">
        <v>513986</v>
      </c>
      <c r="C40" s="717" t="s">
        <v>2208</v>
      </c>
      <c r="D40" s="717"/>
    </row>
    <row r="41" spans="1:4">
      <c r="A41" s="6" t="s">
        <v>2209</v>
      </c>
      <c r="B41">
        <v>513987</v>
      </c>
      <c r="C41" s="717" t="s">
        <v>2210</v>
      </c>
      <c r="D41" s="717"/>
    </row>
    <row r="42" spans="1:4">
      <c r="A42" s="6" t="s">
        <v>2211</v>
      </c>
      <c r="B42">
        <v>513988</v>
      </c>
      <c r="C42" s="717" t="s">
        <v>2212</v>
      </c>
      <c r="D42" s="717"/>
    </row>
    <row r="43" spans="1:4">
      <c r="A43" s="7" t="s">
        <v>2213</v>
      </c>
      <c r="B43">
        <v>513989</v>
      </c>
      <c r="C43" s="717" t="s">
        <v>2214</v>
      </c>
      <c r="D43" s="717"/>
    </row>
    <row r="44" spans="1:4">
      <c r="A44" s="6" t="s">
        <v>2215</v>
      </c>
    </row>
    <row r="45" spans="1:4">
      <c r="A45" s="6" t="s">
        <v>2216</v>
      </c>
    </row>
    <row r="46" spans="1:4">
      <c r="A46" s="6" t="s">
        <v>2217</v>
      </c>
    </row>
    <row r="47" spans="1:4">
      <c r="A47" s="6" t="s">
        <v>2218</v>
      </c>
    </row>
    <row r="48" spans="1:4">
      <c r="A48" s="7" t="s">
        <v>2219</v>
      </c>
    </row>
    <row r="49" spans="1:7">
      <c r="A49" s="6" t="s">
        <v>2220</v>
      </c>
    </row>
    <row r="50" spans="1:7">
      <c r="A50" s="6" t="s">
        <v>2221</v>
      </c>
    </row>
    <row r="51" spans="1:7">
      <c r="A51" s="6" t="s">
        <v>2222</v>
      </c>
    </row>
    <row r="53" spans="1:7">
      <c r="A53" s="6" t="str">
        <f>VLOOKUP(608,Sprachindex!$A:$Z,Info!$O$7,FALSE)</f>
        <v>MIT Wärmedämmung</v>
      </c>
      <c r="C53" s="6" t="str">
        <f>VLOOKUP(608,Sprachindex!$A:$Z,Info!$O$7,FALSE)</f>
        <v>MIT Wärmedämmung</v>
      </c>
      <c r="D53" s="6"/>
    </row>
    <row r="54" spans="1:7">
      <c r="A54" s="6" t="s">
        <v>2223</v>
      </c>
      <c r="C54" s="6" t="s">
        <v>2224</v>
      </c>
    </row>
    <row r="55" spans="1:7">
      <c r="A55" s="6" t="s">
        <v>103</v>
      </c>
      <c r="C55" s="6" t="s">
        <v>2225</v>
      </c>
    </row>
    <row r="56" spans="1:7">
      <c r="A56" s="7" t="s">
        <v>2226</v>
      </c>
      <c r="C56" s="6" t="s">
        <v>2227</v>
      </c>
    </row>
    <row r="57" spans="1:7">
      <c r="A57" s="6" t="s">
        <v>2228</v>
      </c>
      <c r="C57" s="6" t="s">
        <v>2229</v>
      </c>
    </row>
    <row r="58" spans="1:7">
      <c r="A58" s="6" t="s">
        <v>2230</v>
      </c>
      <c r="C58" s="6" t="s">
        <v>104</v>
      </c>
    </row>
    <row r="59" spans="1:7">
      <c r="A59" s="6" t="s">
        <v>2231</v>
      </c>
      <c r="C59" s="6" t="s">
        <v>2232</v>
      </c>
    </row>
    <row r="60" spans="1:7">
      <c r="A60" s="124" t="s">
        <v>2233</v>
      </c>
      <c r="C60" s="6" t="s">
        <v>2234</v>
      </c>
    </row>
    <row r="61" spans="1:7">
      <c r="A61" s="6" t="s">
        <v>2235</v>
      </c>
      <c r="C61" s="6" t="s">
        <v>2236</v>
      </c>
    </row>
    <row r="62" spans="1:7">
      <c r="A62" s="7" t="s">
        <v>2237</v>
      </c>
      <c r="C62" s="6" t="s">
        <v>2238</v>
      </c>
    </row>
    <row r="63" spans="1:7">
      <c r="A63" s="6" t="s">
        <v>2239</v>
      </c>
      <c r="C63" s="6" t="s">
        <v>2240</v>
      </c>
      <c r="G63" s="6"/>
    </row>
    <row r="64" spans="1:7">
      <c r="A64" s="7" t="s">
        <v>2241</v>
      </c>
      <c r="C64" s="6" t="s">
        <v>2242</v>
      </c>
      <c r="G64" s="6"/>
    </row>
    <row r="65" spans="1:7">
      <c r="A65" s="6" t="s">
        <v>2243</v>
      </c>
      <c r="C65" s="6" t="s">
        <v>2244</v>
      </c>
      <c r="G65" s="6"/>
    </row>
    <row r="66" spans="1:7">
      <c r="A66" s="6" t="s">
        <v>2245</v>
      </c>
      <c r="C66" s="6" t="s">
        <v>2246</v>
      </c>
      <c r="G66" s="6"/>
    </row>
    <row r="67" spans="1:7">
      <c r="A67" s="7" t="s">
        <v>2247</v>
      </c>
      <c r="C67" s="6" t="s">
        <v>2248</v>
      </c>
      <c r="G67" s="6"/>
    </row>
    <row r="68" spans="1:7">
      <c r="A68" s="6" t="s">
        <v>2249</v>
      </c>
      <c r="C68" s="6" t="s">
        <v>2250</v>
      </c>
      <c r="G68" s="6"/>
    </row>
    <row r="69" spans="1:7">
      <c r="A69" s="6" t="s">
        <v>2251</v>
      </c>
      <c r="C69" s="6" t="s">
        <v>2252</v>
      </c>
    </row>
    <row r="70" spans="1:7">
      <c r="A70" s="6" t="s">
        <v>2253</v>
      </c>
      <c r="C70" s="6" t="s">
        <v>2254</v>
      </c>
    </row>
    <row r="71" spans="1:7">
      <c r="A71" s="6" t="s">
        <v>2255</v>
      </c>
      <c r="C71" s="197" t="s">
        <v>2256</v>
      </c>
      <c r="D71" s="177"/>
    </row>
    <row r="72" spans="1:7">
      <c r="A72" s="6" t="s">
        <v>2257</v>
      </c>
      <c r="C72" s="197" t="s">
        <v>2258</v>
      </c>
      <c r="D72" s="177"/>
    </row>
    <row r="73" spans="1:7">
      <c r="A73" s="6" t="s">
        <v>2259</v>
      </c>
      <c r="C73" s="197" t="s">
        <v>2260</v>
      </c>
      <c r="D73" s="177"/>
    </row>
    <row r="74" spans="1:7">
      <c r="A74" s="7" t="s">
        <v>2261</v>
      </c>
      <c r="C74" s="197" t="s">
        <v>2262</v>
      </c>
      <c r="D74" s="177"/>
    </row>
    <row r="75" spans="1:7">
      <c r="A75" s="6" t="s">
        <v>2263</v>
      </c>
      <c r="C75" s="197" t="s">
        <v>2264</v>
      </c>
      <c r="D75" s="177"/>
    </row>
    <row r="76" spans="1:7">
      <c r="A76" s="6" t="s">
        <v>2265</v>
      </c>
      <c r="C76" s="197" t="s">
        <v>2266</v>
      </c>
      <c r="D76" s="177"/>
    </row>
    <row r="77" spans="1:7">
      <c r="A77" s="6" t="s">
        <v>2267</v>
      </c>
      <c r="C77" s="198" t="s">
        <v>2268</v>
      </c>
      <c r="D77" s="199"/>
    </row>
    <row r="78" spans="1:7">
      <c r="A78" s="6"/>
      <c r="C78" s="198" t="s">
        <v>2269</v>
      </c>
      <c r="D78" s="199"/>
    </row>
    <row r="79" spans="1:7">
      <c r="A79" s="6" t="str">
        <f>VLOOKUP(640,Sprachindex!$A:$Z,Info!$O$7,FALSE)</f>
        <v>OHNE Wärmedämmung</v>
      </c>
      <c r="C79" s="198" t="s">
        <v>2270</v>
      </c>
      <c r="D79" s="198"/>
    </row>
    <row r="80" spans="1:7">
      <c r="A80" s="6" t="s">
        <v>2271</v>
      </c>
      <c r="C80" s="198" t="s">
        <v>2272</v>
      </c>
      <c r="D80" s="199"/>
    </row>
    <row r="81" spans="1:4">
      <c r="A81" s="6" t="s">
        <v>2273</v>
      </c>
      <c r="C81" s="198" t="s">
        <v>2274</v>
      </c>
      <c r="D81" s="199"/>
    </row>
    <row r="82" spans="1:4">
      <c r="A82" s="6" t="s">
        <v>2275</v>
      </c>
    </row>
    <row r="83" spans="1:4">
      <c r="A83" s="6" t="s">
        <v>2276</v>
      </c>
      <c r="C83" s="6" t="str">
        <f>VLOOKUP(640,Sprachindex!$A:$Z,Info!$O$7,FALSE)</f>
        <v>OHNE Wärmedämmung</v>
      </c>
    </row>
    <row r="84" spans="1:4">
      <c r="A84" s="6" t="s">
        <v>2277</v>
      </c>
      <c r="C84" s="6" t="s">
        <v>2278</v>
      </c>
    </row>
    <row r="85" spans="1:4">
      <c r="A85" s="6" t="s">
        <v>2279</v>
      </c>
      <c r="C85" s="6" t="s">
        <v>2280</v>
      </c>
    </row>
    <row r="86" spans="1:4">
      <c r="A86" s="6" t="s">
        <v>2281</v>
      </c>
      <c r="C86" s="6" t="s">
        <v>2282</v>
      </c>
    </row>
    <row r="87" spans="1:4">
      <c r="A87" s="6" t="s">
        <v>2283</v>
      </c>
      <c r="C87" s="6" t="s">
        <v>2284</v>
      </c>
    </row>
    <row r="88" spans="1:4">
      <c r="A88" s="6" t="s">
        <v>2285</v>
      </c>
      <c r="C88" s="6" t="s">
        <v>2286</v>
      </c>
    </row>
    <row r="89" spans="1:4">
      <c r="A89" s="6" t="s">
        <v>2287</v>
      </c>
      <c r="C89" s="6" t="s">
        <v>2288</v>
      </c>
    </row>
    <row r="90" spans="1:4">
      <c r="A90" s="6" t="s">
        <v>2289</v>
      </c>
      <c r="C90" s="6" t="s">
        <v>2290</v>
      </c>
    </row>
    <row r="91" spans="1:4">
      <c r="A91" s="6" t="s">
        <v>2291</v>
      </c>
      <c r="C91" s="6" t="s">
        <v>2292</v>
      </c>
    </row>
    <row r="92" spans="1:4">
      <c r="A92" s="6" t="s">
        <v>2293</v>
      </c>
      <c r="C92" s="6" t="s">
        <v>2294</v>
      </c>
    </row>
    <row r="93" spans="1:4">
      <c r="A93" s="6" t="s">
        <v>2295</v>
      </c>
      <c r="C93" s="6" t="s">
        <v>2296</v>
      </c>
    </row>
    <row r="94" spans="1:4">
      <c r="A94" s="6" t="s">
        <v>2297</v>
      </c>
      <c r="C94" s="6" t="s">
        <v>2298</v>
      </c>
    </row>
    <row r="95" spans="1:4">
      <c r="A95" s="6" t="s">
        <v>2299</v>
      </c>
      <c r="C95" s="6" t="s">
        <v>2300</v>
      </c>
    </row>
    <row r="96" spans="1:4">
      <c r="A96" s="6" t="s">
        <v>2301</v>
      </c>
      <c r="C96" s="6" t="s">
        <v>2302</v>
      </c>
    </row>
    <row r="97" spans="1:4">
      <c r="A97" s="6" t="s">
        <v>2303</v>
      </c>
      <c r="C97" s="6" t="s">
        <v>2304</v>
      </c>
    </row>
    <row r="98" spans="1:4">
      <c r="A98" s="6" t="s">
        <v>2305</v>
      </c>
      <c r="C98" s="6" t="s">
        <v>2306</v>
      </c>
    </row>
    <row r="99" spans="1:4">
      <c r="A99" s="6" t="s">
        <v>2307</v>
      </c>
      <c r="C99" s="6" t="s">
        <v>2308</v>
      </c>
    </row>
    <row r="100" spans="1:4">
      <c r="A100" s="6" t="s">
        <v>2309</v>
      </c>
      <c r="C100" s="6" t="s">
        <v>2310</v>
      </c>
    </row>
    <row r="101" spans="1:4">
      <c r="A101" s="6" t="s">
        <v>2311</v>
      </c>
      <c r="C101" s="197" t="s">
        <v>2312</v>
      </c>
      <c r="D101" s="177"/>
    </row>
    <row r="102" spans="1:4">
      <c r="A102" s="6" t="s">
        <v>2313</v>
      </c>
      <c r="C102" s="197" t="s">
        <v>2314</v>
      </c>
      <c r="D102" s="177"/>
    </row>
    <row r="103" spans="1:4">
      <c r="A103" s="6" t="s">
        <v>2315</v>
      </c>
      <c r="C103" s="197" t="s">
        <v>2316</v>
      </c>
      <c r="D103" s="177"/>
    </row>
    <row r="104" spans="1:4">
      <c r="C104" s="197" t="s">
        <v>2317</v>
      </c>
      <c r="D104" s="177"/>
    </row>
    <row r="105" spans="1:4">
      <c r="A105" s="6" t="str">
        <f>VLOOKUP(591,Sprachindex!$A:$Z,Info!$O$7,FALSE)</f>
        <v>Maße:</v>
      </c>
      <c r="C105" s="197" t="s">
        <v>2318</v>
      </c>
      <c r="D105" s="197"/>
    </row>
    <row r="106" spans="1:4">
      <c r="C106" s="197" t="s">
        <v>2319</v>
      </c>
      <c r="D106" s="177"/>
    </row>
    <row r="107" spans="1:4">
      <c r="A107" s="6" t="str">
        <f>VLOOKUP(617,Sprachindex!$A:$Z,Info!$O$7,FALSE)</f>
        <v>Moosgrün/Hellgrau</v>
      </c>
      <c r="C107" s="198" t="s">
        <v>2320</v>
      </c>
      <c r="D107" s="198"/>
    </row>
    <row r="108" spans="1:4">
      <c r="A108" s="6" t="str">
        <f>VLOOKUP(242,Sprachindex!$A:$Z,Info!$O$7,FALSE)</f>
        <v>Braun/Anthrazit</v>
      </c>
      <c r="C108" s="198" t="s">
        <v>2321</v>
      </c>
      <c r="D108" s="198"/>
    </row>
    <row r="109" spans="1:4">
      <c r="A109" s="6" t="str">
        <f>VLOOKUP(1031,Sprachindex!$A:$Z,Info!$O$7,FALSE)</f>
        <v>Ziegelrot/Oxydrot</v>
      </c>
      <c r="C109" s="198" t="s">
        <v>2322</v>
      </c>
      <c r="D109" s="198"/>
    </row>
    <row r="110" spans="1:4">
      <c r="A110" s="6"/>
      <c r="C110" s="198" t="s">
        <v>2323</v>
      </c>
      <c r="D110" s="198"/>
    </row>
    <row r="111" spans="1:4">
      <c r="A111" s="6" t="str">
        <f>VLOOKUP(54,Sprachindex!$A:$Z,Info!$O$7,FALSE)</f>
        <v>13 Naturblank</v>
      </c>
      <c r="C111" s="198" t="s">
        <v>2324</v>
      </c>
      <c r="D111" s="198"/>
    </row>
    <row r="113" spans="1:3">
      <c r="A113" s="6" t="str">
        <f>VLOOKUP(588,Sprachindex!$A:$Z,Info!$O$7,FALSE)</f>
        <v>m²</v>
      </c>
    </row>
    <row r="114" spans="1:3">
      <c r="A114" s="6" t="str">
        <f>VLOOKUP(878,Sprachindex!$A:$Z,Info!$O$7,FALSE)</f>
        <v>Stk.</v>
      </c>
    </row>
    <row r="115" spans="1:3">
      <c r="A115" s="6" t="str">
        <f>VLOOKUP(1512,Sprachindex!$A:$Z,Info!$O$7,FALSE)</f>
        <v>lfm</v>
      </c>
    </row>
    <row r="116" spans="1:3">
      <c r="A116" s="6" t="str">
        <f>VLOOKUP(515,Sprachindex!$A:$Z,Info!$O$7,FALSE)</f>
        <v>Karton</v>
      </c>
    </row>
    <row r="117" spans="1:3">
      <c r="A117" s="6" t="str">
        <f>VLOOKUP(531,Sprachindex!$A:$Z,Info!$O$7,FALSE)</f>
        <v>kg</v>
      </c>
    </row>
    <row r="118" spans="1:3">
      <c r="A118" s="6" t="str">
        <f>VLOOKUP(748,Sprachindex!$A:$Z,Info!$O$7,FALSE)</f>
        <v>Rolle</v>
      </c>
    </row>
    <row r="119" spans="1:3">
      <c r="A119" s="6" t="str">
        <f>VLOOKUP(749,Sprachindex!$A:$Z,Info!$O$7,FALSE)</f>
        <v>Rollen</v>
      </c>
    </row>
    <row r="120" spans="1:3">
      <c r="A120" s="6" t="s">
        <v>2325</v>
      </c>
    </row>
    <row r="121" spans="1:3">
      <c r="A121" s="6" t="str">
        <f>VLOOKUP(1433,Sprachindex!$A:$Z,Info!$O$7,FALSE)</f>
        <v>Magazin</v>
      </c>
    </row>
    <row r="122" spans="1:3">
      <c r="A122" s="6" t="str">
        <f>VLOOKUP(460,Sprachindex!$A:$Z,Info!$O$7,FALSE)</f>
        <v>Hellgrau/Hellgrau</v>
      </c>
    </row>
    <row r="123" spans="1:3">
      <c r="A123" s="6" t="str">
        <f>VLOOKUP(1436,Sprachindex!$A:$Z,Info!$O$7,FALSE)</f>
        <v>Sets</v>
      </c>
    </row>
    <row r="124" spans="1:3">
      <c r="A124" t="str">
        <f>VLOOKUP(25,Sprachindex!$A:$Z,Info!$O$7,FALSE)</f>
        <v>01 P.10 Braun</v>
      </c>
    </row>
    <row r="125" spans="1:3">
      <c r="A125" s="6" t="str">
        <f>VLOOKUP(242,Sprachindex!$A:$Z,Info!$O$7,FALSE)</f>
        <v>Braun/Anthrazit</v>
      </c>
      <c r="C125" s="15"/>
    </row>
    <row r="126" spans="1:3">
      <c r="A126" s="6" t="str">
        <f>VLOOKUP(460,Sprachindex!$A:$Z,Info!$O$7,FALSE)</f>
        <v>Hellgrau/Hellgrau</v>
      </c>
      <c r="C126" s="15"/>
    </row>
    <row r="127" spans="1:3">
      <c r="A127" t="str">
        <f>VLOOKUP(30,Sprachindex!$A:$Z,Info!$O$7,FALSE)</f>
        <v>04 P.10 Ziegelrot</v>
      </c>
    </row>
    <row r="128" spans="1:3">
      <c r="A128" s="6" t="str">
        <f>VLOOKUP(25,Sprachindex!$A:$Z,Info!$O$7,FALSE)</f>
        <v>01 P.10 Braun</v>
      </c>
    </row>
    <row r="129" spans="1:4">
      <c r="A129" s="6" t="str">
        <f>VLOOKUP(27,Sprachindex!$A:$Z,Info!$O$7,FALSE)</f>
        <v>02 P.10 Anthrazit</v>
      </c>
    </row>
    <row r="130" spans="1:4">
      <c r="A130" s="6" t="str">
        <f>VLOOKUP(28,Sprachindex!$A:$Z,Info!$O$7,FALSE)</f>
        <v>03 P.10 Schwarz</v>
      </c>
    </row>
    <row r="131" spans="1:4">
      <c r="A131" s="6" t="str">
        <f>VLOOKUP(30,Sprachindex!$A:$Z,Info!$O$7,FALSE)</f>
        <v>04 P.10 Ziegelrot</v>
      </c>
    </row>
    <row r="132" spans="1:4">
      <c r="A132" s="6" t="str">
        <f>VLOOKUP(33,Sprachindex!$A:$Z,Info!$O$7,FALSE)</f>
        <v>05 P.10 Oxydrot</v>
      </c>
    </row>
    <row r="133" spans="1:4">
      <c r="A133" s="6" t="str">
        <f>VLOOKUP(35,Sprachindex!$A:$Z,Info!$O$7,FALSE)</f>
        <v>06 P.10 Moosgrün</v>
      </c>
      <c r="D133" s="67"/>
    </row>
    <row r="134" spans="1:4">
      <c r="A134" s="6" t="str">
        <f>VLOOKUP(37,Sprachindex!$A:$Z,Info!$O$7,FALSE)</f>
        <v>07 P.10 Hellgrau</v>
      </c>
      <c r="D134" s="68"/>
    </row>
    <row r="135" spans="1:4">
      <c r="A135" s="6" t="str">
        <f>VLOOKUP(51,Sprachindex!$A:$Z,Info!$O$7,FALSE)</f>
        <v>11 P.10 Nussbraun</v>
      </c>
    </row>
    <row r="136" spans="1:4">
      <c r="A136" s="6" t="str">
        <f>VLOOKUP(63,Sprachindex!$A:$Z,Info!$O$7,FALSE)</f>
        <v>19 P.10 Dunkelgrau</v>
      </c>
    </row>
    <row r="137" spans="1:4">
      <c r="A137" s="6" t="str">
        <f>VLOOKUP(110,Sprachindex!$A:$Z,Info!$O$7,FALSE)</f>
        <v>43 P.10 Steingrau</v>
      </c>
    </row>
    <row r="140" spans="1:4">
      <c r="A140" s="15" t="str">
        <f>VLOOKUP(257,Sprachindex!$A:$Z,Info!$O$7,FALSE)</f>
        <v>Dachlukendeckel mit Holzrahmen  (Innenmaß: 600 × 600 mm)</v>
      </c>
    </row>
    <row r="141" spans="1:4">
      <c r="A141" s="15" t="str">
        <f>VLOOKUP(464,Sprachindex!$A:$Z,Info!$O$7,FALSE)</f>
        <v>Holzrahmen (Innenmaß: 600 × 600 mm)</v>
      </c>
    </row>
    <row r="142" spans="1:4">
      <c r="A142" s="15" t="str">
        <f>VLOOKUP(258,Sprachindex!$A:$Z,Info!$O$7,FALSE)</f>
        <v>Dachlukendeckel (Innenmaß: 600 × 600 mm)</v>
      </c>
    </row>
    <row r="143" spans="1:4">
      <c r="B143" t="str">
        <f>VLOOKUP(2208,Sprachindex!$A:$Z,Info!$O$7,FALSE)</f>
        <v>600 mm</v>
      </c>
    </row>
    <row r="144" spans="1:4">
      <c r="A144" t="str">
        <f>VLOOKUP(2209,Sprachindex!$A:$Z,Info!$O$7,FALSE)</f>
        <v>1.500 mm</v>
      </c>
      <c r="B144" t="str">
        <f>VLOOKUP(2209,Sprachindex!$A:$Z,Info!$O$7,FALSE)</f>
        <v>1.500 mm</v>
      </c>
    </row>
    <row r="145" spans="1:5">
      <c r="A145" t="str">
        <f>VLOOKUP(2210,Sprachindex!$A:$Z,Info!$O$7,FALSE)</f>
        <v>3.000 mm</v>
      </c>
      <c r="B145" t="str">
        <f>VLOOKUP(2210,Sprachindex!$A:$Z,Info!$O$7,FALSE)</f>
        <v>3.000 mm</v>
      </c>
    </row>
    <row r="147" spans="1:5">
      <c r="A147" t="str">
        <f>VLOOKUP(18,Sprachindex!$A:$Z,Info!$O$7,FALSE)</f>
        <v>⌀ 100 mm; passend für HT/KG (NW 110 mm)</v>
      </c>
    </row>
    <row r="148" spans="1:5">
      <c r="A148" t="str">
        <f>VLOOKUP(19,Sprachindex!$A:$Z,Info!$O$7,FALSE)</f>
        <v>⌀ 115 mm; passend für HT/KG (NW 125 mm)</v>
      </c>
    </row>
    <row r="150" spans="1:5">
      <c r="A150" t="str">
        <f>VLOOKUP(91,Sprachindex!$A:$Z,Info!$O$7,FALSE)</f>
        <v>333 mm / 100 × 100 mm</v>
      </c>
    </row>
    <row r="151" spans="1:5">
      <c r="A151" t="str">
        <f>VLOOKUP(103,Sprachindex!$A:$Z,Info!$O$7,FALSE)</f>
        <v>400 mm / 100 × 100 mm</v>
      </c>
    </row>
    <row r="152" spans="1:5">
      <c r="B152" t="s">
        <v>29771</v>
      </c>
    </row>
    <row r="153" spans="1:5">
      <c r="B153" t="str">
        <f>VLOOKUP(57,Sprachindex!$A:$Z,Info!$O$7,FALSE)</f>
        <v>140 mm</v>
      </c>
    </row>
    <row r="154" spans="1:5">
      <c r="B154" t="str">
        <f>VLOOKUP(69,Sprachindex!$A:$Z,Info!$O$7,FALSE)</f>
        <v>200 mm</v>
      </c>
    </row>
    <row r="155" spans="1:5">
      <c r="B155" t="str">
        <f>VLOOKUP(90,Sprachindex!$A:$Z,Info!$O$7,FALSE)</f>
        <v>330 mm</v>
      </c>
    </row>
    <row r="157" spans="1:5">
      <c r="A157" t="str">
        <f>VLOOKUP(48,Sprachindex!$A:$Z,Info!$O$7,FALSE)</f>
        <v>100–160 mm</v>
      </c>
    </row>
    <row r="158" spans="1:5">
      <c r="A158" t="str">
        <f>VLOOKUP(61,Sprachindex!$A:$Z,Info!$O$7,FALSE)</f>
        <v>180–220 mm</v>
      </c>
    </row>
    <row r="160" spans="1:5">
      <c r="A160" t="str">
        <f>VLOOKUP(49,Sprachindex!$A:$Z,Info!$O$7,FALSE)</f>
        <v>100–180 mm</v>
      </c>
      <c r="E160" t="s">
        <v>2326</v>
      </c>
    </row>
    <row r="161" spans="1:5">
      <c r="A161" t="str">
        <f>VLOOKUP(62,Sprachindex!$A:$Z,Info!$O$7,FALSE)</f>
        <v>180–260 mm</v>
      </c>
      <c r="E161" s="22" t="s">
        <v>2327</v>
      </c>
    </row>
    <row r="162" spans="1:5">
      <c r="E162" s="22"/>
    </row>
    <row r="163" spans="1:5">
      <c r="A163" t="str">
        <f>VLOOKUP(83,Sprachindex!$A:$Z,Info!$O$7,FALSE)</f>
        <v>3 m</v>
      </c>
      <c r="B163" s="15" t="str">
        <f>IF(RI!O24=1,RI!G25,IF(RI!O24=2,RI!G26,IF(RI!O24=3,RI!G27,IF(RI!O24=4,RI!G28,IF(RI!O24=5,VLOOKUP(305,Sprachindex!$A:$Z,Info!$O$7,FALSE),"")))))</f>
        <v/>
      </c>
      <c r="E163" s="22" t="str">
        <f>IF(RI!O24=0,"",IF(B163= 305,"",A163))</f>
        <v/>
      </c>
    </row>
    <row r="164" spans="1:5">
      <c r="A164" t="str">
        <f>VLOOKUP(121,Sprachindex!$A:$Z,Info!$O$7,FALSE)</f>
        <v>6 m</v>
      </c>
      <c r="B164" s="15" t="str">
        <f>IF(RI!O24=1,RI!G25,IF(RI!O24=2,RI!G26,IF(RI!O24=3,RI!G27,IF(RI!O24=4,RI!G28,IF(RI!O24=5,VLOOKUP(305,Sprachindex!$A:$Z,Info!$O$7,FALSE),"")))))</f>
        <v/>
      </c>
      <c r="E164" s="22" t="str">
        <f>IF(RI!O24=0,"",IF(B164= 305,"",A164))</f>
        <v/>
      </c>
    </row>
    <row r="165" spans="1:5">
      <c r="B165" s="15"/>
    </row>
    <row r="166" spans="1:5">
      <c r="B166" s="15"/>
      <c r="E166" s="22" t="s">
        <v>2328</v>
      </c>
    </row>
    <row r="167" spans="1:5">
      <c r="E167" s="24"/>
    </row>
    <row r="168" spans="1:5">
      <c r="A168" t="str">
        <f>VLOOKUP(635,Sprachindex!$A:$Z,Info!$O$7,FALSE)</f>
        <v>normal</v>
      </c>
      <c r="B168" t="str">
        <f>IF(RI!O24=1,RI!G25,IF(RI!O24=2,RI!G26,IF(RI!O24=3,RI!G27,IF(RI!O24=4,RI!G28,IF(RI!O24=5,VLOOKUP(305,Sprachindex!$A:$Z,Info!$O$7,FALSE),"")))))</f>
        <v/>
      </c>
      <c r="E168" s="24" t="str">
        <f>IF(RI!O24=0,"",IF(RI!O24=5,"",A168))</f>
        <v/>
      </c>
    </row>
    <row r="169" spans="1:5">
      <c r="A169" t="str">
        <f>VLOOKUP(547,Sprachindex!$A:$Z,Info!$O$7,FALSE)</f>
        <v>kurz</v>
      </c>
      <c r="B169" t="str">
        <f>IF(RI!O24=1,RI!G25,IF(RI!O24=2,RI!G26,IF(RI!O24=3,RI!G27,IF(RI!O24=4,RI!G28,IF(RI!O24=5,VLOOKUP(305,Sprachindex!$A:$Z,Info!$O$7,FALSE),"")))))</f>
        <v/>
      </c>
      <c r="E169" s="24" t="str">
        <f>IF(RI!O24=0,"",IF(RI!O24=4,"",IF(RI!O24=5,"",A169)))</f>
        <v/>
      </c>
    </row>
    <row r="170" spans="1:5">
      <c r="A170" t="str">
        <f>VLOOKUP(551,Sprachindex!$A:$Z,Info!$O$7,FALSE)</f>
        <v>lang</v>
      </c>
      <c r="B170" t="str">
        <f>IF(RI!O24=1,RI!G25,IF(RI!O24=2,RI!G26,IF(RI!O24=3,RI!G27,IF(RI!O24=4,RI!G28,IF(RI!O24=5,VLOOKUP(305,Sprachindex!$A:$Z,Info!$O$7,FALSE),"")))))</f>
        <v/>
      </c>
      <c r="E170" s="22" t="str">
        <f>IF(RI!O24=0,"",IF(RI!O24=1,"",IF(RI!O24=4,"",IF(RI!O24=5,"",A170))))</f>
        <v/>
      </c>
    </row>
    <row r="172" spans="1:5">
      <c r="E172" s="22" t="s">
        <v>2329</v>
      </c>
    </row>
    <row r="173" spans="1:5">
      <c r="E173" s="22"/>
    </row>
    <row r="174" spans="1:5">
      <c r="A174" t="str">
        <f>VLOOKUP(121,Sprachindex!$A:$Z,Info!$O$7,FALSE)</f>
        <v>6 m</v>
      </c>
      <c r="B174" t="str">
        <f>IF(RI!O24=1,RI!G25,IF(RI!O24=2,RI!G26,IF(RI!O24=3,RI!G27,IF(RI!O24=4,RI!G28,IF(RI!O24=5,RI!G29,"")))))</f>
        <v/>
      </c>
      <c r="E174" s="22" t="str">
        <f>IF(RI!O24=0,"",B174 &amp; ", " &amp;A174)</f>
        <v/>
      </c>
    </row>
    <row r="175" spans="1:5">
      <c r="A175" t="str">
        <f>VLOOKUP(83,Sprachindex!$A:$Z,Info!$O$7,FALSE)</f>
        <v>3 m</v>
      </c>
      <c r="B175" t="str">
        <f>IF(RI!O24=1,RI!G25,IF(RI!O24=2,RI!G26,IF(RI!O24=3,RI!G27,IF(RI!O24=4,RI!G28,IF(RI!O24=5,RI!G29,"")))))</f>
        <v/>
      </c>
      <c r="E175" s="22" t="str">
        <f>IF(RI!O24=0,"",IF(RI!O24=4,"",B175 &amp; ", " &amp;A175))</f>
        <v/>
      </c>
    </row>
    <row r="177" spans="1:6">
      <c r="A177" s="21" t="str">
        <f>VLOOKUP(305,Sprachindex!$A:$Z,Info!$O$7,FALSE)</f>
        <v>Dimension nicht möglich</v>
      </c>
      <c r="E177" s="22" t="s">
        <v>2330</v>
      </c>
    </row>
    <row r="178" spans="1:6">
      <c r="E178" s="22"/>
    </row>
    <row r="179" spans="1:6">
      <c r="A179" t="str">
        <f>VLOOKUP(635,Sprachindex!$A:$Z,Info!$O$7,FALSE)</f>
        <v>normal</v>
      </c>
      <c r="B179" t="str">
        <f>IF(RI!O24=1,RI!G25,IF(RI!O24=2,RI!G26,IF(RI!O24=3,RI!G27,IF(RI!O24=4,RI!G28,IF(RI!O24=5,VLOOKUP(305,Sprachindex!$A:$Z,Info!$O$7,FALSE),"")))))</f>
        <v/>
      </c>
      <c r="E179" s="22" t="str">
        <f>IF(RI!O24=3, A179,IF(RI!O24=4,A179,IF(RI!O24=2, A179,"")))</f>
        <v/>
      </c>
    </row>
    <row r="180" spans="1:6">
      <c r="A180" t="str">
        <f>VLOOKUP(547,Sprachindex!$A:$Z,Info!$O$7,FALSE)</f>
        <v>kurz</v>
      </c>
      <c r="B180" t="str">
        <f>IF(RI!O24=1,RI!G25,IF(RI!O24=2,RI!G26,IF(RI!O24=3,RI!G27,IF(RI!O24=4,RI!G28,IF(RI!O24=5,VLOOKUP(305,Sprachindex!$A:$Z,Info!$O$7,FALSE),"")))))</f>
        <v/>
      </c>
      <c r="E180" t="str">
        <f>IF(RI!O24=3,A180,"")</f>
        <v/>
      </c>
    </row>
    <row r="182" spans="1:6">
      <c r="A182" s="22" t="s">
        <v>2331</v>
      </c>
      <c r="B182" s="22"/>
    </row>
    <row r="183" spans="1:6">
      <c r="A183" s="22" t="str">
        <f>IF(RI!O24=0,"",IF(RI!O24=1,RI!G25,IF(RI!O24=2,RI!G26,IF(RI!O24=3,RI!G27,IF(RI!O24=4,RI!G28,IF(RI!O24=5,VLOOKUP(305,Sprachindex!$A:$Z,Info!$O$7,FALSE),""))))))</f>
        <v/>
      </c>
      <c r="B183" s="22"/>
    </row>
    <row r="185" spans="1:6">
      <c r="A185" s="22" t="s">
        <v>2332</v>
      </c>
      <c r="B185" s="22"/>
    </row>
    <row r="186" spans="1:6">
      <c r="A186" s="22" t="str">
        <f>IF(RI!O24=0,"",IF(RI!O24=1,RI!G25,IF(RI!O24=5,RI!G29,IF(RI!O24=3,RI!G27,IF(RI!O24=4,RI!G28,IF(RI!O24=2,VLOOKUP(305,Sprachindex!$A:$Z,Info!$O$7,FALSE),A177))))))</f>
        <v/>
      </c>
      <c r="B186" s="22"/>
    </row>
    <row r="188" spans="1:6">
      <c r="A188" s="22" t="s">
        <v>2333</v>
      </c>
      <c r="B188" s="22"/>
    </row>
    <row r="189" spans="1:6">
      <c r="A189" s="22" t="str">
        <f>IF(RI!O24=0,"",IF(RI!O24=1,RI!G25,IF(RI!O24=3,RI!G27,IF(RI!O24=4,RI!G28,A177))))</f>
        <v/>
      </c>
      <c r="B189" s="22"/>
    </row>
    <row r="192" spans="1:6">
      <c r="A192" t="str">
        <f>IF(AND(RI!O24=1,RI!O25=2),Formeln!E192 &amp; " x " &amp; Formeln!F193,IF(AND(RI!O24=3,RI!O25=3),E194 &amp; " x " &amp; F194,IF(AND(RI!O24=4,RI!O25=4),Formeln!E195 &amp; " x " &amp; Formeln!F195,IF(AND(RI!O24=5,RI!O25=4),Formeln!E196 &amp; " x " &amp; Formeln!F195,A177))))</f>
        <v>Dimension nicht möglich</v>
      </c>
      <c r="E192" s="20">
        <f>VLOOKUP(1,Sprachindex!$A:$Z,Info!O7,FALSE)</f>
        <v>250</v>
      </c>
      <c r="F192" s="19" t="str">
        <f>VLOOKUP(125,Sprachindex!$A:$Z,Info!O7,FALSE)</f>
        <v>⌀ 60</v>
      </c>
    </row>
    <row r="193" spans="1:7">
      <c r="A193" t="str">
        <f>IF(RI!O25=1,Formeln!F192,IF(RI!O25=2,Formeln!F193,IF(RI!O25=3,Formeln!F194,IF(RI!O25=4,Formeln!F195,IF(RI!O25=5,Formeln!F196,"")))))</f>
        <v/>
      </c>
      <c r="E193" s="20">
        <f>VLOOKUP(2,Sprachindex!$A:$Z,Info!O7,FALSE)</f>
        <v>280</v>
      </c>
      <c r="F193" s="19" t="str">
        <f>VLOOKUP(133,Sprachindex!$A:$Z,Info!O7,FALSE)</f>
        <v>⌀ 80</v>
      </c>
      <c r="G193" s="19" t="str">
        <f>VLOOKUP(133,Sprachindex!$A:$Z,Info!O7,FALSE)</f>
        <v>⌀ 80</v>
      </c>
    </row>
    <row r="194" spans="1:7">
      <c r="E194" s="20">
        <f>VLOOKUP(3,Sprachindex!$A:$Z,Info!O7,FALSE)</f>
        <v>333</v>
      </c>
      <c r="F194" s="19" t="str">
        <f>VLOOKUP(45,Sprachindex!$A:$Z,Info!O7,FALSE)</f>
        <v>⌀ 100</v>
      </c>
      <c r="G194" s="19" t="str">
        <f>VLOOKUP(45,Sprachindex!$A:$Z,Info!O7,FALSE)</f>
        <v>⌀ 100</v>
      </c>
    </row>
    <row r="195" spans="1:7">
      <c r="E195" s="20">
        <f>VLOOKUP(4,Sprachindex!$A:$Z,Info!O7,FALSE)</f>
        <v>400</v>
      </c>
      <c r="F195" s="19" t="str">
        <f>VLOOKUP(53,Sprachindex!$A:$Z,Info!O7,FALSE)</f>
        <v>⌀ 120</v>
      </c>
      <c r="G195" s="19" t="str">
        <f>VLOOKUP(53,Sprachindex!$A:$Z,Info!O7,FALSE)</f>
        <v>⌀ 120</v>
      </c>
    </row>
    <row r="196" spans="1:7">
      <c r="E196" s="20">
        <f>VLOOKUP(5,Sprachindex!$A:$Z,Info!O7,FALSE)</f>
        <v>500</v>
      </c>
      <c r="F196" s="19" t="str">
        <f>VLOOKUP(58,Sprachindex!$A:$Z,Info!O7,FALSE)</f>
        <v>⌀ 150</v>
      </c>
    </row>
    <row r="198" spans="1:7">
      <c r="A198" s="22" t="s">
        <v>2334</v>
      </c>
      <c r="B198" s="22"/>
    </row>
    <row r="199" spans="1:7">
      <c r="A199" s="22" t="str">
        <f>IF(RI!O24=0,"",IF(AND(RI!O24=1,RI!O25=2),E192 &amp; " x " &amp;F193,IF(AND(RI!O24=2,RI!O25=2),E193 &amp; " x " &amp;F193,IF(AND(RI!O24=3,RI!O25=2),E194 &amp; " x " &amp;F193,IF(AND(RI!O24=4,RI!O25=4),E195 &amp; " x " &amp;F195,IF(AND(RI!O24=2,RI!O25=3),E193 &amp; " x " &amp;F194,IF(AND(RI!O24=3,RI!O25=3),E194 &amp; " x " &amp;F194,IF(AND(RI!O24=4,RI!O25=5),E195 &amp; " x " &amp;F196,IF(AND(RI!O24=3,RI!O25=4),E194 &amp; " x " &amp;F195,IF(AND(RI!O24=1,RI!O25=1),E192 &amp; " x " &amp;F192,A177))))))))))</f>
        <v/>
      </c>
      <c r="B199" s="22"/>
    </row>
    <row r="201" spans="1:7">
      <c r="A201" s="22" t="s">
        <v>2335</v>
      </c>
      <c r="B201" s="22"/>
    </row>
    <row r="202" spans="1:7">
      <c r="A202" s="22" t="str">
        <f>IF(RI!O24=0,"",IF(AND(RI!O24=1,RI!O25=2),Formeln!E192 &amp; " x " &amp; Formeln!F193,IF(AND(RI!O24=2,RI!O25=2),Formeln!E193 &amp; " x " &amp; Formeln!F193,IF(AND(RI!O24=3,RI!O25=2),Formeln!E194 &amp; " x " &amp; Formeln!F193,IF(AND(RI!O24=2,RI!O25=3),Formeln!E193 &amp; " x " &amp; Formeln!F194,IF(AND(RI!O24=3,RI!O25=3),Formeln!E194 &amp; " x " &amp; Formeln!F194,IF(AND(RI!O24=3,RI!O25=4),Formeln!E194 &amp; " x " &amp; Formeln!F195,IF(AND(RI!O24=4,RI!O25=4),Formeln!E195 &amp; " x " &amp; Formeln!F195,A177))))))))</f>
        <v/>
      </c>
      <c r="B202" s="22"/>
    </row>
    <row r="204" spans="1:7">
      <c r="A204" s="22" t="s">
        <v>2336</v>
      </c>
      <c r="B204" s="22"/>
      <c r="C204" s="22"/>
      <c r="D204" s="22"/>
      <c r="E204" s="22"/>
    </row>
    <row r="205" spans="1:7">
      <c r="A205" s="22"/>
      <c r="B205" s="22"/>
      <c r="C205" s="22"/>
      <c r="D205" s="22"/>
      <c r="E205" s="22"/>
    </row>
    <row r="206" spans="1:7">
      <c r="A206" s="22" t="str">
        <f>VLOOKUP(121,Sprachindex!$A:$Z,Info!$O$7,FALSE)</f>
        <v>6 m</v>
      </c>
      <c r="B206" s="22" t="str">
        <f>IF(RI!O24=1,RI!G25,IF(RI!O24=5,RI!G29,IF(RI!O24=3,RI!G27,IF(RI!O24=4,RI!G28,IF(RI!O24="","",A177)))))</f>
        <v>Dimension nicht möglich</v>
      </c>
      <c r="C206" s="22"/>
      <c r="D206" s="22"/>
      <c r="E206" s="22" t="str">
        <f>IF(B206=A177,"",A206)</f>
        <v/>
      </c>
    </row>
    <row r="207" spans="1:7">
      <c r="A207" s="22" t="str">
        <f>VLOOKUP(83,Sprachindex!$A:$Z,Info!$O$7,FALSE)</f>
        <v>3 m</v>
      </c>
      <c r="B207" s="22" t="str">
        <f>IF(RI!O24=1,RI!G25,IF(RI!O24=5,RI!G29,IF(RI!O24=3,RI!G27,IF(RI!O24=4,RI!G28,IF(RI!O24="","",A177)))))</f>
        <v>Dimension nicht möglich</v>
      </c>
      <c r="C207" s="22"/>
      <c r="D207" s="22"/>
      <c r="E207" s="22" t="str">
        <f>IF(B207=A177,"",A207)</f>
        <v/>
      </c>
    </row>
    <row r="209" spans="1:5">
      <c r="A209" s="23" t="s">
        <v>2337</v>
      </c>
      <c r="B209" s="22"/>
      <c r="C209" s="22"/>
      <c r="D209" s="22"/>
      <c r="E209" s="22"/>
    </row>
    <row r="210" spans="1:5">
      <c r="A210" s="23" t="str">
        <f>IF(RI!O24=0,"",IF(RI!O24=1,D210,IF(RI!O24=3,D211,IF(RI!O24=4,D212,IF(RI!O24=5,D213,A177)))))</f>
        <v/>
      </c>
      <c r="B210" s="22"/>
      <c r="C210" s="22"/>
      <c r="D210" s="22" t="str">
        <f>VLOOKUP(2211,Sprachindex!$A:$Z,Info!$O$7,FALSE)</f>
        <v>250/23 × 7</v>
      </c>
      <c r="E210" s="22"/>
    </row>
    <row r="211" spans="1:5">
      <c r="A211" s="22"/>
      <c r="B211" s="22"/>
      <c r="C211" s="22"/>
      <c r="D211" s="22" t="str">
        <f>VLOOKUP(2212,Sprachindex!$A:$Z,Info!$O$7,FALSE)</f>
        <v>333/28 × 7</v>
      </c>
      <c r="E211" s="22"/>
    </row>
    <row r="212" spans="1:5">
      <c r="A212" s="22"/>
      <c r="B212" s="22"/>
      <c r="C212" s="22"/>
      <c r="D212" s="22" t="str">
        <f>VLOOKUP(2213,Sprachindex!$A:$Z,Info!$O$7,FALSE)</f>
        <v>400/30 × 7</v>
      </c>
      <c r="E212" s="22"/>
    </row>
    <row r="213" spans="1:5">
      <c r="A213" s="22"/>
      <c r="B213" s="22"/>
      <c r="C213" s="22"/>
      <c r="D213" s="22" t="str">
        <f>VLOOKUP(2214,Sprachindex!$A:$Z,Info!$O$7,FALSE)</f>
        <v>500/35 × 7</v>
      </c>
      <c r="E213" s="22"/>
    </row>
    <row r="217" spans="1:5">
      <c r="A217" s="23" t="s">
        <v>2338</v>
      </c>
      <c r="B217" s="23"/>
      <c r="C217" s="22"/>
      <c r="D217" s="22"/>
    </row>
    <row r="218" spans="1:5">
      <c r="A218" s="23" t="str">
        <f>IF(RI!O24=0,"",IF(RI!O24=1,D218,IF(RI!O24=3,D219,A177)))</f>
        <v/>
      </c>
      <c r="B218" s="23"/>
      <c r="C218" s="22"/>
      <c r="D218" s="22" t="str">
        <f>VLOOKUP(2211,Sprachindex!$A:$Z,Info!$O$7,FALSE)</f>
        <v>250/23 × 7</v>
      </c>
    </row>
    <row r="219" spans="1:5">
      <c r="A219" s="22"/>
      <c r="B219" s="22"/>
      <c r="C219" s="22"/>
      <c r="D219" s="22" t="str">
        <f>VLOOKUP(2212,Sprachindex!$A:$Z,Info!$O$7,FALSE)</f>
        <v>333/28 × 7</v>
      </c>
    </row>
    <row r="221" spans="1:5">
      <c r="A221" s="22" t="s">
        <v>2339</v>
      </c>
      <c r="B221" s="22"/>
    </row>
    <row r="222" spans="1:5">
      <c r="A222" s="22" t="str">
        <f>IF(RI!O24=0,"",IF(RI!O24=1,E192,IF(RI!O24=3,E194,IF(RI!O24=4,E195,A177))))</f>
        <v/>
      </c>
      <c r="B222" s="22"/>
    </row>
    <row r="224" spans="1:5">
      <c r="A224" s="22" t="s">
        <v>2340</v>
      </c>
      <c r="B224" s="22"/>
    </row>
    <row r="225" spans="1:5">
      <c r="A225" s="22" t="str">
        <f>IF(OR(RI!O24=0,RI!O25=0),"",IF(AND(RI!O24=1,RI!O25=2),Formeln!E192&amp;" x "&amp;Formeln!F193,IF(AND(RI!O24=3,RI!O25=3),Formeln!E194&amp;" x "&amp;Formeln!F194,IF(AND(RI!O24=4,RI!O25=4),Formeln!E195 &amp; " x " &amp; Formeln!F195,IF(AND(RI!O24=5,RI!O25=4),Formeln!E196 &amp; " x " &amp; Formeln!F195,IF(AND(RI!O24=5,RI!O25=5),Formeln!E196 &amp; " x " &amp; Formeln!F196,A177))))))</f>
        <v/>
      </c>
      <c r="B225" s="22"/>
      <c r="E225" s="22"/>
    </row>
    <row r="226" spans="1:5">
      <c r="E226" s="22" t="str">
        <f>IF(AND(RI!$O$24=0,RI!$O$25=0),"",IF(AND(RI!O24=1,RI!O25=2),Formeln!E192 &amp; " x " &amp; Formeln!F193,IF(AND(RI!O24=3,RI!O25=3),Formeln!E194 &amp; " x " &amp; Formeln!F194,IF(AND(RI!O24=4,RI!O25=4),Formeln!E195 &amp; " x " &amp; Formeln!F195,IF(AND(RI!O24=5,RI!O25=4),Formeln!E196 &amp; " x " &amp; Formeln!F195,A177)))))</f>
        <v/>
      </c>
    </row>
    <row r="227" spans="1:5">
      <c r="E227" s="22" t="str">
        <f>IF(AND(RI!O24=5,RI!O25=5),E196 &amp; " x " &amp; F196,"")</f>
        <v/>
      </c>
    </row>
    <row r="229" spans="1:5">
      <c r="A229" s="22" t="s">
        <v>2341</v>
      </c>
      <c r="B229" s="22"/>
    </row>
    <row r="230" spans="1:5">
      <c r="A230" s="22" t="str">
        <f>IF(RI!O25=0,"",IF(RI!O25=2,F193,IF(RI!O25=3,F194,IF(RI!O25=4,F195,IF(RI!O25=5,F196,A177)))))</f>
        <v/>
      </c>
    </row>
    <row r="232" spans="1:5">
      <c r="A232" s="22" t="s">
        <v>2342</v>
      </c>
      <c r="B232" s="22"/>
      <c r="C232" s="22"/>
      <c r="D232" s="22"/>
    </row>
    <row r="233" spans="1:5">
      <c r="A233" s="22" t="str">
        <f>IF(RI!O25=0,"",IF(RI!O25=1,F192,IF(RI!O25=2,F193,IF(RI!O25=3,F194,IF(RI!O25=4,F195,IF(RI!O25=5,F196,A177))))))</f>
        <v/>
      </c>
    </row>
    <row r="235" spans="1:5">
      <c r="A235" s="22" t="s">
        <v>2343</v>
      </c>
    </row>
    <row r="236" spans="1:5">
      <c r="A236" s="22" t="str">
        <f>IF(RI!O25=1,F192,IF(RI!O25=2,F193,IF(RI!O25=3,F194,IF(RI!O25=4,F195,IF(RI!O25=5,F196,"")))))</f>
        <v/>
      </c>
    </row>
    <row r="238" spans="1:5">
      <c r="A238" s="22" t="s">
        <v>2344</v>
      </c>
    </row>
    <row r="239" spans="1:5">
      <c r="A239" s="22" t="str">
        <f>IF(RI!O25=0,"",IF(RI!O25=2,F193,IF(RI!O25=3,F194,IF(RI!O25=4,F195,A177))))</f>
        <v/>
      </c>
    </row>
    <row r="241" spans="1:3">
      <c r="A241" s="22" t="s">
        <v>2345</v>
      </c>
    </row>
    <row r="242" spans="1:3">
      <c r="A242" s="22"/>
    </row>
    <row r="243" spans="1:3">
      <c r="A243" s="22" t="str">
        <f>IF(RI!O25=2,"80 x " &amp; F192,IF(RI!O25=3,"100 x " &amp; F192,IF(RI!O25=4,"120 x " &amp; F193,"")))</f>
        <v/>
      </c>
      <c r="B243">
        <v>1</v>
      </c>
    </row>
    <row r="244" spans="1:3">
      <c r="A244" s="22" t="str">
        <f>IF(RI!O25=2,"80 x " &amp; F193,IF(RI!O25=3,"100 x " &amp; F193,IF(RI!O25=4,"120 x " &amp; F194,"")))</f>
        <v/>
      </c>
      <c r="B244">
        <v>2</v>
      </c>
    </row>
    <row r="245" spans="1:3">
      <c r="A245" s="22" t="str">
        <f>IF(RI!O25=3,"100 x " &amp; F194,IF(RI!O25=4,"120 x " &amp; F195,""))</f>
        <v/>
      </c>
      <c r="B245">
        <v>3</v>
      </c>
    </row>
    <row r="247" spans="1:3">
      <c r="A247" s="22" t="s">
        <v>2346</v>
      </c>
    </row>
    <row r="248" spans="1:3">
      <c r="A248" s="22" t="str">
        <f>IF(RI!O25=0,VLOOKUP(2215,Sprachindex!$A:$Z,Info!$O$7,FALSE),IF(RI!O25=1,VLOOKUP(2215,Sprachindex!$A:$Z,Info!$O$7,FALSE),A177))</f>
        <v>60 ⌀ × 3.000 mm</v>
      </c>
    </row>
    <row r="250" spans="1:3">
      <c r="A250" s="22" t="s">
        <v>2347</v>
      </c>
    </row>
    <row r="251" spans="1:3">
      <c r="A251" s="22" t="str">
        <f>IF(RI!O25=0,VLOOKUP(2216,Sprachindex!$A:$Z,Info!$O$7,FALSE),IF(RI!O25=3,VLOOKUP(2216,Sprachindex!$A:$Z,Info!$O$7,FALSE),A177))</f>
        <v>100 ⌀ × 1.450 mm</v>
      </c>
    </row>
    <row r="253" spans="1:3">
      <c r="A253" s="22" t="s">
        <v>2348</v>
      </c>
    </row>
    <row r="254" spans="1:3">
      <c r="A254" s="22" t="str">
        <f>IF(RI!O25=0,VLOOKUP(2217,Sprachindex!$A:$Z,Info!$O$7,FALSE),IF(RI!O25=3,VLOOKUP(2217,Sprachindex!$A:$Z,Info!$O$7,FALSE),A177))</f>
        <v>100 ⌀ 700–1.100 mm</v>
      </c>
    </row>
    <row r="255" spans="1:3">
      <c r="C255" t="s">
        <v>1318</v>
      </c>
    </row>
    <row r="256" spans="1:3">
      <c r="A256" s="22" t="s">
        <v>2349</v>
      </c>
      <c r="C256" t="s">
        <v>1326</v>
      </c>
    </row>
    <row r="257" spans="1:3">
      <c r="A257" s="22"/>
      <c r="C257" t="s">
        <v>1334</v>
      </c>
    </row>
    <row r="258" spans="1:3">
      <c r="A258" s="22" t="str">
        <f>IF(RI!O25=0,"",IF(RI!O25=2,C256,IF(RI!O25=3,C257,IF(RI!O25=4,C259,IF(RI!O25=1,C255,"")))))</f>
        <v/>
      </c>
      <c r="C258" t="s">
        <v>1310</v>
      </c>
    </row>
    <row r="259" spans="1:3">
      <c r="A259" s="22" t="str">
        <f>IF(RI!O25=0,"",IF(RI!O25=3,C258,""))</f>
        <v/>
      </c>
      <c r="C259" t="s">
        <v>1349</v>
      </c>
    </row>
    <row r="261" spans="1:3">
      <c r="A261" s="22" t="s">
        <v>2350</v>
      </c>
      <c r="C261" t="s">
        <v>2351</v>
      </c>
    </row>
    <row r="262" spans="1:3">
      <c r="A262" s="22" t="str">
        <f>IF(RI!O25=0,"",IF(RI!O25=2,C261,IF(RI!O25=3,C262,IF(RI!O25=4,C263,A177))))</f>
        <v/>
      </c>
      <c r="C262" t="s">
        <v>2352</v>
      </c>
    </row>
    <row r="263" spans="1:3">
      <c r="A263" s="22"/>
      <c r="C263" t="s">
        <v>2353</v>
      </c>
    </row>
    <row r="265" spans="1:3">
      <c r="A265" s="22" t="s">
        <v>2354</v>
      </c>
    </row>
    <row r="266" spans="1:3">
      <c r="A266" s="22"/>
    </row>
    <row r="267" spans="1:3">
      <c r="A267" s="26" t="str">
        <f>VLOOKUP(96,Sprachindex!$A:$Z,Info!$O$7,FALSE)</f>
        <v>4 × 9,5 mm</v>
      </c>
    </row>
    <row r="268" spans="1:3">
      <c r="A268" s="26" t="str">
        <f>VLOOKUP(97,Sprachindex!$A:$Z,Info!$O$7,FALSE)</f>
        <v>4,8 × 17 mm</v>
      </c>
    </row>
    <row r="270" spans="1:3">
      <c r="A270" s="22" t="s">
        <v>2355</v>
      </c>
    </row>
    <row r="271" spans="1:3">
      <c r="A271" s="22"/>
    </row>
    <row r="272" spans="1:3">
      <c r="A272" s="22" t="str">
        <f>VLOOKUP(23,Sprachindex!$A:$Z,Info!$O$7,FALSE)</f>
        <v>0,75 l Dose</v>
      </c>
    </row>
    <row r="273" spans="1:1">
      <c r="A273" s="25" t="str">
        <f>VLOOKUP(119,Sprachindex!$A:$Z,Info!$O$7,FALSE)</f>
        <v>Dose mit Pinsel (50 ml)</v>
      </c>
    </row>
    <row r="275" spans="1:1">
      <c r="A275" s="22" t="s">
        <v>2356</v>
      </c>
    </row>
    <row r="276" spans="1:1">
      <c r="A276" s="22" t="str">
        <f>IF(RI!O25=0,"",IF(RI!O25=2,F193,IF(RI!O25=3,F194,IF(RI!O25=4,F195,IF(RI!O25=1,F192,A177)))))</f>
        <v/>
      </c>
    </row>
    <row r="279" spans="1:1">
      <c r="A279" t="s">
        <v>2357</v>
      </c>
    </row>
    <row r="281" spans="1:1">
      <c r="A281" s="133" t="s">
        <v>2358</v>
      </c>
    </row>
    <row r="282" spans="1:1">
      <c r="A282" s="133" t="s">
        <v>2359</v>
      </c>
    </row>
    <row r="283" spans="1:1">
      <c r="A283" s="133" t="s">
        <v>2360</v>
      </c>
    </row>
    <row r="285" spans="1:1">
      <c r="A285" t="str">
        <f>VLOOKUP(57,Sprachindex!$A:$Z,Info!$O$7,FALSE)</f>
        <v>140 mm</v>
      </c>
    </row>
    <row r="286" spans="1:1">
      <c r="A286" t="str">
        <f>VLOOKUP(90,Sprachindex!$A:$Z,Info!$O$7,FALSE)</f>
        <v>330 mm</v>
      </c>
    </row>
    <row r="288" spans="1:1">
      <c r="A288" t="str">
        <f>"60"&amp; " " &amp; VLOOKUP(531,Sprachindex!$A:$Z,Info!$O$7,FALSE)</f>
        <v>60 kg</v>
      </c>
    </row>
    <row r="289" spans="1:1">
      <c r="A289" t="str">
        <f>"500"&amp; " " &amp; VLOOKUP(531,Sprachindex!$A:$Z,Info!$O$7,FALSE)</f>
        <v>500 kg</v>
      </c>
    </row>
    <row r="291" spans="1:1">
      <c r="A291" t="s">
        <v>2361</v>
      </c>
    </row>
    <row r="293" spans="1:1">
      <c r="A293" t="str">
        <f>VLOOKUP(1440,Sprachindex!$A:$Z,Info!$O$7,FALSE)</f>
        <v>Ø 110/100 mm</v>
      </c>
    </row>
    <row r="294" spans="1:1">
      <c r="A294" t="str">
        <f>VLOOKUP(1441,Sprachindex!$A:$Z,Info!$O$7,FALSE)</f>
        <v>Ø 125/120 mm</v>
      </c>
    </row>
  </sheetData>
  <mergeCells count="10">
    <mergeCell ref="C40:D40"/>
    <mergeCell ref="C41:D41"/>
    <mergeCell ref="C42:D42"/>
    <mergeCell ref="C43:D43"/>
    <mergeCell ref="C34:D34"/>
    <mergeCell ref="C35:D35"/>
    <mergeCell ref="C36:D36"/>
    <mergeCell ref="C37:D37"/>
    <mergeCell ref="C38:D38"/>
    <mergeCell ref="C39:D39"/>
  </mergeCells>
  <conditionalFormatting sqref="G45:J45">
    <cfRule type="expression" priority="5">
      <formula>$G$45=$A$17</formula>
    </cfRule>
  </conditionalFormatting>
  <conditionalFormatting sqref="I40:J40">
    <cfRule type="expression" priority="1459">
      <formula>$I$40=$A$167:$A$169</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RI!#REF!=$A$23</xm:f>
            <x14:dxf/>
          </x14:cfRule>
          <xm:sqref>H60</xm:sqref>
        </x14:conditionalFormatting>
        <x14:conditionalFormatting xmlns:xm="http://schemas.microsoft.com/office/excel/2006/main">
          <x14:cfRule type="expression" priority="39" id="{75FAAE3B-4DAB-444F-B043-744338C787F1}">
            <xm:f>RI!#REF!=$A$23</xm:f>
            <x14:dxf>
              <fill>
                <patternFill>
                  <bgColor theme="0" tint="-4.9989318521683403E-2"/>
                </patternFill>
              </fill>
            </x14:dxf>
          </x14:cfRule>
          <xm:sqref>H88</xm:sqref>
        </x14:conditionalFormatting>
        <x14:conditionalFormatting xmlns:xm="http://schemas.microsoft.com/office/excel/2006/main">
          <x14:cfRule type="expression" priority="47" id="{DA35FC52-DD5E-42EB-BB4F-DA2E3994CE9F}">
            <xm:f>RI!#REF!=$A$30</xm:f>
            <x14:dxf/>
          </x14:cfRule>
          <xm:sqref>I50:J50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heetViews>
  <sheetFormatPr baseColWidth="10" defaultColWidth="11.44140625" defaultRowHeight="14.4"/>
  <cols>
    <col min="1" max="1" width="14.6640625" bestFit="1" customWidth="1"/>
    <col min="2" max="11" width="15.6640625" customWidth="1"/>
  </cols>
  <sheetData>
    <row r="1" spans="1:11" ht="28.95" customHeight="1">
      <c r="A1" s="451" t="s">
        <v>2362</v>
      </c>
      <c r="B1" s="452" t="s">
        <v>2363</v>
      </c>
      <c r="C1" s="452" t="s">
        <v>2364</v>
      </c>
      <c r="D1" s="452" t="s">
        <v>2365</v>
      </c>
      <c r="E1" s="452" t="s">
        <v>2366</v>
      </c>
      <c r="F1" s="452" t="s">
        <v>2367</v>
      </c>
      <c r="G1" s="452" t="s">
        <v>2368</v>
      </c>
      <c r="H1" s="452" t="s">
        <v>2369</v>
      </c>
      <c r="I1" s="452" t="s">
        <v>2370</v>
      </c>
      <c r="J1" s="452" t="s">
        <v>2371</v>
      </c>
      <c r="K1" s="453" t="s">
        <v>2372</v>
      </c>
    </row>
    <row r="2" spans="1:11">
      <c r="A2" s="454" t="s">
        <v>2193</v>
      </c>
      <c r="B2" s="459">
        <v>513950</v>
      </c>
      <c r="C2" s="459">
        <v>513950</v>
      </c>
      <c r="D2" s="459">
        <v>513950</v>
      </c>
      <c r="E2" s="459">
        <v>513950</v>
      </c>
      <c r="F2" s="459">
        <v>513950</v>
      </c>
      <c r="G2" s="459">
        <v>513950</v>
      </c>
      <c r="H2" s="459">
        <v>513950</v>
      </c>
      <c r="I2" s="459">
        <v>513950</v>
      </c>
      <c r="J2" s="459">
        <v>513950</v>
      </c>
      <c r="K2" s="461">
        <v>513950</v>
      </c>
    </row>
    <row r="3" spans="1:11">
      <c r="A3" s="455" t="s">
        <v>2194</v>
      </c>
      <c r="B3" s="462">
        <v>513951</v>
      </c>
      <c r="C3" s="462">
        <v>513951</v>
      </c>
      <c r="D3" s="462">
        <v>513951</v>
      </c>
      <c r="E3" s="462">
        <v>513951</v>
      </c>
      <c r="F3" s="462">
        <v>513951</v>
      </c>
      <c r="G3" s="462">
        <v>513951</v>
      </c>
      <c r="H3" s="462">
        <v>513951</v>
      </c>
      <c r="I3" s="462">
        <v>513951</v>
      </c>
      <c r="J3" s="462">
        <v>513951</v>
      </c>
      <c r="K3" s="463">
        <v>513951</v>
      </c>
    </row>
    <row r="4" spans="1:11">
      <c r="A4" s="456" t="s">
        <v>2196</v>
      </c>
      <c r="B4" s="458">
        <v>513952</v>
      </c>
      <c r="C4" s="458">
        <v>513952</v>
      </c>
      <c r="D4" s="458">
        <v>513952</v>
      </c>
      <c r="E4" s="458">
        <v>513952</v>
      </c>
      <c r="F4" s="458">
        <v>513952</v>
      </c>
      <c r="G4" s="458">
        <v>513952</v>
      </c>
      <c r="H4" s="458">
        <v>513952</v>
      </c>
      <c r="I4" s="458">
        <v>513952</v>
      </c>
      <c r="J4" s="458">
        <v>513952</v>
      </c>
      <c r="K4" s="460">
        <v>513952</v>
      </c>
    </row>
    <row r="5" spans="1:11">
      <c r="A5" s="454" t="s">
        <v>102</v>
      </c>
      <c r="B5" s="459">
        <v>513953</v>
      </c>
      <c r="C5" s="459">
        <v>513953</v>
      </c>
      <c r="D5" s="459">
        <v>513953</v>
      </c>
      <c r="E5" s="459">
        <v>513953</v>
      </c>
      <c r="F5" s="459">
        <v>513953</v>
      </c>
      <c r="G5" s="459">
        <v>513953</v>
      </c>
      <c r="H5" s="459">
        <v>513953</v>
      </c>
      <c r="I5" s="459">
        <v>513953</v>
      </c>
      <c r="J5" s="459">
        <v>513953</v>
      </c>
      <c r="K5" s="461">
        <v>513953</v>
      </c>
    </row>
    <row r="6" spans="1:11">
      <c r="A6" s="455" t="s">
        <v>2198</v>
      </c>
      <c r="B6" s="462">
        <v>513954</v>
      </c>
      <c r="C6" s="462">
        <v>513954</v>
      </c>
      <c r="D6" s="462">
        <v>513954</v>
      </c>
      <c r="E6" s="462">
        <v>513954</v>
      </c>
      <c r="F6" s="462">
        <v>513954</v>
      </c>
      <c r="G6" s="462">
        <v>513954</v>
      </c>
      <c r="H6" s="462">
        <v>513954</v>
      </c>
      <c r="I6" s="462">
        <v>513954</v>
      </c>
      <c r="J6" s="462">
        <v>513954</v>
      </c>
      <c r="K6" s="463">
        <v>513954</v>
      </c>
    </row>
    <row r="7" spans="1:11">
      <c r="A7" s="456" t="s">
        <v>2200</v>
      </c>
      <c r="B7" s="458">
        <v>513955</v>
      </c>
      <c r="C7" s="458">
        <v>513955</v>
      </c>
      <c r="D7" s="458">
        <v>513955</v>
      </c>
      <c r="E7" s="458">
        <v>513955</v>
      </c>
      <c r="F7" s="458">
        <v>513955</v>
      </c>
      <c r="G7" s="458">
        <v>513955</v>
      </c>
      <c r="H7" s="458">
        <v>513955</v>
      </c>
      <c r="I7" s="458">
        <v>513955</v>
      </c>
      <c r="J7" s="458">
        <v>513955</v>
      </c>
      <c r="K7" s="460">
        <v>513955</v>
      </c>
    </row>
    <row r="8" spans="1:11">
      <c r="A8" s="454" t="s">
        <v>2202</v>
      </c>
      <c r="B8" s="459">
        <v>513956</v>
      </c>
      <c r="C8" s="459">
        <v>513956</v>
      </c>
      <c r="D8" s="459">
        <v>513956</v>
      </c>
      <c r="E8" s="459">
        <v>513956</v>
      </c>
      <c r="F8" s="459">
        <v>513956</v>
      </c>
      <c r="G8" s="459">
        <v>513956</v>
      </c>
      <c r="H8" s="459">
        <v>513956</v>
      </c>
      <c r="I8" s="459">
        <v>513956</v>
      </c>
      <c r="J8" s="459">
        <v>513956</v>
      </c>
      <c r="K8" s="461">
        <v>513956</v>
      </c>
    </row>
    <row r="9" spans="1:11">
      <c r="A9" s="455" t="s">
        <v>2204</v>
      </c>
      <c r="B9" s="462">
        <v>513957</v>
      </c>
      <c r="C9" s="462">
        <v>513957</v>
      </c>
      <c r="D9" s="462">
        <v>513957</v>
      </c>
      <c r="E9" s="462">
        <v>513957</v>
      </c>
      <c r="F9" s="462">
        <v>513957</v>
      </c>
      <c r="G9" s="462">
        <v>513957</v>
      </c>
      <c r="H9" s="462">
        <v>513957</v>
      </c>
      <c r="I9" s="462">
        <v>513957</v>
      </c>
      <c r="J9" s="462">
        <v>513957</v>
      </c>
      <c r="K9" s="463">
        <v>513957</v>
      </c>
    </row>
    <row r="10" spans="1:11">
      <c r="A10" s="455" t="s">
        <v>2205</v>
      </c>
      <c r="B10" s="462">
        <v>513958</v>
      </c>
      <c r="C10" s="462">
        <v>513958</v>
      </c>
      <c r="D10" s="462">
        <v>513958</v>
      </c>
      <c r="E10" s="462">
        <v>513958</v>
      </c>
      <c r="F10" s="462">
        <v>513958</v>
      </c>
      <c r="G10" s="462">
        <v>513958</v>
      </c>
      <c r="H10" s="462">
        <v>513958</v>
      </c>
      <c r="I10" s="462">
        <v>513958</v>
      </c>
      <c r="J10" s="462">
        <v>513958</v>
      </c>
      <c r="K10" s="463">
        <v>513958</v>
      </c>
    </row>
    <row r="11" spans="1:11">
      <c r="A11" s="455" t="s">
        <v>2207</v>
      </c>
      <c r="B11" s="462">
        <v>513959</v>
      </c>
      <c r="C11" s="462">
        <v>513959</v>
      </c>
      <c r="D11" s="462">
        <v>513959</v>
      </c>
      <c r="E11" s="462">
        <v>513959</v>
      </c>
      <c r="F11" s="462">
        <v>513959</v>
      </c>
      <c r="G11" s="462">
        <v>513959</v>
      </c>
      <c r="H11" s="462">
        <v>513959</v>
      </c>
      <c r="I11" s="462">
        <v>513959</v>
      </c>
      <c r="J11" s="462">
        <v>513959</v>
      </c>
      <c r="K11" s="463">
        <v>513959</v>
      </c>
    </row>
    <row r="12" spans="1:11">
      <c r="A12" s="456" t="s">
        <v>2209</v>
      </c>
      <c r="B12" s="458" t="s">
        <v>2373</v>
      </c>
      <c r="C12" s="458" t="s">
        <v>2373</v>
      </c>
      <c r="D12" s="458" t="s">
        <v>2373</v>
      </c>
      <c r="E12" s="458" t="s">
        <v>2373</v>
      </c>
      <c r="F12" s="458" t="s">
        <v>2373</v>
      </c>
      <c r="G12" s="458" t="s">
        <v>2373</v>
      </c>
      <c r="H12" s="458" t="s">
        <v>2373</v>
      </c>
      <c r="I12" s="458" t="s">
        <v>2373</v>
      </c>
      <c r="J12" s="458" t="s">
        <v>2373</v>
      </c>
      <c r="K12" s="460" t="s">
        <v>2373</v>
      </c>
    </row>
    <row r="13" spans="1:11">
      <c r="A13" s="454" t="s">
        <v>2211</v>
      </c>
      <c r="B13" s="459" t="s">
        <v>2373</v>
      </c>
      <c r="C13" s="459" t="s">
        <v>2373</v>
      </c>
      <c r="D13" s="459" t="s">
        <v>2373</v>
      </c>
      <c r="E13" s="459" t="s">
        <v>2373</v>
      </c>
      <c r="F13" s="459" t="s">
        <v>2373</v>
      </c>
      <c r="G13" s="459" t="s">
        <v>2373</v>
      </c>
      <c r="H13" s="459" t="s">
        <v>2373</v>
      </c>
      <c r="I13" s="459" t="s">
        <v>2373</v>
      </c>
      <c r="J13" s="459" t="s">
        <v>2373</v>
      </c>
      <c r="K13" s="461" t="s">
        <v>2373</v>
      </c>
    </row>
    <row r="14" spans="1:11">
      <c r="A14" s="455" t="s">
        <v>2213</v>
      </c>
      <c r="B14" s="462">
        <v>513960</v>
      </c>
      <c r="C14" s="462">
        <v>513960</v>
      </c>
      <c r="D14" s="462">
        <v>513960</v>
      </c>
      <c r="E14" s="462">
        <v>513960</v>
      </c>
      <c r="F14" s="462">
        <v>513960</v>
      </c>
      <c r="G14" s="462">
        <v>513960</v>
      </c>
      <c r="H14" s="462">
        <v>513960</v>
      </c>
      <c r="I14" s="462">
        <v>513960</v>
      </c>
      <c r="J14" s="462">
        <v>513960</v>
      </c>
      <c r="K14" s="463">
        <v>513960</v>
      </c>
    </row>
    <row r="15" spans="1:11">
      <c r="A15" s="455" t="s">
        <v>2215</v>
      </c>
      <c r="B15" s="462">
        <v>513961</v>
      </c>
      <c r="C15" s="462">
        <v>513961</v>
      </c>
      <c r="D15" s="462">
        <v>513961</v>
      </c>
      <c r="E15" s="462">
        <v>513961</v>
      </c>
      <c r="F15" s="462">
        <v>513961</v>
      </c>
      <c r="G15" s="462">
        <v>513961</v>
      </c>
      <c r="H15" s="462">
        <v>513961</v>
      </c>
      <c r="I15" s="462">
        <v>513961</v>
      </c>
      <c r="J15" s="462">
        <v>513961</v>
      </c>
      <c r="K15" s="463">
        <v>513961</v>
      </c>
    </row>
    <row r="16" spans="1:11">
      <c r="A16" s="456" t="s">
        <v>2216</v>
      </c>
      <c r="B16" s="458">
        <v>513962</v>
      </c>
      <c r="C16" s="458">
        <v>513962</v>
      </c>
      <c r="D16" s="458">
        <v>513962</v>
      </c>
      <c r="E16" s="458">
        <v>513962</v>
      </c>
      <c r="F16" s="458">
        <v>513962</v>
      </c>
      <c r="G16" s="458">
        <v>513962</v>
      </c>
      <c r="H16" s="458">
        <v>513962</v>
      </c>
      <c r="I16" s="458">
        <v>513962</v>
      </c>
      <c r="J16" s="458">
        <v>513962</v>
      </c>
      <c r="K16" s="460">
        <v>513962</v>
      </c>
    </row>
    <row r="17" spans="1:11">
      <c r="A17" s="454" t="s">
        <v>2217</v>
      </c>
      <c r="B17" s="459">
        <v>513963</v>
      </c>
      <c r="C17" s="459">
        <v>513963</v>
      </c>
      <c r="D17" s="459">
        <v>513963</v>
      </c>
      <c r="E17" s="459">
        <v>513963</v>
      </c>
      <c r="F17" s="459">
        <v>513963</v>
      </c>
      <c r="G17" s="459">
        <v>513963</v>
      </c>
      <c r="H17" s="459">
        <v>513963</v>
      </c>
      <c r="I17" s="459">
        <v>513963</v>
      </c>
      <c r="J17" s="459">
        <v>513963</v>
      </c>
      <c r="K17" s="461">
        <v>513963</v>
      </c>
    </row>
    <row r="18" spans="1:11">
      <c r="A18" s="455" t="s">
        <v>2218</v>
      </c>
      <c r="B18" s="462">
        <v>513964</v>
      </c>
      <c r="C18" s="462">
        <v>513964</v>
      </c>
      <c r="D18" s="462">
        <v>513964</v>
      </c>
      <c r="E18" s="462">
        <v>513964</v>
      </c>
      <c r="F18" s="462">
        <v>513964</v>
      </c>
      <c r="G18" s="462">
        <v>513964</v>
      </c>
      <c r="H18" s="462">
        <v>513964</v>
      </c>
      <c r="I18" s="462">
        <v>513964</v>
      </c>
      <c r="J18" s="462">
        <v>513964</v>
      </c>
      <c r="K18" s="463">
        <v>513964</v>
      </c>
    </row>
    <row r="19" spans="1:11">
      <c r="A19" s="456" t="s">
        <v>2219</v>
      </c>
      <c r="B19" s="458">
        <v>513965</v>
      </c>
      <c r="C19" s="458">
        <v>513965</v>
      </c>
      <c r="D19" s="458">
        <v>513965</v>
      </c>
      <c r="E19" s="458">
        <v>513965</v>
      </c>
      <c r="F19" s="458">
        <v>513965</v>
      </c>
      <c r="G19" s="458">
        <v>513965</v>
      </c>
      <c r="H19" s="458">
        <v>513965</v>
      </c>
      <c r="I19" s="458">
        <v>513965</v>
      </c>
      <c r="J19" s="458">
        <v>513965</v>
      </c>
      <c r="K19" s="460">
        <v>513965</v>
      </c>
    </row>
    <row r="20" spans="1:11">
      <c r="A20" s="454" t="s">
        <v>2220</v>
      </c>
      <c r="B20" s="459">
        <v>513968</v>
      </c>
      <c r="C20" s="459">
        <v>513968</v>
      </c>
      <c r="D20" s="459">
        <v>513968</v>
      </c>
      <c r="E20" s="459">
        <v>513968</v>
      </c>
      <c r="F20" s="459">
        <v>513968</v>
      </c>
      <c r="G20" s="459">
        <v>513968</v>
      </c>
      <c r="H20" s="459">
        <v>513968</v>
      </c>
      <c r="I20" s="459">
        <v>513968</v>
      </c>
      <c r="J20" s="459">
        <v>513968</v>
      </c>
      <c r="K20" s="461">
        <v>513968</v>
      </c>
    </row>
    <row r="21" spans="1:11">
      <c r="A21" s="455" t="s">
        <v>2221</v>
      </c>
      <c r="B21" s="462">
        <v>513966</v>
      </c>
      <c r="C21" s="462">
        <v>513966</v>
      </c>
      <c r="D21" s="462">
        <v>513966</v>
      </c>
      <c r="E21" s="462">
        <v>513966</v>
      </c>
      <c r="F21" s="462">
        <v>513966</v>
      </c>
      <c r="G21" s="462">
        <v>513966</v>
      </c>
      <c r="H21" s="462">
        <v>513966</v>
      </c>
      <c r="I21" s="462">
        <v>513966</v>
      </c>
      <c r="J21" s="462">
        <v>513966</v>
      </c>
      <c r="K21" s="463">
        <v>513966</v>
      </c>
    </row>
    <row r="22" spans="1:11" ht="15" thickBot="1">
      <c r="A22" s="457" t="s">
        <v>2222</v>
      </c>
      <c r="B22" s="464">
        <v>513967</v>
      </c>
      <c r="C22" s="464">
        <v>513967</v>
      </c>
      <c r="D22" s="464">
        <v>513967</v>
      </c>
      <c r="E22" s="464">
        <v>513967</v>
      </c>
      <c r="F22" s="464">
        <v>513967</v>
      </c>
      <c r="G22" s="464">
        <v>513967</v>
      </c>
      <c r="H22" s="464">
        <v>513967</v>
      </c>
      <c r="I22" s="464">
        <v>513967</v>
      </c>
      <c r="J22" s="464">
        <v>513967</v>
      </c>
      <c r="K22" s="465">
        <v>513967</v>
      </c>
    </row>
    <row r="25" spans="1:11">
      <c r="A25" t="s">
        <v>2374</v>
      </c>
      <c r="B25" s="42" t="s">
        <v>2375</v>
      </c>
      <c r="C25" t="s">
        <v>2193</v>
      </c>
    </row>
    <row r="26" spans="1:11">
      <c r="A26">
        <f>Info!V7</f>
        <v>16</v>
      </c>
      <c r="B26" s="42" t="s">
        <v>2376</v>
      </c>
      <c r="C26" t="str">
        <f>C1</f>
        <v>02
P.10 Anthrazit</v>
      </c>
    </row>
    <row r="27" spans="1:11">
      <c r="B27" s="42"/>
      <c r="C27" t="s">
        <v>2377</v>
      </c>
      <c r="E27" t="s">
        <v>2362</v>
      </c>
      <c r="F27" t="s">
        <v>2378</v>
      </c>
    </row>
    <row r="28" spans="1:11">
      <c r="B28" s="42" t="s">
        <v>2379</v>
      </c>
      <c r="C28" s="466" t="str">
        <f>IFERROR(INDEX($B$2:$K$22, MATCH(E28, $A$2:$A$22, 0), MATCH(F28, $B$1:$K$1, 0)),"")</f>
        <v/>
      </c>
      <c r="D28" t="s">
        <v>2380</v>
      </c>
      <c r="E28" s="466">
        <f>DP!J56</f>
        <v>0</v>
      </c>
      <c r="F28" s="466">
        <f>IF(DP!P21=11,B1,IF(DP!P21=1,C1,IF(DP!P21=2,D1,IF(DP!P21=3,E1,IF(DP!P21=4,F1,IF(DP!P21=9,G1,IF(DP!P21=5,H1,IF(DP!P21=6,I1,IF(DP!P21=8,J1,IF(DP!P21=7,K1,0))))))))))</f>
        <v>0</v>
      </c>
    </row>
    <row r="29" spans="1:11">
      <c r="B29" s="42" t="s">
        <v>2379</v>
      </c>
      <c r="C29" s="466" t="str">
        <f t="shared" ref="C29:C33" si="0">IFERROR(INDEX($B$2:$K$22, MATCH(E29, $A$2:$A$22, 0), MATCH(F29, $B$1:$K$1, 0)),"")</f>
        <v/>
      </c>
      <c r="D29" t="s">
        <v>2381</v>
      </c>
      <c r="E29" s="466">
        <f>DS!J55</f>
        <v>0</v>
      </c>
      <c r="F29" s="466">
        <f>IF(DS!O21=11,B1,IF(DS!O21=1,C1,IF(DS!O21=2,D1,IF(DS!O21=3,E1,IF(DS!O21=4,F1,IF(DS!O21=9,G1,IF(DS!O21=5,H1,IF(DS!O21=6,I1,IF(DS!O21=8,J1,IF(DS!O21=7,K1,0))))))))))</f>
        <v>0</v>
      </c>
    </row>
    <row r="30" spans="1:11">
      <c r="B30" s="42" t="s">
        <v>2379</v>
      </c>
      <c r="C30" s="466" t="str">
        <f t="shared" si="0"/>
        <v/>
      </c>
      <c r="D30" t="s">
        <v>2382</v>
      </c>
      <c r="E30" s="466">
        <f>DS.19!J55</f>
        <v>0</v>
      </c>
      <c r="F30" s="466">
        <f>IF(DS.19!O21=11,B1,IF(DS.19!O21=1,C1,IF(DS.19!O21=2,D1,IF(DS.19!O21=3,E1,IF(DS.19!O21=4,F1,IF(DS.19!O21=9,G1,IF(DS.19!O21=5,H1,IF(DS.19!O21=6,I1,IF(DS.19!O21=8,J1,IF(DS.19!O21=7,K1,0))))))))))</f>
        <v>0</v>
      </c>
    </row>
    <row r="31" spans="1:11">
      <c r="B31" s="42" t="s">
        <v>2379</v>
      </c>
      <c r="C31" s="466" t="str">
        <f t="shared" si="0"/>
        <v/>
      </c>
      <c r="D31" t="s">
        <v>2383</v>
      </c>
      <c r="E31" s="466">
        <f>'R.16'!J53</f>
        <v>0</v>
      </c>
      <c r="F31" s="466">
        <f>IF('R.16'!P21=11,B1,IF('R.16'!P21=1,C1,IF('R.16'!P21=2,D1,IF('R.16'!P21=3,E1,IF('R.16'!P21=4,F1,IF('R.16'!P21=9,G1,IF('R.16'!P21=5,H1,IF('R.16'!P21=6,I1,IF('R.16'!P21=8,J1,IF('R.16'!P21=7,K1,0))))))))))</f>
        <v>0</v>
      </c>
    </row>
    <row r="32" spans="1:11">
      <c r="B32" s="42" t="s">
        <v>2379</v>
      </c>
      <c r="C32" s="466" t="str">
        <f t="shared" si="0"/>
        <v/>
      </c>
      <c r="D32" t="s">
        <v>2384</v>
      </c>
      <c r="E32" s="466">
        <f>'DR44'!J55</f>
        <v>0</v>
      </c>
      <c r="F32" s="466">
        <f>IF('DR44'!P21=11,B1,IF('DR44'!P21=1,C1,IF('DR44'!P21=2,D1,IF('DR44'!P21=3,E1,IF('DR44'!P21=4,F1,IF('DR44'!P21=9,G1,IF('DR44'!P21=5,H1,IF('DR44'!P21=6,I1,IF('DR44'!P21=8,J1,IF('DR44'!P21=7,K1,0))))))))))</f>
        <v>0</v>
      </c>
    </row>
    <row r="33" spans="2:6">
      <c r="B33" s="42" t="s">
        <v>2379</v>
      </c>
      <c r="C33" s="466" t="str">
        <f t="shared" si="0"/>
        <v/>
      </c>
      <c r="D33" t="s">
        <v>2163</v>
      </c>
      <c r="E33" s="466">
        <f>'DR29'!J56</f>
        <v>0</v>
      </c>
      <c r="F33" s="466">
        <f>IF('DR29'!P21=11,B1,IF('DR29'!P21=1,C1,IF('DR29'!P21=2,D1,IF('DR29'!P21=3,E1,IF('DR29'!P21=4,F1,IF('DR29'!P21=9,G1,IF('DR29'!P21=5,H1,IF('DR29'!P21=6,I1,IF('DR29'!P21=8,J1,IF('DR29'!P21=7,K1,0))))))))))</f>
        <v>0</v>
      </c>
    </row>
    <row r="34" spans="2:6">
      <c r="B34" s="42" t="s">
        <v>2379</v>
      </c>
      <c r="C34" s="466" t="str">
        <f>IFERROR(INDEX($B$2:$K$22, MATCH(E34, $A$2:$A$22, 0), MATCH(F34, $B$1:$K$1, 0)),"")</f>
        <v/>
      </c>
      <c r="D34" t="s">
        <v>2385</v>
      </c>
      <c r="E34" s="466">
        <f>FX.12!J55</f>
        <v>0</v>
      </c>
      <c r="F34" s="466">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164" workbookViewId="0">
      <selection activeCell="B145" sqref="B145"/>
    </sheetView>
  </sheetViews>
  <sheetFormatPr baseColWidth="10" defaultColWidth="11.44140625" defaultRowHeight="14.4"/>
  <cols>
    <col min="1" max="1" width="59.109375" bestFit="1" customWidth="1"/>
    <col min="3" max="11" width="11.664062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399999999999999">
      <c r="A7" s="6" t="str">
        <f>VLOOKUP(2197,Sprachindex!$A:$Z,Info!$O$7,FALSE)</f>
        <v>Länge 35 mm (2.400 Stk/Karton)</v>
      </c>
      <c r="C7" s="207"/>
      <c r="F7" s="207"/>
      <c r="I7" s="195"/>
      <c r="K7" s="195"/>
    </row>
    <row r="8" spans="1:11" ht="17.399999999999999">
      <c r="A8" s="6" t="str">
        <f>VLOOKUP(2198,Sprachindex!$A:$Z,Info!$O$7,FALSE)</f>
        <v>Länge 26 mm (3.200 Stk/Karton) NIRO</v>
      </c>
      <c r="C8" s="207"/>
      <c r="F8" s="207"/>
      <c r="I8" s="195"/>
      <c r="K8" s="195"/>
    </row>
    <row r="9" spans="1:11" ht="17.399999999999999">
      <c r="B9" s="195"/>
      <c r="C9" s="207"/>
      <c r="E9" s="195"/>
      <c r="F9" s="195"/>
      <c r="G9" s="195"/>
      <c r="H9" s="195"/>
      <c r="I9" s="195"/>
      <c r="J9" s="195"/>
      <c r="K9" s="195"/>
    </row>
    <row r="10" spans="1:11" ht="17.399999999999999">
      <c r="A10" s="6" t="str">
        <f>VLOOKUP(2199,Sprachindex!$A:$Z,Info!$O$7,FALSE) &amp; " " &amp; VLOOKUP(24,Sprachindex!$A:$Z,Info!$O$7,FALSE) &amp; "/" &amp; VLOOKUP(26,Sprachindex!$A:$Z,Info!$O$7,FALSE)</f>
        <v>1x250 (A=140 B=85 C=25 mm) 01 Braun/02 Anthrazit</v>
      </c>
      <c r="C10" s="207"/>
      <c r="F10" s="195"/>
      <c r="I10" s="195"/>
    </row>
    <row r="11" spans="1:11" ht="17.399999999999999">
      <c r="A11" s="6" t="str">
        <f>VLOOKUP(2199,Sprachindex!$A:$Z,Info!$O$7,FALSE) &amp; " " &amp; VLOOKUP(36,Sprachindex!$A:$Z,Info!$O$7,FALSE) &amp; "/" &amp; VLOOKUP(36,Sprachindex!$A:$Z,Info!$O$7,FALSE)</f>
        <v>1x250 (A=140 B=85 C=25 mm) 07 Hellgrau/07 Hellgrau</v>
      </c>
      <c r="F11" s="207"/>
      <c r="H11" s="195"/>
      <c r="I11" s="195"/>
      <c r="K11" s="195"/>
    </row>
    <row r="12" spans="1:11" ht="17.399999999999999">
      <c r="A12" s="6" t="str">
        <f>VLOOKUP(2200,Sprachindex!$A:$Z,Info!$O$7,FALSE) &amp; " " &amp; VLOOKUP(24,Sprachindex!$A:$Z,Info!$O$7,FALSE) &amp; "/" &amp; VLOOKUP(26,Sprachindex!$A:$Z,Info!$O$7,FALSE)</f>
        <v>1x333 (A=223 B=85 C=25 mm) 01 Braun/02 Anthrazit</v>
      </c>
      <c r="I12" s="207"/>
    </row>
    <row r="13" spans="1:11" ht="17.399999999999999">
      <c r="A13" s="6" t="str">
        <f>VLOOKUP(2200,Sprachindex!$A:$Z,Info!$O$7,FALSE) &amp; " " &amp; VLOOKUP(36,Sprachindex!$A:$Z,Info!$O$7,FALSE) &amp; "/" &amp; VLOOKUP(36,Sprachindex!$A:$Z,Info!$O$7,FALSE)</f>
        <v>1x333 (A=223 B=85 C=25 mm) 07 Hellgrau/07 Hellgrau</v>
      </c>
      <c r="B13" s="207"/>
    </row>
    <row r="14" spans="1:11" ht="17.399999999999999">
      <c r="C14" s="207"/>
      <c r="F14" s="195"/>
      <c r="I14" s="195"/>
      <c r="K14" s="195"/>
    </row>
    <row r="15" spans="1:11" ht="17.399999999999999">
      <c r="A15" s="6" t="str">
        <f>VLOOKUP(2201,Sprachindex!$A:$Z,Info!$O$7,FALSE)</f>
        <v>(4,5 x 45 mm, 250 Stk/Pkt)</v>
      </c>
      <c r="F15" s="195"/>
      <c r="G15" s="195"/>
      <c r="H15" s="195"/>
      <c r="I15" s="195"/>
    </row>
    <row r="16" spans="1:11" ht="17.399999999999999">
      <c r="A16" s="6" t="str">
        <f>VLOOKUP(2202,Sprachindex!$A:$Z,Info!$O$7,FALSE)</f>
        <v>(4,5 x 45 mm, 250 Stk/Pkt, blank)</v>
      </c>
      <c r="G16" s="195"/>
      <c r="H16" s="195"/>
      <c r="I16" s="195"/>
    </row>
    <row r="17" spans="1:11" ht="17.399999999999999">
      <c r="C17" s="207"/>
      <c r="D17" s="195"/>
      <c r="E17" s="195"/>
      <c r="F17" s="195"/>
      <c r="G17" s="195"/>
      <c r="H17" s="195"/>
      <c r="I17" s="195"/>
      <c r="J17" s="5"/>
      <c r="K17" s="195"/>
    </row>
    <row r="18" spans="1:11" ht="17.399999999999999">
      <c r="A18" s="6" t="str">
        <f>VLOOKUP(2203,Sprachindex!$A:$Z,Info!$O$7,FALSE)</f>
        <v>(4,5 x 60 mm, 100 Stk/Pkt)</v>
      </c>
      <c r="C18" s="207"/>
      <c r="D18" s="195"/>
      <c r="E18" s="195"/>
      <c r="F18" s="195"/>
      <c r="G18" s="195"/>
      <c r="H18" s="195"/>
      <c r="I18" s="195"/>
      <c r="J18" s="5"/>
      <c r="K18" s="195"/>
    </row>
    <row r="19" spans="1:11" ht="17.399999999999999">
      <c r="A19" s="6" t="str">
        <f>VLOOKUP(2204,Sprachindex!$A:$Z,Info!$O$7,FALSE)</f>
        <v>(4,5 x 60 mm, 100 Stk/Pkt, blank)</v>
      </c>
      <c r="G19" s="195"/>
      <c r="H19" s="195"/>
      <c r="I19" s="195"/>
    </row>
    <row r="20" spans="1:11" ht="17.399999999999999">
      <c r="D20" s="207"/>
      <c r="E20" s="195"/>
      <c r="F20" s="195"/>
      <c r="G20" s="195"/>
      <c r="H20" s="195"/>
      <c r="I20" s="195"/>
      <c r="J20" s="195"/>
      <c r="K20" s="195"/>
    </row>
    <row r="21" spans="1:11" ht="17.399999999999999">
      <c r="A21" s="6" t="str">
        <f>VLOOKUP(433,Sprachindex!$A:$Z,Info!$O$7,FALSE)</f>
        <v>glatt</v>
      </c>
      <c r="D21" s="195"/>
      <c r="E21" s="195"/>
      <c r="F21" s="195"/>
      <c r="G21" s="195"/>
      <c r="H21" s="195"/>
      <c r="I21" s="195"/>
      <c r="J21" s="195"/>
      <c r="K21" s="195"/>
    </row>
    <row r="22" spans="1:11" ht="17.399999999999999">
      <c r="A22" s="6" t="str">
        <f>VLOOKUP(886,Sprachindex!$A:$Z,Info!$O$7,FALSE)</f>
        <v>Stucco</v>
      </c>
      <c r="G22" s="195"/>
      <c r="H22" s="195"/>
      <c r="I22" s="195"/>
      <c r="J22" s="195"/>
      <c r="K22" s="195"/>
    </row>
    <row r="23" spans="1:11" ht="17.399999999999999">
      <c r="G23" s="195"/>
      <c r="H23" s="195"/>
      <c r="I23" s="195"/>
      <c r="J23" s="195"/>
      <c r="K23" s="195"/>
    </row>
    <row r="24" spans="1:11" ht="17.399999999999999">
      <c r="A24" s="6" t="str">
        <f>VLOOKUP(2205,Sprachindex!$A:$Z,Info!$O$7,FALSE)</f>
        <v>0,7 x 500 mm</v>
      </c>
      <c r="J24" s="195"/>
      <c r="K24" s="195"/>
    </row>
    <row r="25" spans="1:11" ht="17.399999999999999">
      <c r="A25" s="6" t="str">
        <f>VLOOKUP(2206,Sprachindex!$A:$Z,Info!$O$7,FALSE)</f>
        <v>0,7 x 650 mm</v>
      </c>
      <c r="J25" s="195"/>
      <c r="K25" s="195"/>
    </row>
    <row r="26" spans="1:11" ht="17.399999999999999">
      <c r="A26" s="6" t="str">
        <f>VLOOKUP(2207,Sprachindex!$A:$Z,Info!$O$7,FALSE)</f>
        <v>0,7 x 1.000 mm</v>
      </c>
      <c r="J26" s="195"/>
      <c r="K26" s="195"/>
    </row>
    <row r="27" spans="1:11" ht="17.399999999999999">
      <c r="J27" s="195"/>
      <c r="K27" s="195"/>
    </row>
    <row r="28" spans="1:11" ht="17.399999999999999">
      <c r="A28" s="6" t="s">
        <v>2193</v>
      </c>
      <c r="J28" s="195"/>
      <c r="K28" s="195"/>
    </row>
    <row r="29" spans="1:11">
      <c r="A29" s="6" t="s">
        <v>2194</v>
      </c>
      <c r="E29" s="6"/>
    </row>
    <row r="30" spans="1:11">
      <c r="A30" s="7" t="s">
        <v>2196</v>
      </c>
    </row>
    <row r="31" spans="1:11">
      <c r="A31" s="6" t="s">
        <v>102</v>
      </c>
      <c r="B31">
        <v>111100</v>
      </c>
      <c r="C31" t="s">
        <v>2386</v>
      </c>
    </row>
    <row r="32" spans="1:11">
      <c r="A32" s="6" t="s">
        <v>2198</v>
      </c>
      <c r="B32">
        <v>111120</v>
      </c>
      <c r="C32" t="s">
        <v>2199</v>
      </c>
    </row>
    <row r="33" spans="1:3">
      <c r="A33" s="6" t="s">
        <v>2200</v>
      </c>
      <c r="B33">
        <v>111160</v>
      </c>
      <c r="C33" t="s">
        <v>2201</v>
      </c>
    </row>
    <row r="34" spans="1:3">
      <c r="A34" s="124" t="s">
        <v>2202</v>
      </c>
      <c r="B34">
        <v>111280</v>
      </c>
      <c r="C34" t="s">
        <v>2203</v>
      </c>
    </row>
    <row r="35" spans="1:3">
      <c r="A35" s="6" t="s">
        <v>2204</v>
      </c>
      <c r="B35">
        <v>111180</v>
      </c>
      <c r="C35" t="s">
        <v>384</v>
      </c>
    </row>
    <row r="36" spans="1:3">
      <c r="A36" s="7" t="s">
        <v>2205</v>
      </c>
      <c r="B36">
        <v>111200</v>
      </c>
      <c r="C36" t="s">
        <v>2206</v>
      </c>
    </row>
    <row r="37" spans="1:3">
      <c r="A37" s="6" t="s">
        <v>2207</v>
      </c>
      <c r="B37">
        <v>111220</v>
      </c>
      <c r="C37" t="s">
        <v>2208</v>
      </c>
    </row>
    <row r="38" spans="1:3">
      <c r="A38" s="6" t="s">
        <v>2209</v>
      </c>
      <c r="B38">
        <v>111600</v>
      </c>
      <c r="C38" t="s">
        <v>2210</v>
      </c>
    </row>
    <row r="39" spans="1:3">
      <c r="A39" s="6" t="s">
        <v>2211</v>
      </c>
      <c r="B39">
        <v>111240</v>
      </c>
      <c r="C39" t="s">
        <v>2212</v>
      </c>
    </row>
    <row r="40" spans="1:3">
      <c r="A40" s="7" t="s">
        <v>2213</v>
      </c>
      <c r="B40">
        <v>111620</v>
      </c>
      <c r="C40" t="s">
        <v>2214</v>
      </c>
    </row>
    <row r="41" spans="1:3">
      <c r="A41" s="6" t="s">
        <v>2215</v>
      </c>
    </row>
    <row r="42" spans="1:3">
      <c r="A42" s="6" t="s">
        <v>2216</v>
      </c>
    </row>
    <row r="43" spans="1:3">
      <c r="A43" s="6" t="s">
        <v>2217</v>
      </c>
    </row>
    <row r="44" spans="1:3">
      <c r="A44" s="6" t="s">
        <v>2218</v>
      </c>
    </row>
    <row r="45" spans="1:3">
      <c r="A45" s="7" t="s">
        <v>2219</v>
      </c>
    </row>
    <row r="46" spans="1:3">
      <c r="A46" s="6" t="s">
        <v>2220</v>
      </c>
    </row>
    <row r="47" spans="1:3">
      <c r="A47" s="6" t="s">
        <v>2221</v>
      </c>
    </row>
    <row r="48" spans="1:3">
      <c r="A48" s="6" t="s">
        <v>2222</v>
      </c>
    </row>
    <row r="50" spans="1:7">
      <c r="A50" s="6" t="str">
        <f>VLOOKUP(608,Sprachindex!$A:$Z,Info!$O$7,FALSE)</f>
        <v>MIT Wärmedämmung</v>
      </c>
      <c r="C50" s="6" t="str">
        <f>VLOOKUP(608,Sprachindex!$A:$Z,Info!$O$7,FALSE)</f>
        <v>MIT Wärmedämmung</v>
      </c>
      <c r="D50" s="6"/>
    </row>
    <row r="51" spans="1:7">
      <c r="A51" s="6" t="s">
        <v>2223</v>
      </c>
      <c r="C51" s="6" t="s">
        <v>2224</v>
      </c>
    </row>
    <row r="52" spans="1:7">
      <c r="A52" s="6" t="s">
        <v>103</v>
      </c>
      <c r="C52" s="6" t="s">
        <v>2225</v>
      </c>
    </row>
    <row r="53" spans="1:7">
      <c r="A53" s="7" t="s">
        <v>2226</v>
      </c>
      <c r="C53" s="6" t="s">
        <v>2227</v>
      </c>
    </row>
    <row r="54" spans="1:7">
      <c r="A54" s="6" t="s">
        <v>2228</v>
      </c>
      <c r="C54" s="6" t="s">
        <v>2229</v>
      </c>
    </row>
    <row r="55" spans="1:7">
      <c r="A55" s="6" t="s">
        <v>2230</v>
      </c>
      <c r="C55" s="6" t="s">
        <v>104</v>
      </c>
    </row>
    <row r="56" spans="1:7">
      <c r="A56" s="6" t="s">
        <v>2231</v>
      </c>
      <c r="C56" s="6" t="s">
        <v>2232</v>
      </c>
    </row>
    <row r="57" spans="1:7">
      <c r="A57" s="124" t="s">
        <v>2233</v>
      </c>
      <c r="C57" s="6" t="s">
        <v>2234</v>
      </c>
    </row>
    <row r="58" spans="1:7">
      <c r="A58" s="6" t="s">
        <v>2235</v>
      </c>
      <c r="C58" s="6" t="s">
        <v>2236</v>
      </c>
    </row>
    <row r="59" spans="1:7">
      <c r="A59" s="7" t="s">
        <v>2237</v>
      </c>
      <c r="C59" s="6" t="s">
        <v>2238</v>
      </c>
    </row>
    <row r="60" spans="1:7">
      <c r="A60" s="6" t="s">
        <v>2239</v>
      </c>
      <c r="C60" s="6" t="s">
        <v>2240</v>
      </c>
      <c r="G60" s="6"/>
    </row>
    <row r="61" spans="1:7">
      <c r="A61" s="7" t="s">
        <v>2241</v>
      </c>
      <c r="C61" s="6" t="s">
        <v>2242</v>
      </c>
      <c r="G61" s="6"/>
    </row>
    <row r="62" spans="1:7">
      <c r="A62" s="6" t="s">
        <v>2243</v>
      </c>
      <c r="C62" s="6" t="s">
        <v>2244</v>
      </c>
      <c r="G62" s="6"/>
    </row>
    <row r="63" spans="1:7">
      <c r="A63" s="6" t="s">
        <v>2245</v>
      </c>
      <c r="C63" s="6" t="s">
        <v>2246</v>
      </c>
      <c r="G63" s="6"/>
    </row>
    <row r="64" spans="1:7">
      <c r="A64" s="7" t="s">
        <v>2247</v>
      </c>
      <c r="C64" s="6" t="s">
        <v>2248</v>
      </c>
      <c r="G64" s="6"/>
    </row>
    <row r="65" spans="1:7">
      <c r="A65" s="6" t="s">
        <v>2249</v>
      </c>
      <c r="C65" s="6" t="s">
        <v>2250</v>
      </c>
      <c r="G65" s="6"/>
    </row>
    <row r="66" spans="1:7">
      <c r="A66" s="6" t="s">
        <v>2251</v>
      </c>
      <c r="C66" s="6" t="s">
        <v>2252</v>
      </c>
    </row>
    <row r="67" spans="1:7">
      <c r="A67" s="6" t="s">
        <v>2253</v>
      </c>
      <c r="C67" s="6" t="s">
        <v>2254</v>
      </c>
    </row>
    <row r="68" spans="1:7">
      <c r="A68" s="6" t="s">
        <v>2255</v>
      </c>
      <c r="C68" s="6" t="s">
        <v>2256</v>
      </c>
    </row>
    <row r="69" spans="1:7">
      <c r="A69" s="6" t="s">
        <v>2257</v>
      </c>
      <c r="C69" s="6" t="s">
        <v>2258</v>
      </c>
    </row>
    <row r="70" spans="1:7">
      <c r="A70" s="6" t="s">
        <v>2259</v>
      </c>
      <c r="C70" s="6" t="s">
        <v>2260</v>
      </c>
    </row>
    <row r="71" spans="1:7">
      <c r="A71" s="7" t="s">
        <v>2261</v>
      </c>
      <c r="C71" s="6" t="s">
        <v>2262</v>
      </c>
    </row>
    <row r="72" spans="1:7">
      <c r="A72" s="6" t="s">
        <v>2263</v>
      </c>
      <c r="C72" s="6" t="s">
        <v>2264</v>
      </c>
    </row>
    <row r="73" spans="1:7">
      <c r="A73" s="6" t="s">
        <v>2265</v>
      </c>
      <c r="C73" s="6" t="s">
        <v>2266</v>
      </c>
    </row>
    <row r="74" spans="1:7">
      <c r="A74" s="6" t="s">
        <v>2267</v>
      </c>
      <c r="C74" s="6" t="s">
        <v>2268</v>
      </c>
    </row>
    <row r="75" spans="1:7">
      <c r="A75" s="6"/>
      <c r="C75" s="6" t="s">
        <v>2269</v>
      </c>
    </row>
    <row r="76" spans="1:7">
      <c r="A76" s="6" t="str">
        <f>VLOOKUP(640,Sprachindex!$A:$Z,Info!$O$7,FALSE)</f>
        <v>OHNE Wärmedämmung</v>
      </c>
      <c r="C76" s="6" t="s">
        <v>2270</v>
      </c>
      <c r="D76" s="6"/>
    </row>
    <row r="77" spans="1:7">
      <c r="A77" s="6" t="s">
        <v>2271</v>
      </c>
      <c r="C77" s="6" t="s">
        <v>2272</v>
      </c>
    </row>
    <row r="78" spans="1:7">
      <c r="A78" s="6" t="s">
        <v>2273</v>
      </c>
      <c r="C78" s="6" t="s">
        <v>2274</v>
      </c>
    </row>
    <row r="79" spans="1:7">
      <c r="A79" s="6" t="s">
        <v>2275</v>
      </c>
    </row>
    <row r="80" spans="1:7">
      <c r="A80" s="6" t="s">
        <v>2276</v>
      </c>
      <c r="C80" s="6" t="str">
        <f>VLOOKUP(640,Sprachindex!$A:$Z,Info!$O$7,FALSE)</f>
        <v>OHNE Wärmedämmung</v>
      </c>
    </row>
    <row r="81" spans="1:3">
      <c r="A81" s="6" t="s">
        <v>2277</v>
      </c>
      <c r="C81" s="6" t="s">
        <v>2278</v>
      </c>
    </row>
    <row r="82" spans="1:3">
      <c r="A82" s="6" t="s">
        <v>2279</v>
      </c>
      <c r="C82" s="6" t="s">
        <v>2280</v>
      </c>
    </row>
    <row r="83" spans="1:3">
      <c r="A83" s="6" t="s">
        <v>2281</v>
      </c>
      <c r="C83" s="6" t="s">
        <v>2282</v>
      </c>
    </row>
    <row r="84" spans="1:3">
      <c r="A84" s="6" t="s">
        <v>2283</v>
      </c>
      <c r="C84" s="6" t="s">
        <v>2284</v>
      </c>
    </row>
    <row r="85" spans="1:3">
      <c r="A85" s="6" t="s">
        <v>2285</v>
      </c>
      <c r="C85" s="6" t="s">
        <v>2286</v>
      </c>
    </row>
    <row r="86" spans="1:3">
      <c r="A86" s="6" t="s">
        <v>2287</v>
      </c>
      <c r="C86" s="6" t="s">
        <v>2288</v>
      </c>
    </row>
    <row r="87" spans="1:3">
      <c r="A87" s="6" t="s">
        <v>2289</v>
      </c>
      <c r="C87" s="6" t="s">
        <v>2290</v>
      </c>
    </row>
    <row r="88" spans="1:3">
      <c r="A88" s="6" t="s">
        <v>2291</v>
      </c>
      <c r="C88" s="6" t="s">
        <v>2292</v>
      </c>
    </row>
    <row r="89" spans="1:3">
      <c r="A89" s="6" t="s">
        <v>2293</v>
      </c>
      <c r="C89" s="6" t="s">
        <v>2294</v>
      </c>
    </row>
    <row r="90" spans="1:3">
      <c r="A90" s="6" t="s">
        <v>2295</v>
      </c>
      <c r="C90" s="6" t="s">
        <v>2296</v>
      </c>
    </row>
    <row r="91" spans="1:3">
      <c r="A91" s="6" t="s">
        <v>2297</v>
      </c>
      <c r="C91" s="6" t="s">
        <v>2298</v>
      </c>
    </row>
    <row r="92" spans="1:3">
      <c r="A92" s="6" t="s">
        <v>2299</v>
      </c>
      <c r="C92" s="6" t="s">
        <v>2300</v>
      </c>
    </row>
    <row r="93" spans="1:3">
      <c r="A93" s="6" t="s">
        <v>2301</v>
      </c>
      <c r="C93" s="6" t="s">
        <v>2302</v>
      </c>
    </row>
    <row r="94" spans="1:3">
      <c r="A94" s="6" t="s">
        <v>2303</v>
      </c>
      <c r="C94" s="6" t="s">
        <v>2304</v>
      </c>
    </row>
    <row r="95" spans="1:3">
      <c r="A95" s="6" t="s">
        <v>2305</v>
      </c>
      <c r="C95" s="6" t="s">
        <v>2306</v>
      </c>
    </row>
    <row r="96" spans="1:3">
      <c r="A96" s="6" t="s">
        <v>2307</v>
      </c>
      <c r="C96" s="6" t="s">
        <v>2308</v>
      </c>
    </row>
    <row r="97" spans="1:4">
      <c r="A97" s="6" t="s">
        <v>2309</v>
      </c>
      <c r="C97" s="6" t="s">
        <v>2310</v>
      </c>
    </row>
    <row r="98" spans="1:4">
      <c r="A98" s="6" t="s">
        <v>2311</v>
      </c>
      <c r="C98" s="6" t="s">
        <v>2312</v>
      </c>
    </row>
    <row r="99" spans="1:4">
      <c r="A99" s="6" t="s">
        <v>2313</v>
      </c>
      <c r="C99" s="6" t="s">
        <v>2314</v>
      </c>
    </row>
    <row r="100" spans="1:4">
      <c r="A100" s="6" t="s">
        <v>2315</v>
      </c>
      <c r="C100" s="6" t="s">
        <v>2316</v>
      </c>
    </row>
    <row r="101" spans="1:4">
      <c r="C101" s="6" t="s">
        <v>2317</v>
      </c>
    </row>
    <row r="102" spans="1:4">
      <c r="A102" s="6" t="str">
        <f>VLOOKUP(591,Sprachindex!$A:$Z,Info!$O$7,FALSE)</f>
        <v>Maße:</v>
      </c>
      <c r="C102" s="6" t="s">
        <v>2318</v>
      </c>
      <c r="D102" s="6"/>
    </row>
    <row r="103" spans="1:4">
      <c r="C103" s="6" t="s">
        <v>2319</v>
      </c>
    </row>
    <row r="104" spans="1:4">
      <c r="A104" s="6" t="str">
        <f>VLOOKUP(617,Sprachindex!$A:$Z,Info!$O$7,FALSE)</f>
        <v>Moosgrün/Hellgrau</v>
      </c>
      <c r="C104" s="6" t="s">
        <v>2320</v>
      </c>
      <c r="D104" s="6"/>
    </row>
    <row r="105" spans="1:4">
      <c r="A105" s="6" t="str">
        <f>VLOOKUP(242,Sprachindex!$A:$Z,Info!$O$7,FALSE)</f>
        <v>Braun/Anthrazit</v>
      </c>
      <c r="C105" s="6" t="s">
        <v>2321</v>
      </c>
      <c r="D105" s="6"/>
    </row>
    <row r="106" spans="1:4">
      <c r="A106" s="6" t="str">
        <f>VLOOKUP(1031,Sprachindex!$A:$Z,Info!$O$7,FALSE)</f>
        <v>Ziegelrot/Oxydrot</v>
      </c>
      <c r="C106" s="6" t="s">
        <v>2322</v>
      </c>
      <c r="D106" s="6"/>
    </row>
    <row r="107" spans="1:4">
      <c r="A107" s="6" t="str">
        <f>VLOOKUP(680,Sprachindex!$A:$Z,Info!$O$7,FALSE)</f>
        <v>Prefaweiß/Prefaweiß</v>
      </c>
      <c r="C107" s="6" t="s">
        <v>2323</v>
      </c>
      <c r="D107" s="6"/>
    </row>
    <row r="108" spans="1:4">
      <c r="A108" s="6" t="str">
        <f>VLOOKUP(54,Sprachindex!$A:$Z,Info!$O$7,FALSE)</f>
        <v>13 Naturblank</v>
      </c>
      <c r="C108" s="6" t="s">
        <v>2324</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67"/>
    </row>
    <row r="127" spans="1:4">
      <c r="A127" s="6" t="str">
        <f>VLOOKUP(37,Sprachindex!$A:$Z,Info!$O$7,FALSE)</f>
        <v>07 P.10 Hellgrau</v>
      </c>
      <c r="D127" s="68"/>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189" t="s">
        <v>1636</v>
      </c>
    </row>
    <row r="142" spans="1:2">
      <c r="A142" s="189" t="s">
        <v>1637</v>
      </c>
    </row>
    <row r="143" spans="1:2">
      <c r="A143" s="189" t="s">
        <v>1638</v>
      </c>
    </row>
    <row r="144" spans="1:2">
      <c r="A144" s="189" t="s">
        <v>1639</v>
      </c>
    </row>
    <row r="145" spans="1:5">
      <c r="B145" t="s">
        <v>29771</v>
      </c>
    </row>
    <row r="146" spans="1:5">
      <c r="B146" t="str">
        <f>VLOOKUP(57,Sprachindex!$A:$Z,Info!$O$7,FALSE)</f>
        <v>140 mm</v>
      </c>
    </row>
    <row r="147" spans="1:5">
      <c r="B147" t="str">
        <f>VLOOKUP(69,Sprachindex!$A:$Z,Info!$O$7,FALSE)</f>
        <v>200 mm</v>
      </c>
    </row>
    <row r="148" spans="1:5">
      <c r="B148"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2326</v>
      </c>
    </row>
    <row r="153" spans="1:5">
      <c r="A153" t="str">
        <f>VLOOKUP(62,Sprachindex!$A:$Z,Info!$O$7,FALSE)</f>
        <v>180–260 mm</v>
      </c>
      <c r="E153" s="22" t="s">
        <v>2387</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2328</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2388</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2329</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2331</v>
      </c>
      <c r="B174" s="22"/>
    </row>
    <row r="175" spans="1:5">
      <c r="A175" s="22" t="str">
        <f>IF('RI_P.10'!O17=0,"",IF('RI_P.10'!O17=1,'RI_P.10'!L21,IF('RI_P.10'!O17=2,'RI_P.10'!L22,IF('RI_P.10'!O17=3,'RI_P.10'!M21,IF('RI_P.10'!O17=4,'RI_P.10'!M22,IF('RI_P.10'!O17=5,VLOOKUP(305,Sprachindex!$A:$Z,Info!$O$7,FALSE),""))))))</f>
        <v/>
      </c>
      <c r="B175" s="22"/>
    </row>
    <row r="177" spans="1:7">
      <c r="A177" s="22" t="s">
        <v>2332</v>
      </c>
      <c r="B177" s="22"/>
    </row>
    <row r="178" spans="1:7">
      <c r="A178" s="22" t="str">
        <f>IF('RI_P.10'!O17=0,"",IF('RI_P.10'!O17=1,'RI_P.10'!L21,IF('RI_P.10'!O17=5,'RI_P.10'!G36,IF('RI_P.10'!O17=3,'RI_P.10'!M21,IF('RI_P.10'!O17=4,'RI_P.10'!M22,IF('RI_P.10'!O17=2,VLOOKUP(305,Sprachindex!$A:$Z,Info!$O$7,FALSE),A169))))))</f>
        <v/>
      </c>
      <c r="B178" s="22"/>
    </row>
    <row r="180" spans="1:7">
      <c r="A180" s="22" t="s">
        <v>2333</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2389</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2334</v>
      </c>
      <c r="B190" s="22"/>
    </row>
    <row r="191" spans="1:7">
      <c r="A191" s="22" t="str">
        <f>IF('RI_P.10'!O17=0,"",IF(AND('RI_P.10'!O17=1,'RI_P.10'!O18=2),E184 &amp; " x " &amp;F185,IF(AND('RI_P.10'!O17=2,'RI_P.10'!O18=2),E185 &amp; " x " &amp;F185,IF(AND('RI_P.10'!O17=3,'RI_P.10'!O18=2),E186 &amp; " x " &amp;F185,IF(AND('RI_P.10'!O17=4,'RI_P.10'!O18=4),E187 &amp; " x " &amp;F187,IF(AND('RI_P.10'!O17=2,'RI_P.10'!O18=3),E185 &amp; " x " &amp;F186,IF(AND('RI_P.10'!O17=3,'RI_P.10'!O18=3),E186 &amp; " x " &amp;F186,IF(AND('RI_P.10'!O17=4,'RI_P.10'!O18=5),E187 &amp; " x " &amp;F188,IF(AND('RI_P.10'!O17=3,'RI_P.10'!O18=4),E186 &amp; " x " &amp;F187,IF(AND('RI_P.10'!O17=1,'RI_P.10'!O18=1),E184 &amp; " x " &amp;F184,IF(AND('RI_P.10'!O17=4,'RI_P.10'!O18=5),E187 &amp; " x " &amp;F188,A169)))))))))))</f>
        <v/>
      </c>
      <c r="B191" s="22"/>
    </row>
    <row r="193" spans="1:5">
      <c r="A193" s="22" t="s">
        <v>2335</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2336</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2337</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2338</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2339</v>
      </c>
      <c r="B213" s="22"/>
    </row>
    <row r="214" spans="1:5">
      <c r="A214" s="22" t="str">
        <f>IF('RI_P.10'!O17=0,"",IF('RI_P.10'!O17=1,E184,IF('RI_P.10'!O17=3,E186,IF('RI_P.10'!O17=4,E187,A169))))</f>
        <v/>
      </c>
      <c r="B214" s="22"/>
    </row>
    <row r="216" spans="1:5">
      <c r="A216" s="22" t="s">
        <v>2340</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2341</v>
      </c>
      <c r="B221" s="22"/>
    </row>
    <row r="222" spans="1:5">
      <c r="A222" s="22" t="str">
        <f>IF('RI_P.10'!O18=0,"",IF('RI_P.10'!O18=2,F185,IF('RI_P.10'!O18=3,F186,IF('RI_P.10'!O18=4,F187,IF('RI_P.10'!O18=5,F188,A169)))))</f>
        <v/>
      </c>
    </row>
    <row r="224" spans="1:5">
      <c r="A224" s="22" t="s">
        <v>2390</v>
      </c>
      <c r="B224" s="22"/>
      <c r="C224" s="22"/>
      <c r="D224" s="22"/>
    </row>
    <row r="225" spans="1:2">
      <c r="A225" s="22" t="str">
        <f>IF('RI_P.10'!O18=0,"",IF('RI_P.10'!O18=1,F184,IF('RI_P.10'!O18=2,F185,IF('RI_P.10'!O18=3,F186,IF('RI_P.10'!O18=4,F187,IF('RI_P.10'!O18=5,F188,A169))))))</f>
        <v/>
      </c>
    </row>
    <row r="227" spans="1:2">
      <c r="A227" s="22" t="s">
        <v>2343</v>
      </c>
    </row>
    <row r="228" spans="1:2">
      <c r="A228" s="22" t="str">
        <f>IF('RI_P.10'!O18=1,F184,IF('RI_P.10'!O18=2,F185,IF('RI_P.10'!O18=3,F186,IF('RI_P.10'!O18=4,F187,IF('RI_P.10'!O18=5,F188,"")))))</f>
        <v/>
      </c>
    </row>
    <row r="230" spans="1:2">
      <c r="A230" s="22" t="s">
        <v>2344</v>
      </c>
    </row>
    <row r="231" spans="1:2">
      <c r="A231" s="22" t="str">
        <f>IF('RI_P.10'!O18=0,"",IF('RI_P.10'!O18=2,F185,IF('RI_P.10'!O18=3,F186,IF('RI_P.10'!O18=4,F187,A169))))</f>
        <v/>
      </c>
    </row>
    <row r="233" spans="1:2">
      <c r="A233" s="22" t="s">
        <v>2345</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2391</v>
      </c>
    </row>
    <row r="240" spans="1:2">
      <c r="A240" s="22" t="str">
        <f>IF('RI_P.10'!O18=0,VLOOKUP(2215,Sprachindex!$A:$Z,Info!$O$7,FALSE),IF('RI_P.10'!O18=1,VLOOKUP(2215,Sprachindex!$A:$Z,Info!$O$7,FALSE),A169))</f>
        <v>60 ⌀ × 3.000 mm</v>
      </c>
    </row>
    <row r="242" spans="1:3">
      <c r="A242" s="22" t="s">
        <v>2347</v>
      </c>
    </row>
    <row r="243" spans="1:3">
      <c r="A243" s="22" t="str">
        <f>IF('RI_P.10'!O18=0,VLOOKUP(2216,Sprachindex!$A:$Z,Info!$O$7,FALSE),IF('RI_P.10'!O18=3,VLOOKUP(2216,Sprachindex!$A:$Z,Info!$O$7,FALSE),A169))</f>
        <v>100 ⌀ × 1.450 mm</v>
      </c>
    </row>
    <row r="245" spans="1:3">
      <c r="A245" s="22" t="s">
        <v>2348</v>
      </c>
    </row>
    <row r="246" spans="1:3">
      <c r="A246" s="22" t="str">
        <f>IF('RI_P.10'!O18=0,VLOOKUP(2217,Sprachindex!$A:$Z,Info!$O$7,FALSE),IF('RI_P.10'!O18=3,VLOOKUP(2217,Sprachindex!$A:$Z,Info!$O$7,FALSE),A169))</f>
        <v>100 ⌀ 700–1.100 mm</v>
      </c>
    </row>
    <row r="247" spans="1:3">
      <c r="C247" t="s">
        <v>1318</v>
      </c>
    </row>
    <row r="248" spans="1:3">
      <c r="A248" s="22" t="s">
        <v>2349</v>
      </c>
      <c r="C248" t="s">
        <v>1326</v>
      </c>
    </row>
    <row r="249" spans="1:3">
      <c r="A249" s="22"/>
      <c r="C249" t="s">
        <v>1334</v>
      </c>
    </row>
    <row r="250" spans="1:3">
      <c r="A250" s="22" t="str">
        <f>IF('RI_P.10'!O18=0,"",IF('RI_P.10'!O18=2,C248,IF('RI_P.10'!O18=3,C249,IF('RI_P.10'!O18=4,C251,IF('RI_P.10'!O18=1,C247,"")))))</f>
        <v/>
      </c>
      <c r="C250" t="s">
        <v>1310</v>
      </c>
    </row>
    <row r="251" spans="1:3">
      <c r="A251" s="22" t="str">
        <f>IF('RI_P.10'!O18=0,"",IF('RI_P.10'!O18=3,C250,""))</f>
        <v/>
      </c>
      <c r="C251" t="s">
        <v>1349</v>
      </c>
    </row>
    <row r="253" spans="1:3">
      <c r="A253" s="22" t="s">
        <v>2350</v>
      </c>
      <c r="C253" t="s">
        <v>2351</v>
      </c>
    </row>
    <row r="254" spans="1:3">
      <c r="A254" s="22" t="str">
        <f>IF('RI_P.10'!O18=0,"",IF('RI_P.10'!O18=2,C253,IF('RI_P.10'!O18=3,C254,IF('RI_P.10'!O18=4,C255,A169))))</f>
        <v/>
      </c>
      <c r="C254" t="s">
        <v>2352</v>
      </c>
    </row>
    <row r="255" spans="1:3">
      <c r="A255" s="22"/>
      <c r="C255" t="s">
        <v>2353</v>
      </c>
    </row>
    <row r="257" spans="1:1">
      <c r="A257" s="22" t="s">
        <v>2354</v>
      </c>
    </row>
    <row r="258" spans="1:1">
      <c r="A258" s="22"/>
    </row>
    <row r="259" spans="1:1">
      <c r="A259" s="26" t="str">
        <f>VLOOKUP(96,Sprachindex!$A:$Z,Info!$O$7,FALSE)</f>
        <v>4 × 9,5 mm</v>
      </c>
    </row>
    <row r="260" spans="1:1">
      <c r="A260" s="26" t="str">
        <f>VLOOKUP(97,Sprachindex!$A:$Z,Info!$O$7,FALSE)</f>
        <v>4,8 × 17 mm</v>
      </c>
    </row>
    <row r="262" spans="1:1">
      <c r="A262" s="22" t="s">
        <v>2355</v>
      </c>
    </row>
    <row r="263" spans="1:1">
      <c r="A263" s="22"/>
    </row>
    <row r="264" spans="1:1">
      <c r="A264" s="22" t="str">
        <f>VLOOKUP(23,Sprachindex!$A:$Z,Info!$O$7,FALSE)</f>
        <v>0,75 l Dose</v>
      </c>
    </row>
    <row r="265" spans="1:1">
      <c r="A265" s="25" t="str">
        <f>VLOOKUP(119,Sprachindex!$A:$Z,Info!$O$7,FALSE)</f>
        <v>Dose mit Pinsel (50 ml)</v>
      </c>
    </row>
    <row r="267" spans="1:1">
      <c r="A267" s="22" t="s">
        <v>2356</v>
      </c>
    </row>
    <row r="268" spans="1:1">
      <c r="A268" s="22" t="str">
        <f>IF('RI_P.10'!O18=0,"",IF('RI_P.10'!O18=2,F185,IF('RI_P.10'!O18=3,F186,IF('RI_P.10'!O18=4,F187,IF('RI_P.10'!O18=1,F184,A169)))))</f>
        <v/>
      </c>
    </row>
    <row r="271" spans="1:1">
      <c r="A271" t="s">
        <v>2357</v>
      </c>
    </row>
    <row r="273" spans="1:1">
      <c r="A273" s="133" t="s">
        <v>2358</v>
      </c>
    </row>
    <row r="274" spans="1:1">
      <c r="A274" s="133" t="s">
        <v>2359</v>
      </c>
    </row>
    <row r="275" spans="1:1">
      <c r="A275" s="133" t="s">
        <v>2360</v>
      </c>
    </row>
    <row r="277" spans="1:1">
      <c r="A277" t="str">
        <f>VLOOKUP(57,Sprachindex!$A:$Z,Info!$O$7,FALSE)</f>
        <v>140 mm</v>
      </c>
    </row>
    <row r="278" spans="1:1">
      <c r="A278" t="str">
        <f>VLOOKUP(90,Sprachindex!$A:$Z,Info!$O$7,FALSE)</f>
        <v>330 mm</v>
      </c>
    </row>
    <row r="280" spans="1:1">
      <c r="A280" s="177" t="str">
        <f>VLOOKUP(24,Sprachindex!$A:$Z,Info!$O$7,FALSE)</f>
        <v>01 Braun</v>
      </c>
    </row>
    <row r="281" spans="1:1">
      <c r="A281" s="177" t="str">
        <f>VLOOKUP(26,Sprachindex!$A:$Z,Info!$O$7,FALSE)</f>
        <v>02 Anthrazit</v>
      </c>
    </row>
    <row r="282" spans="1:1">
      <c r="A282" s="177" t="str">
        <f>VLOOKUP(36,Sprachindex!$A:$Z,Info!$O$7,FALSE)</f>
        <v>07 Hellgrau</v>
      </c>
    </row>
    <row r="283" spans="1:1">
      <c r="A283" s="177" t="str">
        <f>VLOOKUP(29,Sprachindex!$A:$Z,Info!$O$7,FALSE)</f>
        <v>03 Schwarz</v>
      </c>
    </row>
    <row r="284" spans="1:1">
      <c r="A284" s="177" t="str">
        <f>VLOOKUP(43,Sprachindex!$A:$Z,Info!$O$7,FALSE)</f>
        <v>10 Prefaweiß</v>
      </c>
    </row>
    <row r="285" spans="1:1">
      <c r="A285" s="177" t="str">
        <f>VLOOKUP(50,Sprachindex!$A:$Z,Info!$O$7,FALSE)</f>
        <v>11 Nussbraun</v>
      </c>
    </row>
    <row r="286" spans="1:1">
      <c r="A286" s="177"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2361</v>
      </c>
    </row>
    <row r="299" spans="1:1">
      <c r="A299" t="str">
        <f>VLOOKUP(1440,Sprachindex!$A:$Z,Info!$O$7,FALSE)</f>
        <v>Ø 110/100 mm</v>
      </c>
    </row>
    <row r="300" spans="1:1">
      <c r="A300" t="str">
        <f>VLOOKUP(1441,Sprachindex!$A:$Z,Info!$O$7,FALSE)</f>
        <v>Ø 125/120 mm</v>
      </c>
    </row>
    <row r="434" spans="2:14">
      <c r="B434" s="134"/>
      <c r="C434" s="134"/>
      <c r="D434" s="134"/>
      <c r="E434" s="134"/>
      <c r="F434" s="134"/>
      <c r="G434" s="134"/>
      <c r="H434" s="134"/>
      <c r="I434" s="134"/>
      <c r="J434" s="134"/>
      <c r="K434" s="134"/>
      <c r="L434" s="134"/>
      <c r="M434" s="134"/>
      <c r="N434" s="134"/>
    </row>
    <row r="435" spans="2:14">
      <c r="B435" s="134"/>
      <c r="C435" s="134"/>
      <c r="D435" s="134"/>
      <c r="E435" s="134"/>
      <c r="F435" s="134"/>
      <c r="G435" s="134"/>
      <c r="H435" s="134"/>
      <c r="I435" s="134"/>
      <c r="J435" s="134"/>
      <c r="K435" s="134"/>
      <c r="L435" s="134"/>
      <c r="M435" s="134"/>
      <c r="N435" s="134"/>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P2953"/>
  <sheetViews>
    <sheetView workbookViewId="0">
      <pane ySplit="1" topLeftCell="A2" activePane="bottomLeft" state="frozen"/>
      <selection pane="bottomLeft" activeCell="B8" sqref="B8"/>
    </sheetView>
  </sheetViews>
  <sheetFormatPr baseColWidth="10" defaultColWidth="11.44140625" defaultRowHeight="13.8"/>
  <cols>
    <col min="1" max="1" width="13.6640625" style="139" customWidth="1"/>
    <col min="2" max="2" width="85.5546875" style="36" customWidth="1"/>
    <col min="3" max="5" width="75.6640625" style="36" customWidth="1"/>
    <col min="6" max="6" width="75.5546875" style="36" customWidth="1"/>
    <col min="7" max="15" width="75.6640625" style="36" customWidth="1"/>
    <col min="16" max="16" width="255.6640625" style="36" customWidth="1"/>
    <col min="17" max="16384" width="11.44140625" style="36"/>
  </cols>
  <sheetData>
    <row r="1" spans="1:16">
      <c r="A1" s="139" t="s">
        <v>2392</v>
      </c>
      <c r="B1" s="36" t="s">
        <v>2393</v>
      </c>
      <c r="C1" s="36" t="s">
        <v>2394</v>
      </c>
      <c r="D1" s="36" t="s">
        <v>2395</v>
      </c>
      <c r="E1" s="36" t="s">
        <v>2396</v>
      </c>
      <c r="F1" s="36" t="s">
        <v>2397</v>
      </c>
      <c r="G1" s="36" t="s">
        <v>2398</v>
      </c>
      <c r="H1" s="36" t="s">
        <v>2399</v>
      </c>
      <c r="I1" s="36" t="s">
        <v>2400</v>
      </c>
      <c r="J1" s="36" t="s">
        <v>2401</v>
      </c>
      <c r="K1" s="36" t="s">
        <v>2402</v>
      </c>
      <c r="L1" s="36" t="s">
        <v>2403</v>
      </c>
      <c r="M1" s="36" t="s">
        <v>2404</v>
      </c>
      <c r="N1" s="36" t="s">
        <v>2405</v>
      </c>
      <c r="O1" s="36" t="s">
        <v>2406</v>
      </c>
      <c r="P1" s="36" t="s">
        <v>2407</v>
      </c>
    </row>
    <row r="2" spans="1:16">
      <c r="A2" s="139">
        <v>1</v>
      </c>
      <c r="B2" s="36">
        <v>250</v>
      </c>
      <c r="C2" s="36">
        <v>250</v>
      </c>
      <c r="D2" s="36" t="s">
        <v>2408</v>
      </c>
      <c r="E2" s="36">
        <v>250</v>
      </c>
      <c r="F2" s="36">
        <v>250</v>
      </c>
      <c r="G2" s="36">
        <v>250</v>
      </c>
      <c r="H2" s="36">
        <v>250</v>
      </c>
      <c r="I2" s="36">
        <v>250</v>
      </c>
      <c r="J2" s="36">
        <v>250</v>
      </c>
      <c r="K2" s="36">
        <v>250</v>
      </c>
      <c r="L2" s="36">
        <v>250</v>
      </c>
      <c r="M2" s="36">
        <v>250</v>
      </c>
      <c r="N2" s="36">
        <v>250</v>
      </c>
      <c r="O2" s="36">
        <v>250</v>
      </c>
      <c r="P2" s="36">
        <v>250</v>
      </c>
    </row>
    <row r="3" spans="1:16">
      <c r="A3" s="139">
        <v>2</v>
      </c>
      <c r="B3" s="36">
        <v>280</v>
      </c>
      <c r="C3" s="36">
        <v>280</v>
      </c>
      <c r="D3" s="36" t="s">
        <v>2409</v>
      </c>
      <c r="E3" s="36">
        <v>280</v>
      </c>
      <c r="F3" s="36">
        <v>280</v>
      </c>
      <c r="G3" s="36">
        <v>280</v>
      </c>
      <c r="H3" s="36">
        <v>280</v>
      </c>
      <c r="I3" s="36">
        <v>280</v>
      </c>
      <c r="J3" s="36">
        <v>280</v>
      </c>
      <c r="K3" s="36">
        <v>280</v>
      </c>
      <c r="L3" s="36">
        <v>280</v>
      </c>
      <c r="M3" s="36">
        <v>280</v>
      </c>
      <c r="N3" s="36">
        <v>280</v>
      </c>
      <c r="O3" s="36">
        <v>280</v>
      </c>
      <c r="P3" s="36">
        <v>280</v>
      </c>
    </row>
    <row r="4" spans="1:16">
      <c r="A4" s="139">
        <v>3</v>
      </c>
      <c r="B4" s="36">
        <v>333</v>
      </c>
      <c r="C4" s="36">
        <v>333</v>
      </c>
      <c r="D4" s="36" t="s">
        <v>2410</v>
      </c>
      <c r="E4" s="36">
        <v>333</v>
      </c>
      <c r="F4" s="36">
        <v>333</v>
      </c>
      <c r="G4" s="36">
        <v>333</v>
      </c>
      <c r="H4" s="36">
        <v>333</v>
      </c>
      <c r="I4" s="36">
        <v>333</v>
      </c>
      <c r="J4" s="36">
        <v>333</v>
      </c>
      <c r="K4" s="36">
        <v>333</v>
      </c>
      <c r="L4" s="36">
        <v>333</v>
      </c>
      <c r="M4" s="36">
        <v>333</v>
      </c>
      <c r="N4" s="36">
        <v>333</v>
      </c>
      <c r="O4" s="36">
        <v>333</v>
      </c>
      <c r="P4" s="36">
        <v>333</v>
      </c>
    </row>
    <row r="5" spans="1:16">
      <c r="A5" s="139">
        <v>4</v>
      </c>
      <c r="B5" s="36">
        <v>400</v>
      </c>
      <c r="C5" s="36">
        <v>400</v>
      </c>
      <c r="D5" s="36" t="s">
        <v>2411</v>
      </c>
      <c r="E5" s="36">
        <v>400</v>
      </c>
      <c r="F5" s="36">
        <v>400</v>
      </c>
      <c r="G5" s="36">
        <v>400</v>
      </c>
      <c r="H5" s="36">
        <v>400</v>
      </c>
      <c r="I5" s="36">
        <v>400</v>
      </c>
      <c r="J5" s="36">
        <v>400</v>
      </c>
      <c r="K5" s="36">
        <v>400</v>
      </c>
      <c r="L5" s="36">
        <v>400</v>
      </c>
      <c r="M5" s="36">
        <v>400</v>
      </c>
      <c r="N5" s="36">
        <v>400</v>
      </c>
      <c r="O5" s="36">
        <v>400</v>
      </c>
      <c r="P5" s="36">
        <v>400</v>
      </c>
    </row>
    <row r="6" spans="1:16">
      <c r="A6" s="139">
        <v>5</v>
      </c>
      <c r="B6" s="36">
        <v>500</v>
      </c>
      <c r="C6" s="36">
        <v>500</v>
      </c>
      <c r="D6" s="36" t="s">
        <v>2412</v>
      </c>
      <c r="E6" s="36">
        <v>500</v>
      </c>
      <c r="F6" s="36">
        <v>500</v>
      </c>
      <c r="G6" s="36">
        <v>500</v>
      </c>
      <c r="H6" s="36">
        <v>500</v>
      </c>
      <c r="I6" s="36">
        <v>500</v>
      </c>
      <c r="J6" s="36">
        <v>500</v>
      </c>
      <c r="K6" s="36">
        <v>500</v>
      </c>
      <c r="L6" s="36">
        <v>500</v>
      </c>
      <c r="M6" s="36">
        <v>500</v>
      </c>
      <c r="N6" s="36">
        <v>500</v>
      </c>
      <c r="O6" s="36">
        <v>500</v>
      </c>
      <c r="P6" s="36">
        <v>500</v>
      </c>
    </row>
    <row r="7" spans="1:16">
      <c r="A7" s="139">
        <v>6</v>
      </c>
      <c r="B7" s="36" t="s">
        <v>2413</v>
      </c>
      <c r="C7" s="36" t="s">
        <v>2414</v>
      </c>
      <c r="D7" s="36" t="s">
        <v>2415</v>
      </c>
      <c r="E7" s="36" t="s">
        <v>2416</v>
      </c>
      <c r="F7" s="36" t="s">
        <v>2417</v>
      </c>
      <c r="G7" s="36" t="s">
        <v>2418</v>
      </c>
      <c r="H7" s="36" t="s">
        <v>2419</v>
      </c>
      <c r="I7" s="36" t="s">
        <v>2420</v>
      </c>
      <c r="J7" s="36" t="s">
        <v>2421</v>
      </c>
      <c r="K7" s="36" t="s">
        <v>2422</v>
      </c>
      <c r="L7" s="36" t="s">
        <v>2423</v>
      </c>
      <c r="M7" s="36" t="s">
        <v>2424</v>
      </c>
      <c r="N7" s="36" t="s">
        <v>2424</v>
      </c>
      <c r="O7" s="36" t="s">
        <v>2425</v>
      </c>
      <c r="P7" s="36" t="s">
        <v>2413</v>
      </c>
    </row>
    <row r="8" spans="1:16">
      <c r="A8" s="139">
        <v>7</v>
      </c>
      <c r="B8" s="36" t="s">
        <v>2426</v>
      </c>
      <c r="C8" s="36" t="s">
        <v>2427</v>
      </c>
      <c r="D8" s="36" t="s">
        <v>2428</v>
      </c>
      <c r="E8" s="36" t="s">
        <v>2429</v>
      </c>
      <c r="F8" s="36" t="s">
        <v>2430</v>
      </c>
      <c r="G8" s="36" t="s">
        <v>2431</v>
      </c>
      <c r="H8" s="36" t="s">
        <v>2432</v>
      </c>
      <c r="I8" s="36" t="s">
        <v>2433</v>
      </c>
      <c r="J8" s="36" t="s">
        <v>2434</v>
      </c>
      <c r="K8" s="36" t="s">
        <v>2435</v>
      </c>
      <c r="L8" s="36" t="s">
        <v>2436</v>
      </c>
      <c r="M8" s="36" t="s">
        <v>2437</v>
      </c>
      <c r="N8" s="36" t="s">
        <v>2437</v>
      </c>
      <c r="O8" s="36" t="s">
        <v>2438</v>
      </c>
      <c r="P8" s="36" t="s">
        <v>2426</v>
      </c>
    </row>
    <row r="9" spans="1:16">
      <c r="A9" s="139">
        <v>8</v>
      </c>
      <c r="B9" s="36" t="s">
        <v>2439</v>
      </c>
      <c r="C9" s="36" t="s">
        <v>2440</v>
      </c>
      <c r="D9" s="36" t="s">
        <v>2441</v>
      </c>
      <c r="E9" s="36" t="s">
        <v>2442</v>
      </c>
      <c r="F9" s="36" t="s">
        <v>2443</v>
      </c>
      <c r="G9" s="36" t="s">
        <v>2444</v>
      </c>
      <c r="H9" s="36" t="s">
        <v>2445</v>
      </c>
      <c r="I9" s="36" t="s">
        <v>2446</v>
      </c>
      <c r="J9" s="36" t="s">
        <v>2447</v>
      </c>
      <c r="K9" s="36" t="s">
        <v>2448</v>
      </c>
      <c r="L9" s="36" t="s">
        <v>2449</v>
      </c>
      <c r="M9" s="36" t="s">
        <v>2450</v>
      </c>
      <c r="N9" s="36" t="s">
        <v>2450</v>
      </c>
      <c r="O9" s="36" t="s">
        <v>2451</v>
      </c>
      <c r="P9" s="36" t="s">
        <v>2439</v>
      </c>
    </row>
    <row r="10" spans="1:16">
      <c r="A10" s="139">
        <v>9</v>
      </c>
      <c r="B10" s="36" t="s">
        <v>2452</v>
      </c>
      <c r="C10" s="36" t="s">
        <v>2453</v>
      </c>
      <c r="D10" s="36" t="s">
        <v>2454</v>
      </c>
      <c r="E10" s="36" t="s">
        <v>2455</v>
      </c>
      <c r="F10" s="36" t="s">
        <v>2456</v>
      </c>
      <c r="G10" s="36" t="s">
        <v>2457</v>
      </c>
      <c r="H10" s="36" t="s">
        <v>2458</v>
      </c>
      <c r="I10" s="36" t="s">
        <v>2459</v>
      </c>
      <c r="J10" s="36" t="s">
        <v>2460</v>
      </c>
      <c r="K10" s="36" t="s">
        <v>2461</v>
      </c>
      <c r="L10" s="36" t="s">
        <v>2462</v>
      </c>
      <c r="M10" s="36" t="s">
        <v>2463</v>
      </c>
      <c r="N10" s="36" t="s">
        <v>2463</v>
      </c>
      <c r="O10" s="36" t="s">
        <v>2464</v>
      </c>
      <c r="P10" s="36" t="s">
        <v>2452</v>
      </c>
    </row>
    <row r="11" spans="1:16">
      <c r="A11" s="139">
        <v>10</v>
      </c>
      <c r="B11" s="36" t="s">
        <v>2465</v>
      </c>
      <c r="C11" s="36" t="s">
        <v>2466</v>
      </c>
      <c r="D11" s="36" t="s">
        <v>2467</v>
      </c>
      <c r="E11" s="36" t="s">
        <v>2468</v>
      </c>
      <c r="F11" s="36" t="s">
        <v>2469</v>
      </c>
      <c r="G11" s="36" t="s">
        <v>2465</v>
      </c>
      <c r="H11" s="36" t="s">
        <v>2470</v>
      </c>
      <c r="I11" s="36" t="s">
        <v>2471</v>
      </c>
      <c r="J11" s="36" t="s">
        <v>2472</v>
      </c>
      <c r="K11" s="36" t="s">
        <v>2473</v>
      </c>
      <c r="L11" s="36" t="s">
        <v>2474</v>
      </c>
      <c r="M11" s="36" t="s">
        <v>2475</v>
      </c>
      <c r="N11" s="36" t="s">
        <v>2476</v>
      </c>
      <c r="O11" s="36" t="s">
        <v>2477</v>
      </c>
      <c r="P11" s="36" t="s">
        <v>2465</v>
      </c>
    </row>
    <row r="12" spans="1:16">
      <c r="A12" s="139">
        <v>11</v>
      </c>
      <c r="B12" s="36" t="s">
        <v>2478</v>
      </c>
      <c r="C12" s="36" t="s">
        <v>2479</v>
      </c>
      <c r="D12" s="36" t="s">
        <v>2480</v>
      </c>
      <c r="E12" s="36" t="s">
        <v>2481</v>
      </c>
      <c r="F12" s="36" t="s">
        <v>2482</v>
      </c>
      <c r="G12" s="36" t="s">
        <v>2483</v>
      </c>
      <c r="H12" s="36" t="s">
        <v>2484</v>
      </c>
      <c r="I12" s="36" t="s">
        <v>2485</v>
      </c>
      <c r="J12" s="36" t="s">
        <v>2486</v>
      </c>
      <c r="K12" s="36" t="s">
        <v>2487</v>
      </c>
      <c r="L12" s="36" t="s">
        <v>2488</v>
      </c>
      <c r="M12" s="36" t="s">
        <v>2489</v>
      </c>
      <c r="N12" s="36" t="s">
        <v>2490</v>
      </c>
      <c r="O12" s="36" t="s">
        <v>2491</v>
      </c>
      <c r="P12" s="36" t="s">
        <v>2478</v>
      </c>
    </row>
    <row r="13" spans="1:16">
      <c r="A13" s="139">
        <v>12</v>
      </c>
      <c r="B13" s="36" t="s">
        <v>2492</v>
      </c>
      <c r="C13" s="36" t="s">
        <v>2493</v>
      </c>
      <c r="D13" s="36" t="s">
        <v>2494</v>
      </c>
      <c r="E13" s="36" t="s">
        <v>2495</v>
      </c>
      <c r="F13" s="36" t="s">
        <v>2496</v>
      </c>
      <c r="G13" s="36" t="s">
        <v>2497</v>
      </c>
      <c r="H13" s="36" t="s">
        <v>2498</v>
      </c>
      <c r="I13" s="36" t="s">
        <v>2499</v>
      </c>
      <c r="J13" s="36" t="s">
        <v>2500</v>
      </c>
      <c r="K13" s="36" t="s">
        <v>2501</v>
      </c>
      <c r="L13" s="36" t="s">
        <v>2502</v>
      </c>
      <c r="M13" s="36" t="s">
        <v>2503</v>
      </c>
      <c r="N13" s="36" t="s">
        <v>2504</v>
      </c>
      <c r="O13" s="36" t="s">
        <v>2505</v>
      </c>
      <c r="P13" s="36" t="s">
        <v>2492</v>
      </c>
    </row>
    <row r="14" spans="1:16">
      <c r="A14" s="139">
        <v>13</v>
      </c>
      <c r="B14" s="36" t="s">
        <v>2506</v>
      </c>
      <c r="C14" s="36" t="s">
        <v>2507</v>
      </c>
      <c r="D14" s="36" t="s">
        <v>2508</v>
      </c>
      <c r="E14" s="36" t="s">
        <v>2509</v>
      </c>
      <c r="F14" s="36" t="s">
        <v>2510</v>
      </c>
      <c r="G14" s="36" t="s">
        <v>2511</v>
      </c>
      <c r="H14" s="36" t="s">
        <v>2512</v>
      </c>
      <c r="I14" s="36" t="s">
        <v>2513</v>
      </c>
      <c r="J14" s="36" t="s">
        <v>2514</v>
      </c>
      <c r="K14" s="36" t="s">
        <v>2515</v>
      </c>
      <c r="L14" s="36" t="s">
        <v>2516</v>
      </c>
      <c r="M14" s="36" t="s">
        <v>2517</v>
      </c>
      <c r="N14" s="36" t="s">
        <v>2518</v>
      </c>
      <c r="O14" s="36" t="s">
        <v>2519</v>
      </c>
      <c r="P14" s="36" t="s">
        <v>2506</v>
      </c>
    </row>
    <row r="15" spans="1:16">
      <c r="A15" s="139">
        <v>14</v>
      </c>
      <c r="B15" s="36" t="s">
        <v>2520</v>
      </c>
      <c r="C15" s="36" t="s">
        <v>2521</v>
      </c>
      <c r="D15" s="36" t="s">
        <v>2522</v>
      </c>
      <c r="E15" s="36" t="s">
        <v>2523</v>
      </c>
      <c r="F15" s="36" t="s">
        <v>2524</v>
      </c>
      <c r="G15" s="36" t="s">
        <v>2525</v>
      </c>
      <c r="H15" s="36" t="s">
        <v>2526</v>
      </c>
      <c r="I15" s="36" t="s">
        <v>2527</v>
      </c>
      <c r="J15" s="36" t="s">
        <v>2528</v>
      </c>
      <c r="K15" s="36" t="s">
        <v>2529</v>
      </c>
      <c r="L15" s="36" t="s">
        <v>2530</v>
      </c>
      <c r="M15" s="36" t="s">
        <v>2531</v>
      </c>
      <c r="N15" s="36" t="s">
        <v>2532</v>
      </c>
      <c r="O15" s="36" t="s">
        <v>2533</v>
      </c>
      <c r="P15" s="36" t="s">
        <v>2520</v>
      </c>
    </row>
    <row r="16" spans="1:16">
      <c r="A16" s="139">
        <v>15</v>
      </c>
      <c r="B16" s="36" t="s">
        <v>2534</v>
      </c>
      <c r="C16" s="36" t="s">
        <v>2535</v>
      </c>
      <c r="D16" s="36" t="s">
        <v>2536</v>
      </c>
      <c r="E16" s="36" t="s">
        <v>2537</v>
      </c>
      <c r="F16" s="36" t="s">
        <v>2538</v>
      </c>
      <c r="G16" s="36" t="s">
        <v>2539</v>
      </c>
      <c r="H16" s="36" t="s">
        <v>2540</v>
      </c>
      <c r="I16" s="36" t="s">
        <v>2541</v>
      </c>
      <c r="J16" s="36" t="s">
        <v>2542</v>
      </c>
      <c r="K16" s="36" t="s">
        <v>2543</v>
      </c>
      <c r="L16" s="36" t="s">
        <v>2544</v>
      </c>
      <c r="M16" s="36" t="s">
        <v>2545</v>
      </c>
      <c r="N16" s="36" t="s">
        <v>2546</v>
      </c>
      <c r="O16" s="36" t="s">
        <v>2547</v>
      </c>
      <c r="P16" s="36" t="s">
        <v>2534</v>
      </c>
    </row>
    <row r="17" spans="1:16">
      <c r="A17" s="139">
        <v>16</v>
      </c>
      <c r="B17" s="36" t="s">
        <v>2548</v>
      </c>
      <c r="C17" s="36" t="s">
        <v>2549</v>
      </c>
      <c r="D17" s="36" t="s">
        <v>2550</v>
      </c>
      <c r="E17" s="36" t="s">
        <v>2549</v>
      </c>
      <c r="F17" s="36" t="s">
        <v>2551</v>
      </c>
      <c r="G17" s="36" t="s">
        <v>2552</v>
      </c>
      <c r="H17" s="36" t="s">
        <v>2553</v>
      </c>
      <c r="I17" s="36" t="s">
        <v>2551</v>
      </c>
      <c r="J17" s="36" t="s">
        <v>2549</v>
      </c>
      <c r="K17" s="36" t="s">
        <v>2554</v>
      </c>
      <c r="L17" s="36" t="s">
        <v>2555</v>
      </c>
      <c r="M17" s="36" t="s">
        <v>2555</v>
      </c>
      <c r="N17" s="36" t="s">
        <v>2555</v>
      </c>
      <c r="O17" s="36" t="s">
        <v>2556</v>
      </c>
      <c r="P17" s="36" t="s">
        <v>2548</v>
      </c>
    </row>
    <row r="18" spans="1:16">
      <c r="A18" s="139">
        <v>17</v>
      </c>
      <c r="B18" s="36" t="s">
        <v>2557</v>
      </c>
      <c r="C18" s="36" t="s">
        <v>2558</v>
      </c>
      <c r="D18" s="36" t="s">
        <v>2559</v>
      </c>
      <c r="E18" s="36" t="s">
        <v>2560</v>
      </c>
      <c r="F18" s="36" t="s">
        <v>2561</v>
      </c>
      <c r="G18" s="36" t="s">
        <v>2562</v>
      </c>
      <c r="H18" s="36" t="s">
        <v>2563</v>
      </c>
      <c r="I18" s="36" t="s">
        <v>2564</v>
      </c>
      <c r="J18" s="36" t="s">
        <v>2565</v>
      </c>
      <c r="K18" s="36" t="s">
        <v>2566</v>
      </c>
      <c r="L18" s="36" t="s">
        <v>2567</v>
      </c>
      <c r="M18" s="36" t="s">
        <v>2568</v>
      </c>
      <c r="N18" s="36" t="s">
        <v>2569</v>
      </c>
      <c r="O18" s="36" t="s">
        <v>2570</v>
      </c>
      <c r="P18" s="36" t="s">
        <v>2557</v>
      </c>
    </row>
    <row r="19" spans="1:16" ht="13.95" customHeight="1">
      <c r="A19" s="139">
        <v>18</v>
      </c>
      <c r="B19" s="36" t="s">
        <v>1619</v>
      </c>
      <c r="C19" s="36" t="s">
        <v>2571</v>
      </c>
      <c r="D19" s="36" t="s">
        <v>2572</v>
      </c>
      <c r="E19" s="36" t="s">
        <v>2573</v>
      </c>
      <c r="F19" s="36" t="s">
        <v>2574</v>
      </c>
      <c r="G19" s="36" t="s">
        <v>2575</v>
      </c>
      <c r="H19" s="36" t="s">
        <v>2576</v>
      </c>
      <c r="I19" s="36" t="s">
        <v>2577</v>
      </c>
      <c r="J19" s="36" t="s">
        <v>2578</v>
      </c>
      <c r="K19" s="36" t="s">
        <v>2579</v>
      </c>
      <c r="L19" s="36" t="s">
        <v>2580</v>
      </c>
      <c r="M19" s="36" t="s">
        <v>2581</v>
      </c>
      <c r="N19" s="36" t="s">
        <v>2582</v>
      </c>
      <c r="O19" s="36" t="s">
        <v>2583</v>
      </c>
      <c r="P19" s="36" t="s">
        <v>1619</v>
      </c>
    </row>
    <row r="20" spans="1:16" ht="13.95" customHeight="1">
      <c r="A20" s="139">
        <v>19</v>
      </c>
      <c r="B20" s="36" t="s">
        <v>2584</v>
      </c>
      <c r="C20" s="36" t="s">
        <v>2585</v>
      </c>
      <c r="D20" s="36" t="s">
        <v>2586</v>
      </c>
      <c r="E20" s="36" t="s">
        <v>2587</v>
      </c>
      <c r="F20" s="36" t="s">
        <v>2588</v>
      </c>
      <c r="G20" s="36" t="s">
        <v>2589</v>
      </c>
      <c r="H20" s="36" t="s">
        <v>2590</v>
      </c>
      <c r="I20" s="36" t="s">
        <v>2591</v>
      </c>
      <c r="J20" s="36" t="s">
        <v>2592</v>
      </c>
      <c r="K20" s="36" t="s">
        <v>2593</v>
      </c>
      <c r="L20" s="36" t="s">
        <v>2594</v>
      </c>
      <c r="M20" s="36" t="s">
        <v>2595</v>
      </c>
      <c r="N20" s="36" t="s">
        <v>2596</v>
      </c>
      <c r="O20" s="36" t="s">
        <v>2597</v>
      </c>
      <c r="P20" s="36" t="s">
        <v>2584</v>
      </c>
    </row>
    <row r="21" spans="1:16" ht="13.95" customHeight="1">
      <c r="A21" s="139">
        <v>20</v>
      </c>
      <c r="B21" s="36" t="s">
        <v>2598</v>
      </c>
      <c r="C21" s="36" t="s">
        <v>2599</v>
      </c>
      <c r="D21" s="36" t="s">
        <v>2600</v>
      </c>
      <c r="E21" s="36" t="s">
        <v>2601</v>
      </c>
      <c r="F21" s="36" t="s">
        <v>2601</v>
      </c>
      <c r="G21" s="36" t="s">
        <v>2599</v>
      </c>
      <c r="H21" s="36" t="s">
        <v>2601</v>
      </c>
      <c r="I21" s="36" t="s">
        <v>2601</v>
      </c>
      <c r="J21" s="36" t="s">
        <v>2602</v>
      </c>
      <c r="K21" s="36" t="s">
        <v>2601</v>
      </c>
      <c r="L21" s="36" t="s">
        <v>2601</v>
      </c>
      <c r="M21" s="36" t="s">
        <v>2601</v>
      </c>
      <c r="N21" s="36" t="s">
        <v>2603</v>
      </c>
      <c r="O21" s="36" t="s">
        <v>2598</v>
      </c>
      <c r="P21" s="36" t="s">
        <v>2598</v>
      </c>
    </row>
    <row r="22" spans="1:16" ht="13.95" customHeight="1">
      <c r="A22" s="139">
        <v>21</v>
      </c>
      <c r="B22" s="36" t="s">
        <v>2604</v>
      </c>
      <c r="C22" s="36" t="s">
        <v>2605</v>
      </c>
      <c r="D22" s="36" t="s">
        <v>2604</v>
      </c>
      <c r="E22" s="36" t="s">
        <v>2606</v>
      </c>
      <c r="F22" s="36" t="s">
        <v>2606</v>
      </c>
      <c r="G22" s="36" t="s">
        <v>2605</v>
      </c>
      <c r="H22" s="36" t="s">
        <v>2606</v>
      </c>
      <c r="I22" s="36" t="s">
        <v>2606</v>
      </c>
      <c r="J22" s="36" t="s">
        <v>2606</v>
      </c>
      <c r="K22" s="36" t="s">
        <v>2606</v>
      </c>
      <c r="L22" s="36" t="s">
        <v>2606</v>
      </c>
      <c r="M22" s="36" t="s">
        <v>2606</v>
      </c>
      <c r="N22" s="36" t="s">
        <v>2607</v>
      </c>
      <c r="O22" s="36" t="s">
        <v>2604</v>
      </c>
      <c r="P22" s="36" t="s">
        <v>2604</v>
      </c>
    </row>
    <row r="23" spans="1:16" ht="13.95" customHeight="1">
      <c r="A23" s="139">
        <v>22</v>
      </c>
      <c r="B23" s="36" t="s">
        <v>2608</v>
      </c>
      <c r="C23" s="36" t="s">
        <v>2609</v>
      </c>
      <c r="D23" s="36" t="s">
        <v>2608</v>
      </c>
      <c r="E23" s="36" t="s">
        <v>2610</v>
      </c>
      <c r="F23" s="36" t="s">
        <v>2610</v>
      </c>
      <c r="G23" s="36" t="s">
        <v>2609</v>
      </c>
      <c r="H23" s="36" t="s">
        <v>2610</v>
      </c>
      <c r="I23" s="36" t="s">
        <v>2610</v>
      </c>
      <c r="J23" s="36" t="s">
        <v>2610</v>
      </c>
      <c r="K23" s="36" t="s">
        <v>2610</v>
      </c>
      <c r="L23" s="36" t="s">
        <v>2610</v>
      </c>
      <c r="M23" s="36" t="s">
        <v>2610</v>
      </c>
      <c r="N23" s="36" t="s">
        <v>2611</v>
      </c>
      <c r="O23" s="36" t="s">
        <v>2608</v>
      </c>
      <c r="P23" s="36" t="s">
        <v>2608</v>
      </c>
    </row>
    <row r="24" spans="1:16" ht="13.95" customHeight="1">
      <c r="A24" s="139">
        <v>23</v>
      </c>
      <c r="B24" s="36" t="s">
        <v>2612</v>
      </c>
      <c r="C24" s="36" t="s">
        <v>2613</v>
      </c>
      <c r="D24" s="36" t="s">
        <v>2614</v>
      </c>
      <c r="E24" s="36" t="s">
        <v>2615</v>
      </c>
      <c r="F24" s="36" t="s">
        <v>2616</v>
      </c>
      <c r="G24" s="36" t="s">
        <v>2617</v>
      </c>
      <c r="H24" s="36" t="s">
        <v>2618</v>
      </c>
      <c r="I24" s="36" t="s">
        <v>2619</v>
      </c>
      <c r="J24" s="36" t="s">
        <v>2620</v>
      </c>
      <c r="K24" s="36" t="s">
        <v>2621</v>
      </c>
      <c r="L24" s="36" t="s">
        <v>2622</v>
      </c>
      <c r="M24" s="36" t="s">
        <v>2623</v>
      </c>
      <c r="N24" s="36" t="s">
        <v>2624</v>
      </c>
      <c r="O24" s="36" t="s">
        <v>2625</v>
      </c>
      <c r="P24" s="36" t="s">
        <v>2612</v>
      </c>
    </row>
    <row r="25" spans="1:16" ht="13.95" customHeight="1">
      <c r="A25" s="139">
        <v>24</v>
      </c>
      <c r="B25" s="36" t="s">
        <v>2134</v>
      </c>
      <c r="C25" s="36" t="s">
        <v>2626</v>
      </c>
      <c r="D25" s="36" t="s">
        <v>2627</v>
      </c>
      <c r="E25" s="36" t="s">
        <v>2628</v>
      </c>
      <c r="F25" s="36" t="s">
        <v>2629</v>
      </c>
      <c r="G25" s="36" t="s">
        <v>2630</v>
      </c>
      <c r="H25" s="36" t="s">
        <v>2631</v>
      </c>
      <c r="I25" s="36" t="s">
        <v>2632</v>
      </c>
      <c r="J25" s="36" t="s">
        <v>2633</v>
      </c>
      <c r="K25" s="36" t="s">
        <v>2634</v>
      </c>
      <c r="L25" s="36" t="s">
        <v>2627</v>
      </c>
      <c r="M25" s="36" t="s">
        <v>2627</v>
      </c>
      <c r="N25" s="36" t="s">
        <v>2627</v>
      </c>
      <c r="O25" s="36" t="s">
        <v>2635</v>
      </c>
      <c r="P25" s="36" t="s">
        <v>2134</v>
      </c>
    </row>
    <row r="26" spans="1:16" ht="13.95" customHeight="1">
      <c r="A26" s="139">
        <v>25</v>
      </c>
      <c r="B26" s="36" t="s">
        <v>2636</v>
      </c>
      <c r="C26" s="36" t="s">
        <v>2637</v>
      </c>
      <c r="D26" s="36" t="s">
        <v>2638</v>
      </c>
      <c r="E26" s="36" t="s">
        <v>2639</v>
      </c>
      <c r="F26" s="36" t="s">
        <v>2640</v>
      </c>
      <c r="G26" s="36" t="s">
        <v>2641</v>
      </c>
      <c r="H26" s="36" t="s">
        <v>2642</v>
      </c>
      <c r="I26" s="36" t="s">
        <v>2643</v>
      </c>
      <c r="J26" s="36" t="s">
        <v>2644</v>
      </c>
      <c r="K26" s="36" t="s">
        <v>2645</v>
      </c>
      <c r="L26" s="36" t="s">
        <v>2646</v>
      </c>
      <c r="M26" s="36" t="s">
        <v>2646</v>
      </c>
      <c r="N26" s="36" t="s">
        <v>2646</v>
      </c>
      <c r="O26" s="36" t="s">
        <v>2647</v>
      </c>
      <c r="P26" s="36" t="s">
        <v>2636</v>
      </c>
    </row>
    <row r="27" spans="1:16">
      <c r="A27" s="139">
        <v>26</v>
      </c>
      <c r="B27" s="36" t="s">
        <v>2648</v>
      </c>
      <c r="C27" s="36" t="s">
        <v>2649</v>
      </c>
      <c r="D27" s="36" t="s">
        <v>2649</v>
      </c>
      <c r="E27" s="36" t="s">
        <v>2650</v>
      </c>
      <c r="F27" s="36" t="s">
        <v>2651</v>
      </c>
      <c r="G27" s="36" t="s">
        <v>2652</v>
      </c>
      <c r="H27" s="36" t="s">
        <v>2653</v>
      </c>
      <c r="I27" s="36" t="s">
        <v>2654</v>
      </c>
      <c r="J27" s="36" t="s">
        <v>2655</v>
      </c>
      <c r="K27" s="36" t="s">
        <v>2656</v>
      </c>
      <c r="L27" s="36" t="s">
        <v>2657</v>
      </c>
      <c r="M27" s="36" t="s">
        <v>2657</v>
      </c>
      <c r="N27" s="36" t="s">
        <v>2658</v>
      </c>
      <c r="O27" s="36" t="s">
        <v>2657</v>
      </c>
      <c r="P27" s="36" t="s">
        <v>2648</v>
      </c>
    </row>
    <row r="28" spans="1:16">
      <c r="A28" s="139">
        <v>27</v>
      </c>
      <c r="B28" s="36" t="s">
        <v>75</v>
      </c>
      <c r="C28" s="36" t="s">
        <v>2659</v>
      </c>
      <c r="D28" s="36" t="s">
        <v>2660</v>
      </c>
      <c r="E28" s="36" t="s">
        <v>2661</v>
      </c>
      <c r="F28" s="36" t="s">
        <v>2662</v>
      </c>
      <c r="G28" s="36" t="s">
        <v>2663</v>
      </c>
      <c r="H28" s="36" t="s">
        <v>2662</v>
      </c>
      <c r="I28" s="36" t="s">
        <v>2664</v>
      </c>
      <c r="J28" s="36" t="s">
        <v>2665</v>
      </c>
      <c r="K28" s="36" t="s">
        <v>2666</v>
      </c>
      <c r="L28" s="36" t="s">
        <v>2662</v>
      </c>
      <c r="M28" s="36" t="s">
        <v>2667</v>
      </c>
      <c r="N28" s="36" t="s">
        <v>2668</v>
      </c>
      <c r="O28" s="36" t="s">
        <v>2662</v>
      </c>
      <c r="P28" s="36" t="s">
        <v>75</v>
      </c>
    </row>
    <row r="29" spans="1:16">
      <c r="A29" s="139">
        <v>28</v>
      </c>
      <c r="B29" s="36" t="s">
        <v>2669</v>
      </c>
      <c r="C29" s="36" t="s">
        <v>2670</v>
      </c>
      <c r="D29" s="36" t="s">
        <v>2671</v>
      </c>
      <c r="E29" s="36" t="s">
        <v>2672</v>
      </c>
      <c r="F29" s="36" t="s">
        <v>2673</v>
      </c>
      <c r="G29" s="36" t="s">
        <v>2674</v>
      </c>
      <c r="H29" s="36" t="s">
        <v>2675</v>
      </c>
      <c r="I29" s="36" t="s">
        <v>2676</v>
      </c>
      <c r="J29" s="36" t="s">
        <v>2677</v>
      </c>
      <c r="K29" s="36" t="s">
        <v>2678</v>
      </c>
      <c r="L29" s="36" t="s">
        <v>2679</v>
      </c>
      <c r="M29" s="36" t="s">
        <v>2680</v>
      </c>
      <c r="N29" s="36" t="s">
        <v>2679</v>
      </c>
      <c r="O29" s="36" t="s">
        <v>2681</v>
      </c>
      <c r="P29" s="36" t="s">
        <v>2669</v>
      </c>
    </row>
    <row r="30" spans="1:16">
      <c r="A30" s="139">
        <v>29</v>
      </c>
      <c r="B30" s="36" t="s">
        <v>2682</v>
      </c>
      <c r="C30" s="36" t="s">
        <v>2683</v>
      </c>
      <c r="D30" s="36" t="s">
        <v>2684</v>
      </c>
      <c r="E30" s="36" t="s">
        <v>2685</v>
      </c>
      <c r="F30" s="36" t="s">
        <v>2686</v>
      </c>
      <c r="G30" s="36" t="s">
        <v>2687</v>
      </c>
      <c r="H30" s="36" t="s">
        <v>2688</v>
      </c>
      <c r="I30" s="36" t="s">
        <v>2689</v>
      </c>
      <c r="J30" s="36" t="s">
        <v>2690</v>
      </c>
      <c r="K30" s="36" t="s">
        <v>2691</v>
      </c>
      <c r="L30" s="36" t="s">
        <v>2692</v>
      </c>
      <c r="M30" s="36" t="s">
        <v>2693</v>
      </c>
      <c r="N30" s="36" t="s">
        <v>2692</v>
      </c>
      <c r="O30" s="36" t="s">
        <v>2694</v>
      </c>
      <c r="P30" s="36" t="s">
        <v>2682</v>
      </c>
    </row>
    <row r="31" spans="1:16">
      <c r="A31" s="139">
        <v>30</v>
      </c>
      <c r="B31" s="36" t="s">
        <v>2695</v>
      </c>
      <c r="C31" s="36" t="s">
        <v>2696</v>
      </c>
      <c r="D31" s="36" t="s">
        <v>2697</v>
      </c>
      <c r="E31" s="36" t="s">
        <v>2698</v>
      </c>
      <c r="F31" s="36" t="s">
        <v>2699</v>
      </c>
      <c r="G31" s="36" t="s">
        <v>2700</v>
      </c>
      <c r="H31" s="36" t="s">
        <v>2701</v>
      </c>
      <c r="I31" s="36" t="s">
        <v>2702</v>
      </c>
      <c r="J31" s="36" t="s">
        <v>2703</v>
      </c>
      <c r="K31" s="36" t="s">
        <v>2704</v>
      </c>
      <c r="L31" s="36" t="s">
        <v>2705</v>
      </c>
      <c r="M31" s="36" t="s">
        <v>2706</v>
      </c>
      <c r="N31" s="36" t="s">
        <v>2707</v>
      </c>
      <c r="O31" s="36" t="s">
        <v>2708</v>
      </c>
      <c r="P31" s="36" t="s">
        <v>2695</v>
      </c>
    </row>
    <row r="32" spans="1:16">
      <c r="A32" s="139">
        <v>31</v>
      </c>
      <c r="B32" s="36" t="s">
        <v>2709</v>
      </c>
      <c r="C32" s="36" t="s">
        <v>2710</v>
      </c>
      <c r="D32" s="36" t="s">
        <v>2711</v>
      </c>
      <c r="E32" s="36" t="s">
        <v>2712</v>
      </c>
      <c r="F32" s="36" t="s">
        <v>2713</v>
      </c>
      <c r="G32" s="36" t="s">
        <v>2714</v>
      </c>
      <c r="H32" s="36" t="s">
        <v>2715</v>
      </c>
      <c r="I32" s="36" t="s">
        <v>2716</v>
      </c>
      <c r="J32" s="36" t="s">
        <v>2717</v>
      </c>
      <c r="K32" s="36" t="s">
        <v>2718</v>
      </c>
      <c r="L32" s="36" t="s">
        <v>2719</v>
      </c>
      <c r="M32" s="36" t="s">
        <v>2720</v>
      </c>
      <c r="N32" s="36" t="s">
        <v>2721</v>
      </c>
      <c r="O32" s="36" t="s">
        <v>2722</v>
      </c>
      <c r="P32" s="36" t="s">
        <v>2709</v>
      </c>
    </row>
    <row r="33" spans="1:16">
      <c r="A33" s="139">
        <v>32</v>
      </c>
      <c r="B33" s="36" t="s">
        <v>2723</v>
      </c>
      <c r="C33" s="36" t="s">
        <v>2724</v>
      </c>
      <c r="D33" s="36" t="s">
        <v>2725</v>
      </c>
      <c r="E33" s="36" t="s">
        <v>2726</v>
      </c>
      <c r="F33" s="36" t="s">
        <v>2727</v>
      </c>
      <c r="G33" s="36" t="s">
        <v>2728</v>
      </c>
      <c r="H33" s="36" t="s">
        <v>2729</v>
      </c>
      <c r="I33" s="36" t="s">
        <v>2730</v>
      </c>
      <c r="J33" s="36" t="s">
        <v>2731</v>
      </c>
      <c r="K33" s="36" t="s">
        <v>2732</v>
      </c>
      <c r="L33" s="36" t="s">
        <v>2733</v>
      </c>
      <c r="M33" s="36" t="s">
        <v>2734</v>
      </c>
      <c r="N33" s="36" t="s">
        <v>2735</v>
      </c>
      <c r="O33" s="36" t="s">
        <v>2736</v>
      </c>
      <c r="P33" s="36" t="s">
        <v>2723</v>
      </c>
    </row>
    <row r="34" spans="1:16">
      <c r="A34" s="139">
        <v>33</v>
      </c>
      <c r="B34" s="36" t="s">
        <v>2737</v>
      </c>
      <c r="C34" s="36" t="s">
        <v>2738</v>
      </c>
      <c r="D34" s="36" t="s">
        <v>2739</v>
      </c>
      <c r="E34" s="36" t="s">
        <v>2740</v>
      </c>
      <c r="F34" s="36" t="s">
        <v>2741</v>
      </c>
      <c r="G34" s="36" t="s">
        <v>2742</v>
      </c>
      <c r="H34" s="36" t="s">
        <v>2743</v>
      </c>
      <c r="I34" s="36" t="s">
        <v>2744</v>
      </c>
      <c r="J34" s="36" t="s">
        <v>2745</v>
      </c>
      <c r="K34" s="36" t="s">
        <v>2746</v>
      </c>
      <c r="L34" s="36" t="s">
        <v>2747</v>
      </c>
      <c r="M34" s="36" t="s">
        <v>2748</v>
      </c>
      <c r="N34" s="36" t="s">
        <v>2749</v>
      </c>
      <c r="O34" s="36" t="s">
        <v>2750</v>
      </c>
      <c r="P34" s="36" t="s">
        <v>2737</v>
      </c>
    </row>
    <row r="35" spans="1:16" ht="13.95" customHeight="1">
      <c r="A35" s="139">
        <v>34</v>
      </c>
      <c r="B35" s="36" t="s">
        <v>2751</v>
      </c>
      <c r="C35" s="36" t="s">
        <v>2752</v>
      </c>
      <c r="D35" s="36" t="s">
        <v>2753</v>
      </c>
      <c r="E35" s="36" t="s">
        <v>2754</v>
      </c>
      <c r="F35" s="36" t="s">
        <v>2755</v>
      </c>
      <c r="G35" s="36" t="s">
        <v>2756</v>
      </c>
      <c r="H35" s="36" t="s">
        <v>2757</v>
      </c>
      <c r="I35" s="36" t="s">
        <v>2758</v>
      </c>
      <c r="J35" s="36" t="s">
        <v>2759</v>
      </c>
      <c r="K35" s="36" t="s">
        <v>2760</v>
      </c>
      <c r="L35" s="36" t="s">
        <v>2761</v>
      </c>
      <c r="M35" s="36" t="s">
        <v>2762</v>
      </c>
      <c r="N35" s="36" t="s">
        <v>2763</v>
      </c>
      <c r="O35" s="36" t="s">
        <v>2764</v>
      </c>
      <c r="P35" s="36" t="s">
        <v>2751</v>
      </c>
    </row>
    <row r="36" spans="1:16" ht="13.95" customHeight="1">
      <c r="A36" s="139">
        <v>35</v>
      </c>
      <c r="B36" s="36" t="s">
        <v>2765</v>
      </c>
      <c r="C36" s="36" t="s">
        <v>2766</v>
      </c>
      <c r="D36" s="36" t="s">
        <v>2767</v>
      </c>
      <c r="E36" s="36" t="s">
        <v>2768</v>
      </c>
      <c r="F36" s="36" t="s">
        <v>2769</v>
      </c>
      <c r="G36" s="36" t="s">
        <v>2770</v>
      </c>
      <c r="H36" s="36" t="s">
        <v>2771</v>
      </c>
      <c r="I36" s="36" t="s">
        <v>2772</v>
      </c>
      <c r="J36" s="36" t="s">
        <v>2773</v>
      </c>
      <c r="K36" s="36" t="s">
        <v>2774</v>
      </c>
      <c r="L36" s="36" t="s">
        <v>2775</v>
      </c>
      <c r="M36" s="36" t="s">
        <v>2776</v>
      </c>
      <c r="N36" s="36" t="s">
        <v>2777</v>
      </c>
      <c r="O36" s="36" t="s">
        <v>2778</v>
      </c>
      <c r="P36" s="36" t="s">
        <v>2765</v>
      </c>
    </row>
    <row r="37" spans="1:16" ht="13.95" customHeight="1">
      <c r="A37" s="139">
        <v>36</v>
      </c>
      <c r="B37" s="36" t="s">
        <v>2136</v>
      </c>
      <c r="C37" s="36" t="s">
        <v>2779</v>
      </c>
      <c r="D37" s="36" t="s">
        <v>2780</v>
      </c>
      <c r="E37" s="36" t="s">
        <v>2781</v>
      </c>
      <c r="F37" s="36" t="s">
        <v>2782</v>
      </c>
      <c r="G37" s="36" t="s">
        <v>2783</v>
      </c>
      <c r="H37" s="36" t="s">
        <v>2784</v>
      </c>
      <c r="I37" s="36" t="s">
        <v>2785</v>
      </c>
      <c r="J37" s="36" t="s">
        <v>2786</v>
      </c>
      <c r="K37" s="36" t="s">
        <v>2787</v>
      </c>
      <c r="L37" s="36" t="s">
        <v>2788</v>
      </c>
      <c r="M37" s="36" t="s">
        <v>2789</v>
      </c>
      <c r="N37" s="36" t="s">
        <v>2789</v>
      </c>
      <c r="O37" s="36" t="s">
        <v>2790</v>
      </c>
      <c r="P37" s="36" t="s">
        <v>2136</v>
      </c>
    </row>
    <row r="38" spans="1:16" ht="13.95" customHeight="1">
      <c r="A38" s="139">
        <v>37</v>
      </c>
      <c r="B38" s="36" t="s">
        <v>2791</v>
      </c>
      <c r="C38" s="36" t="s">
        <v>2792</v>
      </c>
      <c r="D38" s="36" t="s">
        <v>2793</v>
      </c>
      <c r="E38" s="36" t="s">
        <v>2794</v>
      </c>
      <c r="F38" s="36" t="s">
        <v>2795</v>
      </c>
      <c r="G38" s="36" t="s">
        <v>2796</v>
      </c>
      <c r="H38" s="36" t="s">
        <v>2797</v>
      </c>
      <c r="I38" s="36" t="s">
        <v>2798</v>
      </c>
      <c r="J38" s="36" t="s">
        <v>2799</v>
      </c>
      <c r="K38" s="36" t="s">
        <v>2800</v>
      </c>
      <c r="L38" s="36" t="s">
        <v>2801</v>
      </c>
      <c r="M38" s="36" t="s">
        <v>2802</v>
      </c>
      <c r="N38" s="36" t="s">
        <v>2802</v>
      </c>
      <c r="O38" s="36" t="s">
        <v>2803</v>
      </c>
      <c r="P38" s="36" t="s">
        <v>2791</v>
      </c>
    </row>
    <row r="39" spans="1:16" ht="13.95" customHeight="1">
      <c r="A39" s="139">
        <v>38</v>
      </c>
      <c r="B39" s="36" t="s">
        <v>2804</v>
      </c>
      <c r="C39" s="36" t="s">
        <v>2805</v>
      </c>
      <c r="D39" s="36" t="s">
        <v>2806</v>
      </c>
      <c r="E39" s="36" t="s">
        <v>2807</v>
      </c>
      <c r="F39" s="36" t="s">
        <v>2808</v>
      </c>
      <c r="G39" s="36" t="s">
        <v>2809</v>
      </c>
      <c r="H39" s="36" t="s">
        <v>2810</v>
      </c>
      <c r="I39" s="36" t="s">
        <v>2811</v>
      </c>
      <c r="J39" s="36" t="s">
        <v>2812</v>
      </c>
      <c r="K39" s="36" t="s">
        <v>2813</v>
      </c>
      <c r="L39" s="36" t="s">
        <v>2814</v>
      </c>
      <c r="M39" s="36" t="s">
        <v>2814</v>
      </c>
      <c r="N39" s="36" t="s">
        <v>2815</v>
      </c>
      <c r="O39" s="36" t="s">
        <v>2816</v>
      </c>
      <c r="P39" s="36" t="s">
        <v>2804</v>
      </c>
    </row>
    <row r="40" spans="1:16" ht="13.95" customHeight="1">
      <c r="A40" s="139">
        <v>39</v>
      </c>
      <c r="B40" s="36" t="s">
        <v>2817</v>
      </c>
      <c r="C40" s="36" t="s">
        <v>2818</v>
      </c>
      <c r="D40" s="36" t="s">
        <v>2819</v>
      </c>
      <c r="E40" s="36" t="s">
        <v>2820</v>
      </c>
      <c r="F40" s="36" t="s">
        <v>2821</v>
      </c>
      <c r="G40" s="36" t="s">
        <v>2822</v>
      </c>
      <c r="H40" s="36" t="s">
        <v>2823</v>
      </c>
      <c r="I40" s="36" t="s">
        <v>2824</v>
      </c>
      <c r="J40" s="36" t="s">
        <v>2825</v>
      </c>
      <c r="K40" s="36" t="s">
        <v>2826</v>
      </c>
      <c r="L40" s="36" t="s">
        <v>2827</v>
      </c>
      <c r="M40" s="36" t="s">
        <v>2827</v>
      </c>
      <c r="N40" s="36" t="s">
        <v>2828</v>
      </c>
      <c r="O40" s="36" t="s">
        <v>2829</v>
      </c>
      <c r="P40" s="36" t="s">
        <v>2817</v>
      </c>
    </row>
    <row r="41" spans="1:16" ht="13.95" customHeight="1">
      <c r="A41" s="139">
        <v>40</v>
      </c>
      <c r="B41" s="36" t="s">
        <v>2830</v>
      </c>
      <c r="C41" s="36" t="s">
        <v>2831</v>
      </c>
      <c r="D41" s="36" t="s">
        <v>2832</v>
      </c>
      <c r="E41" s="36" t="s">
        <v>1548</v>
      </c>
      <c r="F41" s="36" t="s">
        <v>1556</v>
      </c>
      <c r="G41" s="36" t="s">
        <v>2831</v>
      </c>
      <c r="H41" s="36" t="s">
        <v>1556</v>
      </c>
      <c r="I41" s="36" t="s">
        <v>1556</v>
      </c>
      <c r="J41" s="36" t="s">
        <v>2833</v>
      </c>
      <c r="K41" s="36" t="s">
        <v>1556</v>
      </c>
      <c r="L41" s="36" t="s">
        <v>1556</v>
      </c>
      <c r="M41" s="36" t="s">
        <v>1556</v>
      </c>
      <c r="N41" s="36" t="s">
        <v>2834</v>
      </c>
      <c r="O41" s="36" t="s">
        <v>2830</v>
      </c>
      <c r="P41" s="36" t="s">
        <v>2830</v>
      </c>
    </row>
    <row r="42" spans="1:16" ht="13.95" customHeight="1">
      <c r="A42" s="139">
        <v>41</v>
      </c>
      <c r="B42" s="36" t="s">
        <v>2835</v>
      </c>
      <c r="C42" s="36" t="s">
        <v>2836</v>
      </c>
      <c r="D42" s="36" t="s">
        <v>2837</v>
      </c>
      <c r="E42" s="36" t="s">
        <v>2838</v>
      </c>
      <c r="F42" s="36" t="s">
        <v>2839</v>
      </c>
      <c r="G42" s="36" t="s">
        <v>2840</v>
      </c>
      <c r="H42" s="36" t="s">
        <v>2841</v>
      </c>
      <c r="I42" s="36" t="s">
        <v>2842</v>
      </c>
      <c r="J42" s="36" t="s">
        <v>2843</v>
      </c>
      <c r="K42" s="36" t="s">
        <v>2844</v>
      </c>
      <c r="L42" s="36" t="s">
        <v>2845</v>
      </c>
      <c r="M42" s="36" t="s">
        <v>2846</v>
      </c>
      <c r="N42" s="36" t="s">
        <v>2847</v>
      </c>
      <c r="O42" s="36" t="s">
        <v>2848</v>
      </c>
      <c r="P42" s="36" t="s">
        <v>2835</v>
      </c>
    </row>
    <row r="43" spans="1:16" ht="13.95" customHeight="1">
      <c r="A43" s="139">
        <v>42</v>
      </c>
      <c r="B43" s="36" t="s">
        <v>2849</v>
      </c>
      <c r="C43" s="36" t="s">
        <v>2850</v>
      </c>
      <c r="D43" s="36" t="s">
        <v>2851</v>
      </c>
      <c r="E43" s="36" t="s">
        <v>2852</v>
      </c>
      <c r="F43" s="36" t="s">
        <v>2853</v>
      </c>
      <c r="G43" s="36" t="s">
        <v>2854</v>
      </c>
      <c r="H43" s="36" t="s">
        <v>2855</v>
      </c>
      <c r="I43" s="36" t="s">
        <v>2856</v>
      </c>
      <c r="J43" s="36" t="s">
        <v>2857</v>
      </c>
      <c r="K43" s="36" t="s">
        <v>2858</v>
      </c>
      <c r="L43" s="36" t="s">
        <v>2859</v>
      </c>
      <c r="M43" s="36" t="s">
        <v>2860</v>
      </c>
      <c r="N43" s="36" t="s">
        <v>2861</v>
      </c>
      <c r="O43" s="36" t="s">
        <v>2862</v>
      </c>
      <c r="P43" s="36" t="s">
        <v>2849</v>
      </c>
    </row>
    <row r="44" spans="1:16">
      <c r="A44" s="139">
        <v>43</v>
      </c>
      <c r="B44" s="36" t="s">
        <v>2863</v>
      </c>
      <c r="C44" s="36" t="s">
        <v>2864</v>
      </c>
      <c r="D44" s="36" t="s">
        <v>2865</v>
      </c>
      <c r="E44" s="36" t="s">
        <v>2866</v>
      </c>
      <c r="F44" s="36" t="s">
        <v>2867</v>
      </c>
      <c r="G44" s="36" t="s">
        <v>2868</v>
      </c>
      <c r="H44" s="36" t="s">
        <v>2869</v>
      </c>
      <c r="I44" s="36" t="s">
        <v>2870</v>
      </c>
      <c r="J44" s="36" t="s">
        <v>2871</v>
      </c>
      <c r="K44" s="36" t="s">
        <v>2872</v>
      </c>
      <c r="L44" s="36" t="s">
        <v>2873</v>
      </c>
      <c r="M44" s="36" t="s">
        <v>2874</v>
      </c>
      <c r="N44" s="36" t="s">
        <v>2875</v>
      </c>
      <c r="O44" s="36" t="s">
        <v>2876</v>
      </c>
      <c r="P44" s="36" t="s">
        <v>2863</v>
      </c>
    </row>
    <row r="45" spans="1:16">
      <c r="A45" s="139">
        <v>44</v>
      </c>
      <c r="B45" s="36" t="s">
        <v>2877</v>
      </c>
      <c r="C45" s="36" t="s">
        <v>1301</v>
      </c>
      <c r="D45" s="36" t="s">
        <v>2878</v>
      </c>
      <c r="E45" s="36" t="s">
        <v>2879</v>
      </c>
      <c r="F45" s="36" t="s">
        <v>2880</v>
      </c>
      <c r="G45" s="36" t="s">
        <v>1301</v>
      </c>
      <c r="H45" s="36" t="s">
        <v>1301</v>
      </c>
      <c r="I45" s="36" t="s">
        <v>1301</v>
      </c>
      <c r="J45" s="36" t="s">
        <v>2881</v>
      </c>
      <c r="K45" s="36" t="s">
        <v>2880</v>
      </c>
      <c r="L45" s="36" t="s">
        <v>2882</v>
      </c>
      <c r="M45" s="36" t="s">
        <v>1301</v>
      </c>
      <c r="N45" s="36" t="s">
        <v>2883</v>
      </c>
      <c r="O45" s="36" t="s">
        <v>2877</v>
      </c>
      <c r="P45" s="36" t="s">
        <v>2877</v>
      </c>
    </row>
    <row r="46" spans="1:16">
      <c r="A46" s="139">
        <v>45</v>
      </c>
      <c r="B46" s="36" t="s">
        <v>2884</v>
      </c>
      <c r="C46" s="36" t="s">
        <v>2885</v>
      </c>
      <c r="D46" s="36" t="s">
        <v>2886</v>
      </c>
      <c r="E46" s="36" t="s">
        <v>2887</v>
      </c>
      <c r="F46" s="36" t="s">
        <v>2888</v>
      </c>
      <c r="G46" s="36" t="s">
        <v>2889</v>
      </c>
      <c r="H46" s="36" t="s">
        <v>2890</v>
      </c>
      <c r="I46" s="36" t="s">
        <v>1634</v>
      </c>
      <c r="J46" s="36" t="s">
        <v>2890</v>
      </c>
      <c r="K46" s="36" t="s">
        <v>2891</v>
      </c>
      <c r="L46" s="36" t="s">
        <v>2890</v>
      </c>
      <c r="M46" s="36" t="s">
        <v>2890</v>
      </c>
      <c r="N46" s="36" t="s">
        <v>2890</v>
      </c>
      <c r="O46" s="36" t="s">
        <v>2886</v>
      </c>
      <c r="P46" s="36" t="s">
        <v>2884</v>
      </c>
    </row>
    <row r="47" spans="1:16">
      <c r="A47" s="139">
        <v>46</v>
      </c>
      <c r="B47" s="36" t="s">
        <v>2892</v>
      </c>
      <c r="C47" s="36" t="s">
        <v>2893</v>
      </c>
      <c r="D47" s="36" t="s">
        <v>2894</v>
      </c>
      <c r="E47" s="36" t="s">
        <v>2895</v>
      </c>
      <c r="F47" s="36" t="s">
        <v>2896</v>
      </c>
      <c r="G47" s="36" t="s">
        <v>2897</v>
      </c>
      <c r="H47" s="36" t="s">
        <v>2898</v>
      </c>
      <c r="I47" s="36" t="s">
        <v>2899</v>
      </c>
      <c r="J47" s="36" t="s">
        <v>2900</v>
      </c>
      <c r="K47" s="36" t="s">
        <v>2896</v>
      </c>
      <c r="L47" s="36" t="s">
        <v>2898</v>
      </c>
      <c r="M47" s="36" t="s">
        <v>2898</v>
      </c>
      <c r="N47" s="36" t="s">
        <v>2901</v>
      </c>
      <c r="O47" s="36" t="s">
        <v>2902</v>
      </c>
      <c r="P47" s="36" t="s">
        <v>2892</v>
      </c>
    </row>
    <row r="48" spans="1:16">
      <c r="A48" s="139">
        <v>47</v>
      </c>
      <c r="B48" s="36" t="s">
        <v>2903</v>
      </c>
      <c r="C48" s="36" t="s">
        <v>2904</v>
      </c>
      <c r="D48" s="36" t="s">
        <v>2905</v>
      </c>
      <c r="E48" s="36" t="s">
        <v>2906</v>
      </c>
      <c r="F48" s="36" t="s">
        <v>2907</v>
      </c>
      <c r="G48" s="36" t="s">
        <v>2908</v>
      </c>
      <c r="H48" s="36" t="s">
        <v>2909</v>
      </c>
      <c r="I48" s="36" t="s">
        <v>2910</v>
      </c>
      <c r="J48" s="36" t="s">
        <v>2911</v>
      </c>
      <c r="K48" s="36" t="s">
        <v>2907</v>
      </c>
      <c r="L48" s="36" t="s">
        <v>2912</v>
      </c>
      <c r="M48" s="36" t="s">
        <v>2909</v>
      </c>
      <c r="N48" s="36" t="s">
        <v>2913</v>
      </c>
      <c r="O48" s="36" t="s">
        <v>2914</v>
      </c>
      <c r="P48" s="36" t="s">
        <v>2903</v>
      </c>
    </row>
    <row r="49" spans="1:16">
      <c r="A49" s="139">
        <v>48</v>
      </c>
      <c r="B49" s="36" t="s">
        <v>2915</v>
      </c>
      <c r="C49" s="36" t="s">
        <v>2916</v>
      </c>
      <c r="D49" s="36" t="s">
        <v>2917</v>
      </c>
      <c r="E49" s="36" t="s">
        <v>2918</v>
      </c>
      <c r="F49" s="36" t="s">
        <v>2918</v>
      </c>
      <c r="G49" s="36" t="s">
        <v>2916</v>
      </c>
      <c r="H49" s="36" t="s">
        <v>2916</v>
      </c>
      <c r="I49" s="36" t="s">
        <v>2916</v>
      </c>
      <c r="J49" s="36" t="s">
        <v>2919</v>
      </c>
      <c r="K49" s="36" t="s">
        <v>2918</v>
      </c>
      <c r="L49" s="36" t="s">
        <v>2920</v>
      </c>
      <c r="M49" s="36" t="s">
        <v>2920</v>
      </c>
      <c r="N49" s="36" t="s">
        <v>2921</v>
      </c>
      <c r="O49" s="36" t="s">
        <v>2915</v>
      </c>
      <c r="P49" s="36" t="s">
        <v>2915</v>
      </c>
    </row>
    <row r="50" spans="1:16">
      <c r="A50" s="139">
        <v>49</v>
      </c>
      <c r="B50" s="36" t="s">
        <v>1060</v>
      </c>
      <c r="C50" s="36" t="s">
        <v>2922</v>
      </c>
      <c r="D50" s="36" t="s">
        <v>2923</v>
      </c>
      <c r="E50" s="36" t="s">
        <v>2924</v>
      </c>
      <c r="F50" s="36" t="s">
        <v>2924</v>
      </c>
      <c r="G50" s="36" t="s">
        <v>2922</v>
      </c>
      <c r="H50" s="36" t="s">
        <v>2922</v>
      </c>
      <c r="I50" s="36" t="s">
        <v>2922</v>
      </c>
      <c r="J50" s="36" t="s">
        <v>2925</v>
      </c>
      <c r="K50" s="36" t="s">
        <v>2924</v>
      </c>
      <c r="L50" s="36" t="s">
        <v>2926</v>
      </c>
      <c r="M50" s="36" t="s">
        <v>2926</v>
      </c>
      <c r="N50" s="36" t="s">
        <v>2926</v>
      </c>
      <c r="O50" s="36" t="s">
        <v>1060</v>
      </c>
      <c r="P50" s="36" t="s">
        <v>1060</v>
      </c>
    </row>
    <row r="51" spans="1:16">
      <c r="A51" s="139">
        <v>50</v>
      </c>
      <c r="B51" s="36" t="s">
        <v>2927</v>
      </c>
      <c r="C51" s="36" t="s">
        <v>2928</v>
      </c>
      <c r="D51" s="36" t="s">
        <v>2929</v>
      </c>
      <c r="E51" s="36" t="s">
        <v>2930</v>
      </c>
      <c r="F51" s="36" t="s">
        <v>2931</v>
      </c>
      <c r="G51" s="36" t="s">
        <v>2932</v>
      </c>
      <c r="H51" s="36" t="s">
        <v>2933</v>
      </c>
      <c r="I51" s="36" t="s">
        <v>2934</v>
      </c>
      <c r="J51" s="36" t="s">
        <v>2935</v>
      </c>
      <c r="K51" s="36" t="s">
        <v>2930</v>
      </c>
      <c r="L51" s="36" t="s">
        <v>2936</v>
      </c>
      <c r="M51" s="36" t="s">
        <v>2937</v>
      </c>
      <c r="N51" s="36" t="s">
        <v>2938</v>
      </c>
      <c r="O51" s="36" t="s">
        <v>2939</v>
      </c>
      <c r="P51" s="36" t="s">
        <v>2927</v>
      </c>
    </row>
    <row r="52" spans="1:16">
      <c r="A52" s="139">
        <v>51</v>
      </c>
      <c r="B52" s="36" t="s">
        <v>2940</v>
      </c>
      <c r="C52" s="36" t="s">
        <v>2941</v>
      </c>
      <c r="D52" s="36" t="s">
        <v>2942</v>
      </c>
      <c r="E52" s="36" t="s">
        <v>2943</v>
      </c>
      <c r="F52" s="36" t="s">
        <v>2944</v>
      </c>
      <c r="G52" s="36" t="s">
        <v>2945</v>
      </c>
      <c r="H52" s="36" t="s">
        <v>2946</v>
      </c>
      <c r="I52" s="36" t="s">
        <v>2947</v>
      </c>
      <c r="J52" s="36" t="s">
        <v>2948</v>
      </c>
      <c r="K52" s="36" t="s">
        <v>2949</v>
      </c>
      <c r="L52" s="36" t="s">
        <v>2950</v>
      </c>
      <c r="M52" s="36" t="s">
        <v>2951</v>
      </c>
      <c r="N52" s="36" t="s">
        <v>2952</v>
      </c>
      <c r="O52" s="36" t="s">
        <v>2953</v>
      </c>
      <c r="P52" s="36" t="s">
        <v>2940</v>
      </c>
    </row>
    <row r="53" spans="1:16">
      <c r="A53" s="139">
        <v>52</v>
      </c>
      <c r="B53" s="36" t="s">
        <v>2137</v>
      </c>
      <c r="C53" s="36" t="s">
        <v>2954</v>
      </c>
      <c r="D53" s="36" t="s">
        <v>2955</v>
      </c>
      <c r="E53" s="36" t="s">
        <v>2956</v>
      </c>
      <c r="F53" s="36" t="s">
        <v>2957</v>
      </c>
      <c r="G53" s="36" t="s">
        <v>2958</v>
      </c>
      <c r="H53" s="36" t="s">
        <v>2959</v>
      </c>
      <c r="I53" s="36" t="s">
        <v>2960</v>
      </c>
      <c r="J53" s="36" t="s">
        <v>2961</v>
      </c>
      <c r="K53" s="36" t="s">
        <v>2962</v>
      </c>
      <c r="L53" s="36" t="s">
        <v>2963</v>
      </c>
      <c r="M53" s="36" t="s">
        <v>2964</v>
      </c>
      <c r="N53" s="36" t="s">
        <v>2965</v>
      </c>
      <c r="O53" s="36" t="s">
        <v>2966</v>
      </c>
      <c r="P53" s="36" t="s">
        <v>2137</v>
      </c>
    </row>
    <row r="54" spans="1:16">
      <c r="A54" s="139">
        <v>53</v>
      </c>
      <c r="B54" s="36" t="s">
        <v>1069</v>
      </c>
      <c r="C54" s="36" t="s">
        <v>2967</v>
      </c>
      <c r="D54" s="36" t="s">
        <v>1069</v>
      </c>
      <c r="E54" s="36" t="s">
        <v>2968</v>
      </c>
      <c r="F54" s="36" t="s">
        <v>2969</v>
      </c>
      <c r="G54" s="36" t="s">
        <v>2970</v>
      </c>
      <c r="H54" s="36" t="s">
        <v>2971</v>
      </c>
      <c r="I54" s="36" t="s">
        <v>2181</v>
      </c>
      <c r="J54" s="36" t="s">
        <v>2971</v>
      </c>
      <c r="K54" s="36" t="s">
        <v>2969</v>
      </c>
      <c r="L54" s="36" t="s">
        <v>2971</v>
      </c>
      <c r="M54" s="36" t="s">
        <v>2971</v>
      </c>
      <c r="N54" s="36" t="s">
        <v>2971</v>
      </c>
      <c r="O54" s="36" t="s">
        <v>2972</v>
      </c>
      <c r="P54" s="36" t="s">
        <v>1069</v>
      </c>
    </row>
    <row r="55" spans="1:16">
      <c r="A55" s="139">
        <v>54</v>
      </c>
      <c r="B55" s="36" t="s">
        <v>2138</v>
      </c>
      <c r="C55" s="36" t="s">
        <v>2973</v>
      </c>
      <c r="D55" s="36" t="s">
        <v>2974</v>
      </c>
      <c r="E55" s="36" t="s">
        <v>2975</v>
      </c>
      <c r="F55" s="36" t="s">
        <v>2976</v>
      </c>
      <c r="G55" s="36" t="s">
        <v>2977</v>
      </c>
      <c r="H55" s="36" t="s">
        <v>2978</v>
      </c>
      <c r="I55" s="36" t="s">
        <v>2979</v>
      </c>
      <c r="J55" s="36" t="s">
        <v>2980</v>
      </c>
      <c r="K55" s="36" t="s">
        <v>2981</v>
      </c>
      <c r="L55" s="36" t="s">
        <v>2982</v>
      </c>
      <c r="M55" s="36" t="s">
        <v>2983</v>
      </c>
      <c r="N55" s="36" t="s">
        <v>2983</v>
      </c>
      <c r="O55" s="36" t="s">
        <v>2984</v>
      </c>
      <c r="P55" s="36" t="s">
        <v>2138</v>
      </c>
    </row>
    <row r="56" spans="1:16">
      <c r="A56" s="139">
        <v>55</v>
      </c>
      <c r="B56" s="36" t="s">
        <v>2985</v>
      </c>
      <c r="C56" s="36" t="s">
        <v>2986</v>
      </c>
      <c r="D56" s="36" t="s">
        <v>2985</v>
      </c>
      <c r="E56" s="36" t="s">
        <v>2987</v>
      </c>
      <c r="F56" s="36" t="s">
        <v>2988</v>
      </c>
      <c r="G56" s="36" t="s">
        <v>2988</v>
      </c>
      <c r="H56" s="36" t="s">
        <v>2988</v>
      </c>
      <c r="I56" s="36" t="s">
        <v>2988</v>
      </c>
      <c r="J56" s="36" t="s">
        <v>2988</v>
      </c>
      <c r="K56" s="36" t="s">
        <v>2988</v>
      </c>
      <c r="L56" s="36" t="s">
        <v>2988</v>
      </c>
      <c r="M56" s="36" t="s">
        <v>2988</v>
      </c>
      <c r="N56" s="36" t="s">
        <v>2988</v>
      </c>
      <c r="O56" s="36" t="s">
        <v>2988</v>
      </c>
      <c r="P56" s="36" t="s">
        <v>2985</v>
      </c>
    </row>
    <row r="57" spans="1:16">
      <c r="A57" s="139">
        <v>56</v>
      </c>
      <c r="B57" s="36" t="s">
        <v>2989</v>
      </c>
      <c r="C57" s="36" t="s">
        <v>2990</v>
      </c>
      <c r="D57" s="36" t="s">
        <v>2989</v>
      </c>
      <c r="E57" s="36" t="s">
        <v>2990</v>
      </c>
      <c r="F57" s="36" t="s">
        <v>2991</v>
      </c>
      <c r="G57" s="36" t="s">
        <v>2991</v>
      </c>
      <c r="H57" s="36" t="s">
        <v>2991</v>
      </c>
      <c r="I57" s="36" t="s">
        <v>2990</v>
      </c>
      <c r="J57" s="36" t="s">
        <v>2990</v>
      </c>
      <c r="K57" s="36" t="s">
        <v>2991</v>
      </c>
      <c r="L57" s="36" t="s">
        <v>2991</v>
      </c>
      <c r="M57" s="36" t="s">
        <v>2991</v>
      </c>
      <c r="N57" s="36" t="s">
        <v>2991</v>
      </c>
      <c r="O57" s="36" t="s">
        <v>2991</v>
      </c>
      <c r="P57" s="36" t="s">
        <v>2989</v>
      </c>
    </row>
    <row r="58" spans="1:16">
      <c r="A58" s="139">
        <v>57</v>
      </c>
      <c r="B58" s="36" t="s">
        <v>1663</v>
      </c>
      <c r="C58" s="36" t="s">
        <v>1054</v>
      </c>
      <c r="D58" s="36" t="s">
        <v>1663</v>
      </c>
      <c r="E58" s="36" t="s">
        <v>1054</v>
      </c>
      <c r="F58" s="36" t="s">
        <v>1054</v>
      </c>
      <c r="G58" s="36" t="s">
        <v>1054</v>
      </c>
      <c r="H58" s="36" t="s">
        <v>1054</v>
      </c>
      <c r="I58" s="36" t="s">
        <v>1054</v>
      </c>
      <c r="J58" s="36" t="s">
        <v>1054</v>
      </c>
      <c r="K58" s="36" t="s">
        <v>1054</v>
      </c>
      <c r="L58" s="36" t="s">
        <v>1054</v>
      </c>
      <c r="M58" s="36" t="s">
        <v>1054</v>
      </c>
      <c r="N58" s="36" t="s">
        <v>1054</v>
      </c>
      <c r="O58" s="36" t="s">
        <v>1663</v>
      </c>
      <c r="P58" s="36" t="s">
        <v>1663</v>
      </c>
    </row>
    <row r="59" spans="1:16">
      <c r="A59" s="139">
        <v>58</v>
      </c>
      <c r="B59" s="36" t="s">
        <v>2992</v>
      </c>
      <c r="C59" s="36" t="s">
        <v>2993</v>
      </c>
      <c r="D59" s="36" t="s">
        <v>2992</v>
      </c>
      <c r="E59" s="36" t="s">
        <v>2994</v>
      </c>
      <c r="F59" s="36" t="s">
        <v>2995</v>
      </c>
      <c r="G59" s="36" t="s">
        <v>2993</v>
      </c>
      <c r="H59" s="36" t="s">
        <v>2996</v>
      </c>
      <c r="I59" s="36" t="s">
        <v>2997</v>
      </c>
      <c r="J59" s="36" t="s">
        <v>2996</v>
      </c>
      <c r="K59" s="36" t="s">
        <v>2995</v>
      </c>
      <c r="L59" s="36" t="s">
        <v>2996</v>
      </c>
      <c r="M59" s="36" t="s">
        <v>2996</v>
      </c>
      <c r="N59" s="36" t="s">
        <v>2996</v>
      </c>
      <c r="O59" s="36" t="s">
        <v>2992</v>
      </c>
      <c r="P59" s="36" t="s">
        <v>2992</v>
      </c>
    </row>
    <row r="60" spans="1:16">
      <c r="A60" s="139">
        <v>59</v>
      </c>
      <c r="B60" s="36" t="s">
        <v>2998</v>
      </c>
      <c r="C60" s="36" t="s">
        <v>2999</v>
      </c>
      <c r="D60" s="36" t="s">
        <v>3000</v>
      </c>
      <c r="E60" s="36" t="s">
        <v>3001</v>
      </c>
      <c r="F60" s="36" t="s">
        <v>3002</v>
      </c>
      <c r="G60" s="36" t="s">
        <v>3003</v>
      </c>
      <c r="H60" s="36" t="s">
        <v>3004</v>
      </c>
      <c r="I60" s="36" t="s">
        <v>3005</v>
      </c>
      <c r="J60" s="36" t="s">
        <v>3006</v>
      </c>
      <c r="K60" s="36" t="s">
        <v>3007</v>
      </c>
      <c r="L60" s="36" t="s">
        <v>3008</v>
      </c>
      <c r="M60" s="36" t="s">
        <v>3009</v>
      </c>
      <c r="N60" s="36" t="s">
        <v>3010</v>
      </c>
      <c r="O60" s="36" t="s">
        <v>3011</v>
      </c>
      <c r="P60" s="36" t="s">
        <v>2998</v>
      </c>
    </row>
    <row r="61" spans="1:16">
      <c r="A61" s="139">
        <v>60</v>
      </c>
      <c r="B61" s="36" t="s">
        <v>3012</v>
      </c>
      <c r="C61" s="36" t="s">
        <v>3013</v>
      </c>
      <c r="D61" s="36" t="s">
        <v>3014</v>
      </c>
      <c r="E61" s="36" t="s">
        <v>3015</v>
      </c>
      <c r="F61" s="36" t="s">
        <v>3016</v>
      </c>
      <c r="G61" s="36" t="s">
        <v>3017</v>
      </c>
      <c r="H61" s="36" t="s">
        <v>3018</v>
      </c>
      <c r="I61" s="36" t="s">
        <v>3019</v>
      </c>
      <c r="J61" s="36" t="s">
        <v>3020</v>
      </c>
      <c r="K61" s="36" t="s">
        <v>3021</v>
      </c>
      <c r="L61" s="36" t="s">
        <v>3022</v>
      </c>
      <c r="M61" s="36" t="s">
        <v>3023</v>
      </c>
      <c r="N61" s="36" t="s">
        <v>3024</v>
      </c>
      <c r="O61" s="36" t="s">
        <v>3025</v>
      </c>
      <c r="P61" s="36" t="s">
        <v>3012</v>
      </c>
    </row>
    <row r="62" spans="1:16">
      <c r="A62" s="139">
        <v>61</v>
      </c>
      <c r="B62" s="36" t="s">
        <v>3026</v>
      </c>
      <c r="C62" s="36" t="s">
        <v>3027</v>
      </c>
      <c r="D62" s="36" t="s">
        <v>3028</v>
      </c>
      <c r="E62" s="36" t="s">
        <v>3029</v>
      </c>
      <c r="F62" s="36" t="s">
        <v>3029</v>
      </c>
      <c r="G62" s="36" t="s">
        <v>3027</v>
      </c>
      <c r="H62" s="36" t="s">
        <v>3027</v>
      </c>
      <c r="I62" s="36" t="s">
        <v>3027</v>
      </c>
      <c r="J62" s="36" t="s">
        <v>3030</v>
      </c>
      <c r="K62" s="36" t="s">
        <v>3029</v>
      </c>
      <c r="L62" s="36" t="s">
        <v>3031</v>
      </c>
      <c r="M62" s="36" t="s">
        <v>3031</v>
      </c>
      <c r="N62" s="36" t="s">
        <v>3031</v>
      </c>
      <c r="O62" s="36" t="s">
        <v>3026</v>
      </c>
      <c r="P62" s="36" t="s">
        <v>3026</v>
      </c>
    </row>
    <row r="63" spans="1:16">
      <c r="A63" s="139">
        <v>62</v>
      </c>
      <c r="B63" s="36" t="s">
        <v>1062</v>
      </c>
      <c r="C63" s="36" t="s">
        <v>3032</v>
      </c>
      <c r="D63" s="36" t="s">
        <v>3033</v>
      </c>
      <c r="E63" s="36" t="s">
        <v>3034</v>
      </c>
      <c r="F63" s="36" t="s">
        <v>3034</v>
      </c>
      <c r="G63" s="36" t="s">
        <v>3032</v>
      </c>
      <c r="H63" s="36" t="s">
        <v>3032</v>
      </c>
      <c r="I63" s="36" t="s">
        <v>3032</v>
      </c>
      <c r="J63" s="36" t="s">
        <v>3035</v>
      </c>
      <c r="K63" s="36" t="s">
        <v>3034</v>
      </c>
      <c r="L63" s="36" t="s">
        <v>3036</v>
      </c>
      <c r="M63" s="36" t="s">
        <v>3036</v>
      </c>
      <c r="N63" s="36" t="s">
        <v>3036</v>
      </c>
      <c r="O63" s="36" t="s">
        <v>1062</v>
      </c>
      <c r="P63" s="36" t="s">
        <v>1062</v>
      </c>
    </row>
    <row r="64" spans="1:16">
      <c r="A64" s="139">
        <v>63</v>
      </c>
      <c r="B64" s="36" t="s">
        <v>3037</v>
      </c>
      <c r="C64" s="36" t="s">
        <v>3038</v>
      </c>
      <c r="D64" s="36" t="s">
        <v>3039</v>
      </c>
      <c r="E64" s="36" t="s">
        <v>3040</v>
      </c>
      <c r="F64" s="36" t="s">
        <v>3041</v>
      </c>
      <c r="G64" s="36" t="s">
        <v>3042</v>
      </c>
      <c r="H64" s="36" t="s">
        <v>3043</v>
      </c>
      <c r="I64" s="36" t="s">
        <v>3044</v>
      </c>
      <c r="J64" s="36" t="s">
        <v>3045</v>
      </c>
      <c r="K64" s="36" t="s">
        <v>3046</v>
      </c>
      <c r="L64" s="36" t="s">
        <v>3047</v>
      </c>
      <c r="M64" s="36" t="s">
        <v>3048</v>
      </c>
      <c r="N64" s="36" t="s">
        <v>3049</v>
      </c>
      <c r="O64" s="36" t="s">
        <v>3046</v>
      </c>
      <c r="P64" s="36" t="s">
        <v>3037</v>
      </c>
    </row>
    <row r="65" spans="1:16">
      <c r="A65" s="139">
        <v>64</v>
      </c>
      <c r="B65" s="36" t="s">
        <v>3050</v>
      </c>
      <c r="C65" s="36" t="s">
        <v>3051</v>
      </c>
      <c r="D65" s="36" t="s">
        <v>3052</v>
      </c>
      <c r="E65" s="36" t="s">
        <v>3053</v>
      </c>
      <c r="F65" s="36" t="s">
        <v>3054</v>
      </c>
      <c r="G65" s="36" t="s">
        <v>3055</v>
      </c>
      <c r="H65" s="36" t="s">
        <v>3056</v>
      </c>
      <c r="I65" s="36" t="s">
        <v>3057</v>
      </c>
      <c r="J65" s="36" t="s">
        <v>3058</v>
      </c>
      <c r="K65" s="36" t="s">
        <v>3059</v>
      </c>
      <c r="L65" s="36" t="s">
        <v>3060</v>
      </c>
      <c r="M65" s="36" t="s">
        <v>3061</v>
      </c>
      <c r="N65" s="36" t="s">
        <v>3050</v>
      </c>
      <c r="O65" s="36" t="s">
        <v>3062</v>
      </c>
      <c r="P65" s="36" t="s">
        <v>3050</v>
      </c>
    </row>
    <row r="66" spans="1:16">
      <c r="A66" s="139">
        <v>65</v>
      </c>
      <c r="B66" s="36" t="s">
        <v>3063</v>
      </c>
      <c r="C66" s="36" t="s">
        <v>3064</v>
      </c>
      <c r="D66" s="36" t="s">
        <v>3063</v>
      </c>
      <c r="E66" s="36" t="s">
        <v>3065</v>
      </c>
      <c r="F66" s="36" t="s">
        <v>3065</v>
      </c>
      <c r="G66" s="36" t="s">
        <v>3064</v>
      </c>
      <c r="H66" s="36" t="s">
        <v>3065</v>
      </c>
      <c r="I66" s="36" t="s">
        <v>3066</v>
      </c>
      <c r="J66" s="36" t="s">
        <v>3067</v>
      </c>
      <c r="K66" s="36" t="s">
        <v>3065</v>
      </c>
      <c r="L66" s="36" t="s">
        <v>3068</v>
      </c>
      <c r="M66" s="36" t="s">
        <v>3065</v>
      </c>
      <c r="N66" s="36" t="s">
        <v>3069</v>
      </c>
      <c r="O66" s="36" t="s">
        <v>3063</v>
      </c>
      <c r="P66" s="36" t="s">
        <v>3063</v>
      </c>
    </row>
    <row r="67" spans="1:16">
      <c r="A67" s="139">
        <v>66</v>
      </c>
      <c r="B67" s="36" t="s">
        <v>3070</v>
      </c>
      <c r="C67" s="36" t="s">
        <v>3071</v>
      </c>
      <c r="D67" s="36" t="s">
        <v>3070</v>
      </c>
      <c r="E67" s="36" t="s">
        <v>3072</v>
      </c>
      <c r="F67" s="36" t="s">
        <v>3072</v>
      </c>
      <c r="G67" s="36" t="s">
        <v>3071</v>
      </c>
      <c r="H67" s="36" t="s">
        <v>3072</v>
      </c>
      <c r="I67" s="36" t="s">
        <v>3073</v>
      </c>
      <c r="J67" s="36" t="s">
        <v>3074</v>
      </c>
      <c r="K67" s="36" t="s">
        <v>3072</v>
      </c>
      <c r="L67" s="36" t="s">
        <v>3075</v>
      </c>
      <c r="M67" s="36" t="s">
        <v>3072</v>
      </c>
      <c r="N67" s="36" t="s">
        <v>3076</v>
      </c>
      <c r="O67" s="36" t="s">
        <v>3070</v>
      </c>
      <c r="P67" s="36" t="s">
        <v>3070</v>
      </c>
    </row>
    <row r="68" spans="1:16">
      <c r="A68" s="139">
        <v>67</v>
      </c>
      <c r="B68" s="36" t="s">
        <v>3077</v>
      </c>
      <c r="C68" s="36" t="s">
        <v>3078</v>
      </c>
      <c r="D68" s="36" t="s">
        <v>3079</v>
      </c>
      <c r="E68" s="36" t="s">
        <v>3080</v>
      </c>
      <c r="F68" s="36" t="s">
        <v>3081</v>
      </c>
      <c r="G68" s="36" t="s">
        <v>3082</v>
      </c>
      <c r="H68" s="36" t="s">
        <v>3083</v>
      </c>
      <c r="I68" s="36" t="s">
        <v>3084</v>
      </c>
      <c r="J68" s="36" t="s">
        <v>3085</v>
      </c>
      <c r="K68" s="36" t="s">
        <v>3086</v>
      </c>
      <c r="L68" s="36" t="s">
        <v>3087</v>
      </c>
      <c r="M68" s="36" t="s">
        <v>3088</v>
      </c>
      <c r="N68" s="36" t="s">
        <v>3089</v>
      </c>
      <c r="O68" s="36" t="s">
        <v>3090</v>
      </c>
      <c r="P68" s="36" t="s">
        <v>3077</v>
      </c>
    </row>
    <row r="69" spans="1:16">
      <c r="A69" s="139">
        <v>68</v>
      </c>
      <c r="B69" s="36" t="s">
        <v>3091</v>
      </c>
      <c r="C69" s="36" t="s">
        <v>3092</v>
      </c>
      <c r="D69" s="36" t="s">
        <v>3093</v>
      </c>
      <c r="E69" s="36" t="s">
        <v>3094</v>
      </c>
      <c r="F69" s="36" t="s">
        <v>3095</v>
      </c>
      <c r="G69" s="36" t="s">
        <v>3096</v>
      </c>
      <c r="H69" s="36" t="s">
        <v>3097</v>
      </c>
      <c r="I69" s="36" t="s">
        <v>3098</v>
      </c>
      <c r="J69" s="36" t="s">
        <v>3099</v>
      </c>
      <c r="K69" s="36" t="s">
        <v>3100</v>
      </c>
      <c r="L69" s="36" t="s">
        <v>3101</v>
      </c>
      <c r="M69" s="36" t="s">
        <v>3102</v>
      </c>
      <c r="N69" s="36" t="s">
        <v>3103</v>
      </c>
      <c r="O69" s="36" t="s">
        <v>3104</v>
      </c>
      <c r="P69" s="36" t="s">
        <v>3091</v>
      </c>
    </row>
    <row r="70" spans="1:16">
      <c r="A70" s="139">
        <v>69</v>
      </c>
      <c r="B70" s="36" t="s">
        <v>1664</v>
      </c>
      <c r="C70" s="36" t="s">
        <v>1055</v>
      </c>
      <c r="D70" s="36" t="s">
        <v>1664</v>
      </c>
      <c r="E70" s="36" t="s">
        <v>1055</v>
      </c>
      <c r="F70" s="36" t="s">
        <v>1055</v>
      </c>
      <c r="G70" s="36" t="s">
        <v>1055</v>
      </c>
      <c r="H70" s="36" t="s">
        <v>1055</v>
      </c>
      <c r="I70" s="36" t="s">
        <v>1055</v>
      </c>
      <c r="J70" s="36" t="s">
        <v>1055</v>
      </c>
      <c r="K70" s="36" t="s">
        <v>1055</v>
      </c>
      <c r="L70" s="36" t="s">
        <v>1055</v>
      </c>
      <c r="M70" s="36" t="s">
        <v>1055</v>
      </c>
      <c r="N70" s="36" t="s">
        <v>1664</v>
      </c>
      <c r="O70" s="36" t="s">
        <v>1664</v>
      </c>
      <c r="P70" s="36" t="s">
        <v>1664</v>
      </c>
    </row>
    <row r="71" spans="1:16">
      <c r="A71" s="139">
        <v>70</v>
      </c>
      <c r="B71" s="36" t="s">
        <v>3105</v>
      </c>
      <c r="C71" s="36" t="s">
        <v>3106</v>
      </c>
      <c r="D71" s="36" t="s">
        <v>3105</v>
      </c>
      <c r="E71" s="36" t="s">
        <v>3106</v>
      </c>
      <c r="F71" s="36" t="s">
        <v>3107</v>
      </c>
      <c r="G71" s="36" t="s">
        <v>3107</v>
      </c>
      <c r="H71" s="36" t="s">
        <v>3107</v>
      </c>
      <c r="I71" s="36" t="s">
        <v>3107</v>
      </c>
      <c r="J71" s="36" t="s">
        <v>3107</v>
      </c>
      <c r="K71" s="36" t="s">
        <v>3107</v>
      </c>
      <c r="L71" s="36" t="s">
        <v>3107</v>
      </c>
      <c r="M71" s="36" t="s">
        <v>3107</v>
      </c>
      <c r="N71" s="36" t="s">
        <v>3107</v>
      </c>
      <c r="O71" s="36" t="s">
        <v>3107</v>
      </c>
      <c r="P71" s="36" t="s">
        <v>3105</v>
      </c>
    </row>
    <row r="72" spans="1:16">
      <c r="A72" s="139">
        <v>71</v>
      </c>
      <c r="B72" s="36" t="s">
        <v>3108</v>
      </c>
      <c r="C72" s="36" t="s">
        <v>3109</v>
      </c>
      <c r="D72" s="36" t="s">
        <v>3110</v>
      </c>
      <c r="E72" s="36" t="s">
        <v>3111</v>
      </c>
      <c r="F72" s="36" t="s">
        <v>3112</v>
      </c>
      <c r="G72" s="36" t="s">
        <v>3113</v>
      </c>
      <c r="H72" s="36" t="s">
        <v>3114</v>
      </c>
      <c r="I72" s="36" t="s">
        <v>3115</v>
      </c>
      <c r="J72" s="36" t="s">
        <v>3116</v>
      </c>
      <c r="K72" s="36" t="s">
        <v>3117</v>
      </c>
      <c r="L72" s="36" t="s">
        <v>3118</v>
      </c>
      <c r="M72" s="36" t="s">
        <v>3119</v>
      </c>
      <c r="N72" s="36" t="s">
        <v>3119</v>
      </c>
      <c r="O72" s="36" t="s">
        <v>3120</v>
      </c>
      <c r="P72" s="36" t="s">
        <v>3108</v>
      </c>
    </row>
    <row r="73" spans="1:16">
      <c r="A73" s="139">
        <v>72</v>
      </c>
      <c r="B73" s="36" t="s">
        <v>3121</v>
      </c>
      <c r="C73" s="36" t="s">
        <v>3122</v>
      </c>
      <c r="D73" s="36" t="s">
        <v>3123</v>
      </c>
      <c r="E73" s="36" t="s">
        <v>3124</v>
      </c>
      <c r="F73" s="36" t="s">
        <v>3125</v>
      </c>
      <c r="G73" s="36" t="s">
        <v>3126</v>
      </c>
      <c r="H73" s="36" t="s">
        <v>3127</v>
      </c>
      <c r="I73" s="36" t="s">
        <v>3128</v>
      </c>
      <c r="J73" s="36" t="s">
        <v>3129</v>
      </c>
      <c r="K73" s="36" t="s">
        <v>3130</v>
      </c>
      <c r="L73" s="36" t="s">
        <v>3131</v>
      </c>
      <c r="M73" s="36" t="s">
        <v>3132</v>
      </c>
      <c r="N73" s="36" t="s">
        <v>3131</v>
      </c>
      <c r="O73" s="36" t="s">
        <v>3133</v>
      </c>
      <c r="P73" s="36" t="s">
        <v>3121</v>
      </c>
    </row>
    <row r="74" spans="1:16">
      <c r="A74" s="139">
        <v>73</v>
      </c>
      <c r="B74" s="36" t="s">
        <v>3134</v>
      </c>
      <c r="C74" s="36" t="s">
        <v>3135</v>
      </c>
      <c r="D74" s="36" t="s">
        <v>3136</v>
      </c>
      <c r="E74" s="36" t="s">
        <v>3137</v>
      </c>
      <c r="F74" s="36" t="s">
        <v>3137</v>
      </c>
      <c r="G74" s="36" t="s">
        <v>3135</v>
      </c>
      <c r="H74" s="36" t="s">
        <v>3138</v>
      </c>
      <c r="I74" s="36" t="s">
        <v>3138</v>
      </c>
      <c r="J74" s="36" t="s">
        <v>3139</v>
      </c>
      <c r="K74" s="36" t="s">
        <v>3137</v>
      </c>
      <c r="L74" s="36" t="s">
        <v>3138</v>
      </c>
      <c r="M74" s="36" t="s">
        <v>3138</v>
      </c>
      <c r="N74" s="36" t="s">
        <v>3140</v>
      </c>
      <c r="O74" s="36" t="s">
        <v>3134</v>
      </c>
      <c r="P74" s="36" t="s">
        <v>3134</v>
      </c>
    </row>
    <row r="75" spans="1:16">
      <c r="A75" s="139">
        <v>74</v>
      </c>
      <c r="B75" s="36" t="s">
        <v>3141</v>
      </c>
      <c r="C75" s="36" t="s">
        <v>3142</v>
      </c>
      <c r="D75" s="36" t="s">
        <v>3143</v>
      </c>
      <c r="E75" s="36" t="s">
        <v>3144</v>
      </c>
      <c r="F75" s="36" t="s">
        <v>3145</v>
      </c>
      <c r="G75" s="36" t="s">
        <v>3146</v>
      </c>
      <c r="H75" s="36" t="s">
        <v>3147</v>
      </c>
      <c r="I75" s="36" t="s">
        <v>3148</v>
      </c>
      <c r="J75" s="36" t="s">
        <v>3149</v>
      </c>
      <c r="K75" s="36" t="s">
        <v>3150</v>
      </c>
      <c r="L75" s="36" t="s">
        <v>3151</v>
      </c>
      <c r="M75" s="36" t="s">
        <v>3151</v>
      </c>
      <c r="N75" s="36" t="s">
        <v>3152</v>
      </c>
      <c r="O75" s="36" t="s">
        <v>3152</v>
      </c>
      <c r="P75" s="36" t="s">
        <v>3141</v>
      </c>
    </row>
    <row r="76" spans="1:16">
      <c r="A76" s="139">
        <v>75</v>
      </c>
      <c r="B76" s="36" t="s">
        <v>3153</v>
      </c>
      <c r="C76" s="36" t="s">
        <v>3154</v>
      </c>
      <c r="D76" s="36" t="s">
        <v>3153</v>
      </c>
      <c r="E76" s="36" t="s">
        <v>3154</v>
      </c>
      <c r="F76" s="36" t="s">
        <v>3154</v>
      </c>
      <c r="G76" s="36" t="s">
        <v>3154</v>
      </c>
      <c r="H76" s="36" t="s">
        <v>3154</v>
      </c>
      <c r="I76" s="36" t="s">
        <v>3154</v>
      </c>
      <c r="J76" s="36" t="s">
        <v>3154</v>
      </c>
      <c r="K76" s="36" t="s">
        <v>3154</v>
      </c>
      <c r="L76" s="36" t="s">
        <v>3154</v>
      </c>
      <c r="M76" s="36" t="s">
        <v>3154</v>
      </c>
      <c r="N76" s="36" t="s">
        <v>3153</v>
      </c>
      <c r="O76" s="36" t="s">
        <v>3153</v>
      </c>
      <c r="P76" s="36" t="s">
        <v>3153</v>
      </c>
    </row>
    <row r="77" spans="1:16">
      <c r="A77" s="139">
        <v>76</v>
      </c>
      <c r="B77" s="36" t="s">
        <v>3155</v>
      </c>
      <c r="C77" s="36" t="s">
        <v>3156</v>
      </c>
      <c r="D77" s="36" t="s">
        <v>3155</v>
      </c>
      <c r="E77" s="36" t="s">
        <v>3157</v>
      </c>
      <c r="F77" s="36" t="s">
        <v>3157</v>
      </c>
      <c r="G77" s="36" t="s">
        <v>3156</v>
      </c>
      <c r="H77" s="36" t="s">
        <v>3156</v>
      </c>
      <c r="I77" s="36" t="s">
        <v>3156</v>
      </c>
      <c r="J77" s="36" t="s">
        <v>3156</v>
      </c>
      <c r="K77" s="36" t="s">
        <v>3157</v>
      </c>
      <c r="L77" s="36" t="s">
        <v>3156</v>
      </c>
      <c r="M77" s="36" t="s">
        <v>3156</v>
      </c>
      <c r="N77" s="36" t="s">
        <v>3156</v>
      </c>
      <c r="O77" s="36" t="s">
        <v>3155</v>
      </c>
      <c r="P77" s="36" t="s">
        <v>3155</v>
      </c>
    </row>
    <row r="78" spans="1:16">
      <c r="A78" s="139">
        <v>77</v>
      </c>
      <c r="B78" s="36" t="s">
        <v>3158</v>
      </c>
      <c r="C78" s="36" t="s">
        <v>3159</v>
      </c>
      <c r="D78" s="36" t="s">
        <v>3160</v>
      </c>
      <c r="E78" s="36" t="s">
        <v>3161</v>
      </c>
      <c r="F78" s="36" t="s">
        <v>3162</v>
      </c>
      <c r="G78" s="36" t="s">
        <v>3163</v>
      </c>
      <c r="H78" s="36" t="s">
        <v>3164</v>
      </c>
      <c r="I78" s="36" t="s">
        <v>3165</v>
      </c>
      <c r="J78" s="36" t="s">
        <v>3166</v>
      </c>
      <c r="K78" s="36" t="s">
        <v>3167</v>
      </c>
      <c r="L78" s="36" t="s">
        <v>3168</v>
      </c>
      <c r="M78" s="36" t="s">
        <v>3169</v>
      </c>
      <c r="N78" s="36" t="s">
        <v>3170</v>
      </c>
      <c r="O78" s="36" t="s">
        <v>3171</v>
      </c>
      <c r="P78" s="36" t="s">
        <v>3158</v>
      </c>
    </row>
    <row r="79" spans="1:16">
      <c r="A79" s="139">
        <v>78</v>
      </c>
      <c r="B79" s="36" t="s">
        <v>3172</v>
      </c>
      <c r="C79" s="36" t="s">
        <v>3173</v>
      </c>
      <c r="D79" s="36" t="s">
        <v>3172</v>
      </c>
      <c r="E79" s="36" t="s">
        <v>3174</v>
      </c>
      <c r="F79" s="36" t="s">
        <v>3174</v>
      </c>
      <c r="G79" s="36" t="s">
        <v>3173</v>
      </c>
      <c r="H79" s="36" t="s">
        <v>3173</v>
      </c>
      <c r="I79" s="36" t="s">
        <v>3173</v>
      </c>
      <c r="J79" s="36" t="s">
        <v>3173</v>
      </c>
      <c r="K79" s="36" t="s">
        <v>3174</v>
      </c>
      <c r="L79" s="36" t="s">
        <v>3173</v>
      </c>
      <c r="M79" s="36" t="s">
        <v>3173</v>
      </c>
      <c r="N79" s="36" t="s">
        <v>3173</v>
      </c>
      <c r="O79" s="36" t="s">
        <v>3172</v>
      </c>
      <c r="P79" s="36" t="s">
        <v>3172</v>
      </c>
    </row>
    <row r="80" spans="1:16">
      <c r="A80" s="139">
        <v>79</v>
      </c>
      <c r="B80" s="36" t="s">
        <v>3175</v>
      </c>
      <c r="C80" s="36" t="s">
        <v>3176</v>
      </c>
      <c r="D80" s="36" t="s">
        <v>3177</v>
      </c>
      <c r="E80" s="36" t="s">
        <v>3178</v>
      </c>
      <c r="F80" s="36" t="s">
        <v>3179</v>
      </c>
      <c r="G80" s="36" t="s">
        <v>3180</v>
      </c>
      <c r="H80" s="36" t="s">
        <v>3181</v>
      </c>
      <c r="I80" s="36" t="s">
        <v>3182</v>
      </c>
      <c r="J80" s="36" t="s">
        <v>3183</v>
      </c>
      <c r="K80" s="36" t="s">
        <v>3184</v>
      </c>
      <c r="L80" s="36" t="s">
        <v>3185</v>
      </c>
      <c r="M80" s="36" t="s">
        <v>3186</v>
      </c>
      <c r="N80" s="36" t="s">
        <v>3187</v>
      </c>
      <c r="O80" s="36" t="s">
        <v>3188</v>
      </c>
      <c r="P80" s="36" t="s">
        <v>3175</v>
      </c>
    </row>
    <row r="81" spans="1:16">
      <c r="A81" s="139">
        <v>80</v>
      </c>
      <c r="B81" s="36" t="s">
        <v>3189</v>
      </c>
      <c r="C81" s="36" t="s">
        <v>3190</v>
      </c>
      <c r="D81" s="36" t="s">
        <v>3191</v>
      </c>
      <c r="E81" s="36" t="s">
        <v>3192</v>
      </c>
      <c r="F81" s="36" t="s">
        <v>3193</v>
      </c>
      <c r="G81" s="36" t="s">
        <v>3194</v>
      </c>
      <c r="H81" s="36" t="s">
        <v>3195</v>
      </c>
      <c r="I81" s="36" t="s">
        <v>3196</v>
      </c>
      <c r="J81" s="36" t="s">
        <v>3197</v>
      </c>
      <c r="K81" s="36" t="s">
        <v>3198</v>
      </c>
      <c r="L81" s="36" t="s">
        <v>3199</v>
      </c>
      <c r="M81" s="36" t="s">
        <v>3200</v>
      </c>
      <c r="N81" s="36" t="s">
        <v>3201</v>
      </c>
      <c r="O81" s="36" t="s">
        <v>3202</v>
      </c>
      <c r="P81" s="36" t="s">
        <v>3189</v>
      </c>
    </row>
    <row r="82" spans="1:16">
      <c r="A82" s="139">
        <v>81</v>
      </c>
      <c r="B82" s="36" t="s">
        <v>3203</v>
      </c>
      <c r="C82" s="36" t="s">
        <v>3204</v>
      </c>
      <c r="D82" s="36" t="s">
        <v>3205</v>
      </c>
      <c r="E82" s="36" t="s">
        <v>3206</v>
      </c>
      <c r="F82" s="36" t="s">
        <v>3207</v>
      </c>
      <c r="G82" s="36" t="s">
        <v>3208</v>
      </c>
      <c r="H82" s="36" t="s">
        <v>3209</v>
      </c>
      <c r="I82" s="36" t="s">
        <v>3210</v>
      </c>
      <c r="J82" s="36" t="s">
        <v>3211</v>
      </c>
      <c r="K82" s="36" t="s">
        <v>3212</v>
      </c>
      <c r="L82" s="36" t="s">
        <v>3213</v>
      </c>
      <c r="M82" s="36" t="s">
        <v>3214</v>
      </c>
      <c r="N82" s="36" t="s">
        <v>3215</v>
      </c>
      <c r="O82" s="36" t="s">
        <v>3216</v>
      </c>
      <c r="P82" s="36" t="s">
        <v>3203</v>
      </c>
    </row>
    <row r="83" spans="1:16" ht="16.2">
      <c r="A83" s="139">
        <v>82</v>
      </c>
      <c r="B83" s="36" t="s">
        <v>3217</v>
      </c>
      <c r="C83" s="36" t="s">
        <v>3218</v>
      </c>
      <c r="D83" s="36" t="s">
        <v>3219</v>
      </c>
      <c r="E83" s="36" t="s">
        <v>3220</v>
      </c>
      <c r="F83" s="36" t="s">
        <v>3221</v>
      </c>
      <c r="G83" s="36" t="s">
        <v>3222</v>
      </c>
      <c r="H83" s="36" t="s">
        <v>3223</v>
      </c>
      <c r="I83" s="36" t="s">
        <v>3224</v>
      </c>
      <c r="J83" s="36" t="s">
        <v>3225</v>
      </c>
      <c r="K83" s="36" t="s">
        <v>3226</v>
      </c>
      <c r="L83" s="36" t="s">
        <v>3227</v>
      </c>
      <c r="M83" s="36" t="s">
        <v>3228</v>
      </c>
      <c r="N83" s="36" t="s">
        <v>3229</v>
      </c>
      <c r="O83" s="36" t="s">
        <v>3230</v>
      </c>
      <c r="P83" s="36" t="s">
        <v>3217</v>
      </c>
    </row>
    <row r="84" spans="1:16">
      <c r="A84" s="139">
        <v>83</v>
      </c>
      <c r="B84" s="36" t="s">
        <v>3231</v>
      </c>
      <c r="C84" s="36" t="s">
        <v>3232</v>
      </c>
      <c r="D84" s="36" t="s">
        <v>3231</v>
      </c>
      <c r="E84" s="36" t="s">
        <v>3232</v>
      </c>
      <c r="F84" s="36" t="s">
        <v>3232</v>
      </c>
      <c r="G84" s="36" t="s">
        <v>3232</v>
      </c>
      <c r="H84" s="36" t="s">
        <v>3232</v>
      </c>
      <c r="I84" s="36" t="s">
        <v>3232</v>
      </c>
      <c r="J84" s="36" t="s">
        <v>3232</v>
      </c>
      <c r="K84" s="36" t="s">
        <v>3232</v>
      </c>
      <c r="L84" s="36" t="s">
        <v>3232</v>
      </c>
      <c r="M84" s="36" t="s">
        <v>3232</v>
      </c>
      <c r="N84" s="36" t="s">
        <v>3231</v>
      </c>
      <c r="O84" s="36" t="s">
        <v>3231</v>
      </c>
      <c r="P84" s="36" t="s">
        <v>3231</v>
      </c>
    </row>
    <row r="85" spans="1:16">
      <c r="A85" s="139">
        <v>84</v>
      </c>
      <c r="B85" s="36" t="s">
        <v>3233</v>
      </c>
      <c r="C85" s="36" t="s">
        <v>3234</v>
      </c>
      <c r="D85" s="36" t="s">
        <v>3235</v>
      </c>
      <c r="E85" s="36" t="s">
        <v>1554</v>
      </c>
      <c r="F85" s="36" t="s">
        <v>1554</v>
      </c>
      <c r="G85" s="36" t="s">
        <v>3234</v>
      </c>
      <c r="H85" s="36" t="s">
        <v>1554</v>
      </c>
      <c r="I85" s="36" t="s">
        <v>1554</v>
      </c>
      <c r="J85" s="36" t="s">
        <v>3236</v>
      </c>
      <c r="K85" s="36" t="s">
        <v>1554</v>
      </c>
      <c r="L85" s="36" t="s">
        <v>1554</v>
      </c>
      <c r="M85" s="36" t="s">
        <v>1554</v>
      </c>
      <c r="N85" s="36" t="s">
        <v>3237</v>
      </c>
      <c r="O85" s="36" t="s">
        <v>3233</v>
      </c>
      <c r="P85" s="36" t="s">
        <v>3233</v>
      </c>
    </row>
    <row r="86" spans="1:16">
      <c r="A86" s="139">
        <v>85</v>
      </c>
      <c r="B86" s="36" t="s">
        <v>3238</v>
      </c>
      <c r="C86" s="36" t="s">
        <v>3239</v>
      </c>
      <c r="D86" s="36" t="s">
        <v>3240</v>
      </c>
      <c r="E86" s="36" t="s">
        <v>3241</v>
      </c>
      <c r="F86" s="36" t="s">
        <v>3242</v>
      </c>
      <c r="G86" s="36" t="s">
        <v>3243</v>
      </c>
      <c r="H86" s="36" t="s">
        <v>3244</v>
      </c>
      <c r="I86" s="36" t="s">
        <v>3245</v>
      </c>
      <c r="J86" s="36" t="s">
        <v>3246</v>
      </c>
      <c r="K86" s="36" t="s">
        <v>3247</v>
      </c>
      <c r="L86" s="36" t="s">
        <v>3248</v>
      </c>
      <c r="M86" s="36" t="s">
        <v>3249</v>
      </c>
      <c r="N86" s="36" t="s">
        <v>3250</v>
      </c>
      <c r="O86" s="36" t="s">
        <v>3251</v>
      </c>
      <c r="P86" s="36" t="s">
        <v>3238</v>
      </c>
    </row>
    <row r="87" spans="1:16">
      <c r="A87" s="139">
        <v>86</v>
      </c>
      <c r="B87" s="36" t="s">
        <v>3252</v>
      </c>
      <c r="C87" s="36" t="s">
        <v>3253</v>
      </c>
      <c r="D87" s="36" t="s">
        <v>3252</v>
      </c>
      <c r="E87" s="36" t="s">
        <v>3253</v>
      </c>
      <c r="F87" s="36" t="s">
        <v>3253</v>
      </c>
      <c r="G87" s="36" t="s">
        <v>3253</v>
      </c>
      <c r="H87" s="36" t="s">
        <v>3253</v>
      </c>
      <c r="I87" s="36" t="s">
        <v>3253</v>
      </c>
      <c r="J87" s="36" t="s">
        <v>3253</v>
      </c>
      <c r="K87" s="36" t="s">
        <v>3253</v>
      </c>
      <c r="L87" s="36" t="s">
        <v>3253</v>
      </c>
      <c r="M87" s="36" t="s">
        <v>3253</v>
      </c>
      <c r="N87" s="36" t="s">
        <v>3252</v>
      </c>
      <c r="O87" s="36" t="s">
        <v>3252</v>
      </c>
      <c r="P87" s="36" t="s">
        <v>3252</v>
      </c>
    </row>
    <row r="88" spans="1:16">
      <c r="A88" s="139">
        <v>87</v>
      </c>
      <c r="B88" s="36" t="s">
        <v>3254</v>
      </c>
      <c r="C88" s="36" t="s">
        <v>3255</v>
      </c>
      <c r="D88" s="36" t="s">
        <v>3254</v>
      </c>
      <c r="E88" s="36" t="s">
        <v>3255</v>
      </c>
      <c r="F88" s="36" t="s">
        <v>3256</v>
      </c>
      <c r="G88" s="36" t="s">
        <v>3256</v>
      </c>
      <c r="H88" s="36" t="s">
        <v>3256</v>
      </c>
      <c r="I88" s="36" t="s">
        <v>3256</v>
      </c>
      <c r="J88" s="36" t="s">
        <v>3256</v>
      </c>
      <c r="K88" s="36" t="s">
        <v>3256</v>
      </c>
      <c r="L88" s="36" t="s">
        <v>3256</v>
      </c>
      <c r="M88" s="36" t="s">
        <v>3256</v>
      </c>
      <c r="N88" s="36" t="s">
        <v>3256</v>
      </c>
      <c r="O88" s="36" t="s">
        <v>3256</v>
      </c>
      <c r="P88" s="36" t="s">
        <v>3254</v>
      </c>
    </row>
    <row r="89" spans="1:16">
      <c r="A89" s="139">
        <v>88</v>
      </c>
      <c r="B89" s="36" t="s">
        <v>3257</v>
      </c>
      <c r="C89" s="36" t="s">
        <v>3258</v>
      </c>
      <c r="D89" s="36" t="s">
        <v>3257</v>
      </c>
      <c r="E89" s="36" t="s">
        <v>3258</v>
      </c>
      <c r="F89" s="36" t="s">
        <v>3259</v>
      </c>
      <c r="G89" s="36" t="s">
        <v>3259</v>
      </c>
      <c r="H89" s="36" t="s">
        <v>3259</v>
      </c>
      <c r="I89" s="36" t="s">
        <v>3259</v>
      </c>
      <c r="J89" s="36" t="s">
        <v>3259</v>
      </c>
      <c r="K89" s="36" t="s">
        <v>3259</v>
      </c>
      <c r="L89" s="36" t="s">
        <v>3259</v>
      </c>
      <c r="M89" s="36" t="s">
        <v>3259</v>
      </c>
      <c r="N89" s="36" t="s">
        <v>3259</v>
      </c>
      <c r="O89" s="36" t="s">
        <v>3259</v>
      </c>
      <c r="P89" s="36" t="s">
        <v>3257</v>
      </c>
    </row>
    <row r="90" spans="1:16">
      <c r="A90" s="139">
        <v>89</v>
      </c>
      <c r="B90" s="36" t="s">
        <v>3260</v>
      </c>
      <c r="C90" s="36" t="s">
        <v>3261</v>
      </c>
      <c r="D90" s="36" t="s">
        <v>3260</v>
      </c>
      <c r="E90" s="36" t="s">
        <v>3261</v>
      </c>
      <c r="F90" s="36" t="s">
        <v>3262</v>
      </c>
      <c r="G90" s="36" t="s">
        <v>3262</v>
      </c>
      <c r="H90" s="36" t="s">
        <v>3262</v>
      </c>
      <c r="I90" s="36" t="s">
        <v>3262</v>
      </c>
      <c r="J90" s="36" t="s">
        <v>3261</v>
      </c>
      <c r="K90" s="36" t="s">
        <v>3262</v>
      </c>
      <c r="L90" s="36" t="s">
        <v>3261</v>
      </c>
      <c r="M90" s="36" t="s">
        <v>3262</v>
      </c>
      <c r="N90" s="36" t="s">
        <v>3262</v>
      </c>
      <c r="O90" s="36" t="s">
        <v>3262</v>
      </c>
      <c r="P90" s="36" t="s">
        <v>3260</v>
      </c>
    </row>
    <row r="91" spans="1:16">
      <c r="A91" s="139">
        <v>90</v>
      </c>
      <c r="B91" s="36" t="s">
        <v>1662</v>
      </c>
      <c r="C91" s="36" t="s">
        <v>1056</v>
      </c>
      <c r="D91" s="36" t="s">
        <v>1662</v>
      </c>
      <c r="E91" s="36" t="s">
        <v>1056</v>
      </c>
      <c r="F91" s="36" t="s">
        <v>1056</v>
      </c>
      <c r="G91" s="36" t="s">
        <v>1056</v>
      </c>
      <c r="H91" s="36" t="s">
        <v>1056</v>
      </c>
      <c r="I91" s="36" t="s">
        <v>1056</v>
      </c>
      <c r="J91" s="36" t="s">
        <v>1056</v>
      </c>
      <c r="K91" s="36" t="s">
        <v>1056</v>
      </c>
      <c r="L91" s="36" t="s">
        <v>1056</v>
      </c>
      <c r="M91" s="36" t="s">
        <v>1056</v>
      </c>
      <c r="N91" s="36" t="s">
        <v>1056</v>
      </c>
      <c r="O91" s="36" t="s">
        <v>1662</v>
      </c>
      <c r="P91" s="36" t="s">
        <v>1662</v>
      </c>
    </row>
    <row r="92" spans="1:16">
      <c r="A92" s="139">
        <v>91</v>
      </c>
      <c r="B92" s="36" t="s">
        <v>3263</v>
      </c>
      <c r="C92" s="36" t="s">
        <v>3264</v>
      </c>
      <c r="D92" s="36" t="s">
        <v>3263</v>
      </c>
      <c r="E92" s="36" t="s">
        <v>3265</v>
      </c>
      <c r="F92" s="36" t="s">
        <v>3265</v>
      </c>
      <c r="G92" s="36" t="s">
        <v>3264</v>
      </c>
      <c r="H92" s="36" t="s">
        <v>3264</v>
      </c>
      <c r="I92" s="36" t="s">
        <v>3264</v>
      </c>
      <c r="J92" s="36" t="s">
        <v>3266</v>
      </c>
      <c r="K92" s="36" t="s">
        <v>3265</v>
      </c>
      <c r="L92" s="36" t="s">
        <v>3266</v>
      </c>
      <c r="M92" s="36" t="s">
        <v>3264</v>
      </c>
      <c r="N92" s="36" t="s">
        <v>3267</v>
      </c>
      <c r="O92" s="36" t="s">
        <v>3263</v>
      </c>
      <c r="P92" s="36" t="s">
        <v>3263</v>
      </c>
    </row>
    <row r="93" spans="1:16">
      <c r="A93" s="139">
        <v>92</v>
      </c>
      <c r="B93" s="36" t="s">
        <v>3268</v>
      </c>
      <c r="C93" s="36" t="s">
        <v>3269</v>
      </c>
      <c r="D93" s="36" t="s">
        <v>3268</v>
      </c>
      <c r="E93" s="36" t="s">
        <v>3270</v>
      </c>
      <c r="F93" s="36" t="s">
        <v>3270</v>
      </c>
      <c r="G93" s="36" t="s">
        <v>3269</v>
      </c>
      <c r="H93" s="36" t="s">
        <v>3269</v>
      </c>
      <c r="I93" s="36" t="s">
        <v>3269</v>
      </c>
      <c r="J93" s="36" t="s">
        <v>3269</v>
      </c>
      <c r="K93" s="36" t="s">
        <v>3270</v>
      </c>
      <c r="L93" s="36" t="s">
        <v>3269</v>
      </c>
      <c r="M93" s="36" t="s">
        <v>3269</v>
      </c>
      <c r="N93" s="36" t="s">
        <v>3269</v>
      </c>
      <c r="O93" s="36" t="s">
        <v>3268</v>
      </c>
      <c r="P93" s="36" t="s">
        <v>3268</v>
      </c>
    </row>
    <row r="94" spans="1:16">
      <c r="A94" s="139">
        <v>93</v>
      </c>
      <c r="B94" s="36" t="s">
        <v>3271</v>
      </c>
      <c r="C94" s="36" t="s">
        <v>3272</v>
      </c>
      <c r="D94" s="36" t="s">
        <v>3273</v>
      </c>
      <c r="E94" s="36" t="s">
        <v>3274</v>
      </c>
      <c r="F94" s="36" t="s">
        <v>3275</v>
      </c>
      <c r="G94" s="36" t="s">
        <v>3276</v>
      </c>
      <c r="H94" s="36" t="s">
        <v>3277</v>
      </c>
      <c r="I94" s="36" t="s">
        <v>3278</v>
      </c>
      <c r="J94" s="36" t="s">
        <v>3279</v>
      </c>
      <c r="K94" s="36" t="s">
        <v>3280</v>
      </c>
      <c r="L94" s="36" t="s">
        <v>3281</v>
      </c>
      <c r="M94" s="36" t="s">
        <v>3282</v>
      </c>
      <c r="N94" s="36" t="s">
        <v>3283</v>
      </c>
      <c r="O94" s="36" t="s">
        <v>3284</v>
      </c>
      <c r="P94" s="36" t="s">
        <v>3271</v>
      </c>
    </row>
    <row r="95" spans="1:16">
      <c r="A95" s="139">
        <v>94</v>
      </c>
      <c r="B95" s="36" t="s">
        <v>3285</v>
      </c>
      <c r="C95" s="36" t="s">
        <v>3286</v>
      </c>
      <c r="D95" s="36" t="s">
        <v>3287</v>
      </c>
      <c r="E95" s="36" t="s">
        <v>3288</v>
      </c>
      <c r="F95" s="36" t="s">
        <v>3289</v>
      </c>
      <c r="G95" s="36" t="s">
        <v>3290</v>
      </c>
      <c r="H95" s="36" t="s">
        <v>3291</v>
      </c>
      <c r="I95" s="36" t="s">
        <v>3292</v>
      </c>
      <c r="J95" s="36" t="s">
        <v>3293</v>
      </c>
      <c r="K95" s="36" t="s">
        <v>3294</v>
      </c>
      <c r="L95" s="36" t="s">
        <v>3295</v>
      </c>
      <c r="M95" s="36" t="s">
        <v>3296</v>
      </c>
      <c r="N95" s="36" t="s">
        <v>3297</v>
      </c>
      <c r="O95" s="36" t="s">
        <v>3298</v>
      </c>
      <c r="P95" s="36" t="s">
        <v>3285</v>
      </c>
    </row>
    <row r="96" spans="1:16">
      <c r="A96" s="139">
        <v>95</v>
      </c>
      <c r="B96" s="36" t="s">
        <v>3299</v>
      </c>
      <c r="C96" s="36" t="s">
        <v>3300</v>
      </c>
      <c r="D96" s="36" t="s">
        <v>3299</v>
      </c>
      <c r="E96" s="36" t="s">
        <v>3301</v>
      </c>
      <c r="F96" s="36" t="s">
        <v>3301</v>
      </c>
      <c r="G96" s="36" t="s">
        <v>3300</v>
      </c>
      <c r="H96" s="36" t="s">
        <v>3300</v>
      </c>
      <c r="I96" s="36" t="s">
        <v>3300</v>
      </c>
      <c r="J96" s="36" t="s">
        <v>3300</v>
      </c>
      <c r="K96" s="36" t="s">
        <v>3301</v>
      </c>
      <c r="L96" s="36" t="s">
        <v>3300</v>
      </c>
      <c r="M96" s="36" t="s">
        <v>3300</v>
      </c>
      <c r="N96" s="36" t="s">
        <v>3300</v>
      </c>
      <c r="O96" s="36" t="s">
        <v>3299</v>
      </c>
      <c r="P96" s="36" t="s">
        <v>3299</v>
      </c>
    </row>
    <row r="97" spans="1:16">
      <c r="A97" s="139">
        <v>96</v>
      </c>
      <c r="B97" s="36" t="s">
        <v>2112</v>
      </c>
      <c r="C97" s="36" t="s">
        <v>3302</v>
      </c>
      <c r="D97" s="36" t="s">
        <v>2112</v>
      </c>
      <c r="E97" s="36" t="s">
        <v>3303</v>
      </c>
      <c r="F97" s="36" t="s">
        <v>3303</v>
      </c>
      <c r="G97" s="36" t="s">
        <v>3302</v>
      </c>
      <c r="H97" s="36" t="s">
        <v>3304</v>
      </c>
      <c r="I97" s="36" t="s">
        <v>1485</v>
      </c>
      <c r="J97" s="36" t="s">
        <v>1485</v>
      </c>
      <c r="K97" s="36" t="s">
        <v>3303</v>
      </c>
      <c r="L97" s="36" t="s">
        <v>1485</v>
      </c>
      <c r="M97" s="36" t="s">
        <v>1485</v>
      </c>
      <c r="N97" s="36" t="s">
        <v>3305</v>
      </c>
      <c r="O97" s="36" t="s">
        <v>2112</v>
      </c>
      <c r="P97" s="36" t="s">
        <v>2112</v>
      </c>
    </row>
    <row r="98" spans="1:16">
      <c r="A98" s="139">
        <v>97</v>
      </c>
      <c r="B98" s="36" t="s">
        <v>2113</v>
      </c>
      <c r="C98" s="36" t="s">
        <v>3306</v>
      </c>
      <c r="D98" s="36" t="s">
        <v>2113</v>
      </c>
      <c r="E98" s="36" t="s">
        <v>3307</v>
      </c>
      <c r="F98" s="36" t="s">
        <v>3307</v>
      </c>
      <c r="G98" s="36" t="s">
        <v>3306</v>
      </c>
      <c r="H98" s="36" t="s">
        <v>3308</v>
      </c>
      <c r="I98" s="36" t="s">
        <v>3308</v>
      </c>
      <c r="J98" s="36" t="s">
        <v>3308</v>
      </c>
      <c r="K98" s="36" t="s">
        <v>3307</v>
      </c>
      <c r="L98" s="36" t="s">
        <v>3308</v>
      </c>
      <c r="M98" s="36" t="s">
        <v>3308</v>
      </c>
      <c r="N98" s="36" t="s">
        <v>3308</v>
      </c>
      <c r="O98" s="36" t="s">
        <v>2113</v>
      </c>
      <c r="P98" s="36" t="s">
        <v>2113</v>
      </c>
    </row>
    <row r="99" spans="1:16">
      <c r="A99" s="139">
        <v>98</v>
      </c>
      <c r="B99" s="36" t="s">
        <v>3309</v>
      </c>
      <c r="C99" s="36" t="s">
        <v>3310</v>
      </c>
      <c r="D99" s="36" t="s">
        <v>3311</v>
      </c>
      <c r="E99" s="36" t="s">
        <v>3312</v>
      </c>
      <c r="F99" s="36" t="s">
        <v>3313</v>
      </c>
      <c r="G99" s="36" t="s">
        <v>3314</v>
      </c>
      <c r="H99" s="36" t="s">
        <v>3315</v>
      </c>
      <c r="I99" s="36" t="s">
        <v>3316</v>
      </c>
      <c r="J99" s="36" t="s">
        <v>3317</v>
      </c>
      <c r="K99" s="36" t="s">
        <v>3318</v>
      </c>
      <c r="L99" s="36" t="s">
        <v>3319</v>
      </c>
      <c r="M99" s="36" t="s">
        <v>3320</v>
      </c>
      <c r="N99" s="36" t="s">
        <v>3321</v>
      </c>
      <c r="O99" s="36" t="s">
        <v>3322</v>
      </c>
      <c r="P99" s="36" t="s">
        <v>3309</v>
      </c>
    </row>
    <row r="100" spans="1:16">
      <c r="A100" s="139">
        <v>99</v>
      </c>
      <c r="B100" s="36" t="s">
        <v>3323</v>
      </c>
      <c r="C100" s="36" t="s">
        <v>3324</v>
      </c>
      <c r="D100" s="36" t="s">
        <v>3325</v>
      </c>
      <c r="E100" s="36" t="s">
        <v>3326</v>
      </c>
      <c r="F100" s="36" t="s">
        <v>3327</v>
      </c>
      <c r="G100" s="36" t="s">
        <v>3328</v>
      </c>
      <c r="H100" s="36" t="s">
        <v>3329</v>
      </c>
      <c r="I100" s="36" t="s">
        <v>3330</v>
      </c>
      <c r="J100" s="36" t="s">
        <v>3331</v>
      </c>
      <c r="K100" s="36" t="s">
        <v>3332</v>
      </c>
      <c r="L100" s="36" t="s">
        <v>3333</v>
      </c>
      <c r="M100" s="36" t="s">
        <v>3334</v>
      </c>
      <c r="N100" s="36" t="s">
        <v>3335</v>
      </c>
      <c r="O100" s="36" t="s">
        <v>3336</v>
      </c>
      <c r="P100" s="36" t="s">
        <v>3323</v>
      </c>
    </row>
    <row r="101" spans="1:16">
      <c r="A101" s="139">
        <v>100</v>
      </c>
      <c r="B101" s="36" t="s">
        <v>3337</v>
      </c>
      <c r="C101" s="36" t="s">
        <v>3338</v>
      </c>
      <c r="D101" s="36" t="s">
        <v>3339</v>
      </c>
      <c r="E101" s="36" t="s">
        <v>3340</v>
      </c>
      <c r="F101" s="36" t="s">
        <v>3341</v>
      </c>
      <c r="G101" s="36" t="s">
        <v>3342</v>
      </c>
      <c r="H101" s="36" t="s">
        <v>3343</v>
      </c>
      <c r="I101" s="36" t="s">
        <v>3344</v>
      </c>
      <c r="J101" s="36" t="s">
        <v>3345</v>
      </c>
      <c r="K101" s="36" t="s">
        <v>3346</v>
      </c>
      <c r="L101" s="36" t="s">
        <v>3347</v>
      </c>
      <c r="M101" s="36" t="s">
        <v>3348</v>
      </c>
      <c r="N101" s="36" t="s">
        <v>3349</v>
      </c>
      <c r="O101" s="36" t="s">
        <v>3350</v>
      </c>
      <c r="P101" s="36" t="s">
        <v>3337</v>
      </c>
    </row>
    <row r="102" spans="1:16">
      <c r="A102" s="139">
        <v>101</v>
      </c>
      <c r="B102" s="36" t="s">
        <v>3351</v>
      </c>
      <c r="C102" s="36" t="s">
        <v>3352</v>
      </c>
      <c r="D102" s="36" t="s">
        <v>3353</v>
      </c>
      <c r="E102" s="36" t="s">
        <v>3354</v>
      </c>
      <c r="F102" s="36" t="s">
        <v>3355</v>
      </c>
      <c r="G102" s="36" t="s">
        <v>3356</v>
      </c>
      <c r="H102" s="36" t="s">
        <v>3357</v>
      </c>
      <c r="I102" s="36" t="s">
        <v>3358</v>
      </c>
      <c r="J102" s="36" t="s">
        <v>3359</v>
      </c>
      <c r="K102" s="36" t="s">
        <v>3360</v>
      </c>
      <c r="L102" s="36" t="s">
        <v>3361</v>
      </c>
      <c r="M102" s="36" t="s">
        <v>3362</v>
      </c>
      <c r="N102" s="36" t="s">
        <v>3363</v>
      </c>
      <c r="O102" s="36" t="s">
        <v>3364</v>
      </c>
      <c r="P102" s="36" t="s">
        <v>3351</v>
      </c>
    </row>
    <row r="103" spans="1:16">
      <c r="A103" s="139">
        <v>102</v>
      </c>
      <c r="B103" s="36" t="s">
        <v>3285</v>
      </c>
      <c r="C103" s="36" t="s">
        <v>3286</v>
      </c>
      <c r="D103" s="36" t="s">
        <v>3287</v>
      </c>
      <c r="E103" s="36" t="s">
        <v>3288</v>
      </c>
      <c r="F103" s="36" t="s">
        <v>3289</v>
      </c>
      <c r="G103" s="36" t="s">
        <v>3290</v>
      </c>
      <c r="H103" s="36" t="s">
        <v>3291</v>
      </c>
      <c r="I103" s="36" t="s">
        <v>3292</v>
      </c>
      <c r="J103" s="36" t="s">
        <v>3293</v>
      </c>
      <c r="K103" s="36" t="s">
        <v>3294</v>
      </c>
      <c r="L103" s="36" t="s">
        <v>3295</v>
      </c>
      <c r="M103" s="36" t="s">
        <v>3296</v>
      </c>
      <c r="N103" s="36" t="s">
        <v>3297</v>
      </c>
      <c r="O103" s="36" t="s">
        <v>3298</v>
      </c>
      <c r="P103" s="36" t="s">
        <v>3285</v>
      </c>
    </row>
    <row r="104" spans="1:16">
      <c r="A104" s="139">
        <v>103</v>
      </c>
      <c r="B104" s="36" t="s">
        <v>3365</v>
      </c>
      <c r="C104" s="36" t="s">
        <v>3366</v>
      </c>
      <c r="D104" s="36" t="s">
        <v>3365</v>
      </c>
      <c r="E104" s="36" t="s">
        <v>3367</v>
      </c>
      <c r="F104" s="36" t="s">
        <v>3367</v>
      </c>
      <c r="G104" s="36" t="s">
        <v>3366</v>
      </c>
      <c r="H104" s="36" t="s">
        <v>3366</v>
      </c>
      <c r="I104" s="36" t="s">
        <v>3366</v>
      </c>
      <c r="J104" s="36" t="s">
        <v>3368</v>
      </c>
      <c r="K104" s="36" t="s">
        <v>3367</v>
      </c>
      <c r="L104" s="36" t="s">
        <v>3368</v>
      </c>
      <c r="M104" s="36" t="s">
        <v>3366</v>
      </c>
      <c r="N104" s="36" t="s">
        <v>3369</v>
      </c>
      <c r="O104" s="36" t="s">
        <v>3365</v>
      </c>
      <c r="P104" s="36" t="s">
        <v>3365</v>
      </c>
    </row>
    <row r="105" spans="1:16">
      <c r="A105" s="139">
        <v>104</v>
      </c>
      <c r="B105" s="36" t="s">
        <v>3370</v>
      </c>
      <c r="C105" s="36" t="s">
        <v>3371</v>
      </c>
      <c r="D105" s="36" t="s">
        <v>3370</v>
      </c>
      <c r="E105" s="36" t="s">
        <v>3371</v>
      </c>
      <c r="F105" s="36" t="s">
        <v>3372</v>
      </c>
      <c r="G105" s="36" t="s">
        <v>3372</v>
      </c>
      <c r="H105" s="36" t="s">
        <v>3372</v>
      </c>
      <c r="I105" s="36" t="s">
        <v>3372</v>
      </c>
      <c r="J105" s="36" t="s">
        <v>3372</v>
      </c>
      <c r="K105" s="36" t="s">
        <v>3372</v>
      </c>
      <c r="L105" s="36" t="s">
        <v>3372</v>
      </c>
      <c r="M105" s="36" t="s">
        <v>3372</v>
      </c>
      <c r="N105" s="36" t="s">
        <v>3372</v>
      </c>
      <c r="O105" s="36" t="s">
        <v>3372</v>
      </c>
      <c r="P105" s="36" t="s">
        <v>3370</v>
      </c>
    </row>
    <row r="106" spans="1:16">
      <c r="A106" s="139">
        <v>105</v>
      </c>
      <c r="B106" s="36" t="s">
        <v>3373</v>
      </c>
      <c r="C106" s="36" t="s">
        <v>3374</v>
      </c>
      <c r="D106" s="36" t="s">
        <v>3373</v>
      </c>
      <c r="E106" s="36" t="s">
        <v>3374</v>
      </c>
      <c r="F106" s="36" t="s">
        <v>3375</v>
      </c>
      <c r="G106" s="36" t="s">
        <v>3375</v>
      </c>
      <c r="H106" s="36" t="s">
        <v>3375</v>
      </c>
      <c r="I106" s="36" t="s">
        <v>3375</v>
      </c>
      <c r="J106" s="36" t="s">
        <v>3375</v>
      </c>
      <c r="K106" s="36" t="s">
        <v>3375</v>
      </c>
      <c r="L106" s="36" t="s">
        <v>3375</v>
      </c>
      <c r="M106" s="36" t="s">
        <v>3375</v>
      </c>
      <c r="N106" s="36" t="s">
        <v>3375</v>
      </c>
      <c r="O106" s="36" t="s">
        <v>3375</v>
      </c>
      <c r="P106" s="36" t="s">
        <v>3373</v>
      </c>
    </row>
    <row r="107" spans="1:16">
      <c r="A107" s="139">
        <v>106</v>
      </c>
      <c r="B107" s="36" t="s">
        <v>3376</v>
      </c>
      <c r="C107" s="36" t="s">
        <v>3377</v>
      </c>
      <c r="D107" s="36" t="s">
        <v>3376</v>
      </c>
      <c r="E107" s="36" t="s">
        <v>3378</v>
      </c>
      <c r="F107" s="36" t="s">
        <v>3378</v>
      </c>
      <c r="G107" s="36" t="s">
        <v>3377</v>
      </c>
      <c r="H107" s="36" t="s">
        <v>3377</v>
      </c>
      <c r="I107" s="36" t="s">
        <v>3377</v>
      </c>
      <c r="J107" s="36" t="s">
        <v>3377</v>
      </c>
      <c r="K107" s="36" t="s">
        <v>3378</v>
      </c>
      <c r="L107" s="36" t="s">
        <v>3377</v>
      </c>
      <c r="M107" s="36" t="s">
        <v>3377</v>
      </c>
      <c r="N107" s="36" t="s">
        <v>3377</v>
      </c>
      <c r="O107" s="36" t="s">
        <v>3376</v>
      </c>
      <c r="P107" s="36" t="s">
        <v>3376</v>
      </c>
    </row>
    <row r="108" spans="1:16">
      <c r="A108" s="139">
        <v>107</v>
      </c>
      <c r="B108" s="36" t="s">
        <v>3379</v>
      </c>
      <c r="C108" s="36" t="s">
        <v>3380</v>
      </c>
      <c r="D108" s="36" t="s">
        <v>3379</v>
      </c>
      <c r="E108" s="36" t="s">
        <v>3380</v>
      </c>
      <c r="F108" s="36" t="s">
        <v>3381</v>
      </c>
      <c r="G108" s="36" t="s">
        <v>3381</v>
      </c>
      <c r="H108" s="36" t="s">
        <v>3381</v>
      </c>
      <c r="I108" s="36" t="s">
        <v>3380</v>
      </c>
      <c r="J108" s="36" t="s">
        <v>3380</v>
      </c>
      <c r="K108" s="36" t="s">
        <v>3381</v>
      </c>
      <c r="L108" s="36" t="s">
        <v>3381</v>
      </c>
      <c r="M108" s="36" t="s">
        <v>3381</v>
      </c>
      <c r="N108" s="36" t="s">
        <v>3381</v>
      </c>
      <c r="O108" s="36" t="s">
        <v>3381</v>
      </c>
      <c r="P108" s="36" t="s">
        <v>3379</v>
      </c>
    </row>
    <row r="109" spans="1:16">
      <c r="A109" s="139">
        <v>108</v>
      </c>
      <c r="B109" s="36" t="s">
        <v>3382</v>
      </c>
      <c r="C109" s="36" t="s">
        <v>3383</v>
      </c>
      <c r="D109" s="36" t="s">
        <v>3384</v>
      </c>
      <c r="E109" s="36" t="s">
        <v>3385</v>
      </c>
      <c r="F109" s="36" t="s">
        <v>3386</v>
      </c>
      <c r="G109" s="36" t="s">
        <v>3387</v>
      </c>
      <c r="H109" s="36" t="s">
        <v>3388</v>
      </c>
      <c r="I109" s="36" t="s">
        <v>3389</v>
      </c>
      <c r="J109" s="36" t="s">
        <v>3390</v>
      </c>
      <c r="K109" s="36" t="s">
        <v>3391</v>
      </c>
      <c r="L109" s="36" t="s">
        <v>3392</v>
      </c>
      <c r="M109" s="36" t="s">
        <v>3393</v>
      </c>
      <c r="N109" s="36" t="s">
        <v>3393</v>
      </c>
      <c r="O109" s="36" t="s">
        <v>3394</v>
      </c>
      <c r="P109" s="36" t="s">
        <v>3382</v>
      </c>
    </row>
    <row r="110" spans="1:16">
      <c r="A110" s="139">
        <v>109</v>
      </c>
      <c r="B110" s="36" t="s">
        <v>3395</v>
      </c>
      <c r="C110" s="36" t="s">
        <v>3396</v>
      </c>
      <c r="D110" s="36" t="s">
        <v>3397</v>
      </c>
      <c r="E110" s="36" t="s">
        <v>3398</v>
      </c>
      <c r="F110" s="36" t="s">
        <v>3399</v>
      </c>
      <c r="G110" s="36" t="s">
        <v>3400</v>
      </c>
      <c r="H110" s="36" t="s">
        <v>3401</v>
      </c>
      <c r="I110" s="36" t="s">
        <v>3402</v>
      </c>
      <c r="J110" s="36" t="s">
        <v>3403</v>
      </c>
      <c r="K110" s="36" t="s">
        <v>3404</v>
      </c>
      <c r="L110" s="36" t="s">
        <v>3405</v>
      </c>
      <c r="M110" s="36" t="s">
        <v>3405</v>
      </c>
      <c r="N110" s="36" t="s">
        <v>3405</v>
      </c>
      <c r="O110" s="36" t="s">
        <v>3406</v>
      </c>
      <c r="P110" s="36" t="s">
        <v>3395</v>
      </c>
    </row>
    <row r="111" spans="1:16">
      <c r="A111" s="139">
        <v>110</v>
      </c>
      <c r="B111" s="36" t="s">
        <v>3407</v>
      </c>
      <c r="C111" s="36" t="s">
        <v>3408</v>
      </c>
      <c r="D111" s="36" t="s">
        <v>3409</v>
      </c>
      <c r="E111" s="36" t="s">
        <v>3410</v>
      </c>
      <c r="F111" s="36" t="s">
        <v>3411</v>
      </c>
      <c r="G111" s="36" t="s">
        <v>3412</v>
      </c>
      <c r="H111" s="36" t="s">
        <v>3413</v>
      </c>
      <c r="I111" s="36" t="s">
        <v>3414</v>
      </c>
      <c r="J111" s="36" t="s">
        <v>3415</v>
      </c>
      <c r="K111" s="36" t="s">
        <v>3416</v>
      </c>
      <c r="L111" s="36" t="s">
        <v>3417</v>
      </c>
      <c r="M111" s="36" t="s">
        <v>3417</v>
      </c>
      <c r="N111" s="36" t="s">
        <v>3418</v>
      </c>
      <c r="O111" s="36" t="s">
        <v>3419</v>
      </c>
      <c r="P111" s="36" t="s">
        <v>3407</v>
      </c>
    </row>
    <row r="112" spans="1:16">
      <c r="A112" s="139">
        <v>111</v>
      </c>
      <c r="B112" s="36" t="s">
        <v>3420</v>
      </c>
      <c r="C112" s="36" t="s">
        <v>120</v>
      </c>
      <c r="D112" s="36" t="s">
        <v>120</v>
      </c>
      <c r="E112" s="36" t="s">
        <v>3421</v>
      </c>
      <c r="F112" s="36" t="s">
        <v>3422</v>
      </c>
      <c r="G112" s="36" t="s">
        <v>3423</v>
      </c>
      <c r="H112" s="36" t="s">
        <v>3422</v>
      </c>
      <c r="I112" s="36" t="s">
        <v>3424</v>
      </c>
      <c r="J112" s="36" t="s">
        <v>3425</v>
      </c>
      <c r="K112" s="36" t="s">
        <v>3426</v>
      </c>
      <c r="L112" s="36" t="s">
        <v>3425</v>
      </c>
      <c r="M112" s="36" t="s">
        <v>120</v>
      </c>
      <c r="N112" s="36" t="s">
        <v>3427</v>
      </c>
      <c r="O112" s="36" t="s">
        <v>3428</v>
      </c>
      <c r="P112" s="36" t="s">
        <v>3420</v>
      </c>
    </row>
    <row r="113" spans="1:16">
      <c r="A113" s="139">
        <v>112</v>
      </c>
      <c r="B113" s="36" t="s">
        <v>3429</v>
      </c>
      <c r="C113" s="36" t="s">
        <v>3430</v>
      </c>
      <c r="D113" s="36" t="s">
        <v>3431</v>
      </c>
      <c r="E113" s="36" t="s">
        <v>3432</v>
      </c>
      <c r="F113" s="36" t="s">
        <v>3433</v>
      </c>
      <c r="G113" s="36" t="s">
        <v>3434</v>
      </c>
      <c r="H113" s="36" t="s">
        <v>3435</v>
      </c>
      <c r="I113" s="36" t="s">
        <v>3433</v>
      </c>
      <c r="J113" s="36" t="s">
        <v>3436</v>
      </c>
      <c r="K113" s="36" t="s">
        <v>3437</v>
      </c>
      <c r="L113" s="36" t="s">
        <v>3438</v>
      </c>
      <c r="M113" s="36" t="s">
        <v>3439</v>
      </c>
      <c r="N113" s="36" t="s">
        <v>3440</v>
      </c>
      <c r="O113" s="36" t="s">
        <v>3441</v>
      </c>
      <c r="P113" s="36" t="s">
        <v>3429</v>
      </c>
    </row>
    <row r="114" spans="1:16">
      <c r="A114" s="139">
        <v>113</v>
      </c>
      <c r="B114" s="36" t="s">
        <v>3442</v>
      </c>
      <c r="C114" s="36" t="s">
        <v>3443</v>
      </c>
      <c r="D114" s="36" t="s">
        <v>3444</v>
      </c>
      <c r="E114" s="36" t="s">
        <v>3445</v>
      </c>
      <c r="F114" s="36" t="s">
        <v>3446</v>
      </c>
      <c r="G114" s="36" t="s">
        <v>3447</v>
      </c>
      <c r="H114" s="36" t="s">
        <v>3448</v>
      </c>
      <c r="I114" s="36" t="s">
        <v>3446</v>
      </c>
      <c r="J114" s="36" t="s">
        <v>3449</v>
      </c>
      <c r="K114" s="36" t="s">
        <v>3450</v>
      </c>
      <c r="L114" s="36" t="s">
        <v>3451</v>
      </c>
      <c r="M114" s="36" t="s">
        <v>3452</v>
      </c>
      <c r="N114" s="36" t="s">
        <v>3451</v>
      </c>
      <c r="O114" s="36" t="s">
        <v>3453</v>
      </c>
      <c r="P114" s="36" t="s">
        <v>3442</v>
      </c>
    </row>
    <row r="115" spans="1:16">
      <c r="A115" s="139">
        <v>114</v>
      </c>
      <c r="B115" s="36" t="s">
        <v>3454</v>
      </c>
      <c r="C115" s="36" t="s">
        <v>3455</v>
      </c>
      <c r="D115" s="36" t="s">
        <v>3454</v>
      </c>
      <c r="E115" s="36" t="s">
        <v>3456</v>
      </c>
      <c r="F115" s="36" t="s">
        <v>3456</v>
      </c>
      <c r="G115" s="36" t="s">
        <v>3455</v>
      </c>
      <c r="H115" s="36" t="s">
        <v>3457</v>
      </c>
      <c r="I115" s="36" t="s">
        <v>3457</v>
      </c>
      <c r="J115" s="36" t="s">
        <v>3457</v>
      </c>
      <c r="K115" s="36" t="s">
        <v>3456</v>
      </c>
      <c r="L115" s="36" t="s">
        <v>3457</v>
      </c>
      <c r="M115" s="36" t="s">
        <v>3457</v>
      </c>
      <c r="N115" s="36" t="s">
        <v>3457</v>
      </c>
      <c r="O115" s="36" t="s">
        <v>3454</v>
      </c>
      <c r="P115" s="36" t="s">
        <v>3454</v>
      </c>
    </row>
    <row r="116" spans="1:16">
      <c r="A116" s="139">
        <v>115</v>
      </c>
      <c r="B116" s="36" t="s">
        <v>3458</v>
      </c>
      <c r="C116" s="36" t="s">
        <v>3459</v>
      </c>
      <c r="D116" s="36" t="s">
        <v>3460</v>
      </c>
      <c r="E116" s="36" t="s">
        <v>3461</v>
      </c>
      <c r="F116" s="36" t="s">
        <v>3462</v>
      </c>
      <c r="G116" s="36" t="s">
        <v>3463</v>
      </c>
      <c r="H116" s="36" t="s">
        <v>3464</v>
      </c>
      <c r="I116" s="36" t="s">
        <v>3465</v>
      </c>
      <c r="J116" s="36" t="s">
        <v>3466</v>
      </c>
      <c r="K116" s="36" t="s">
        <v>3467</v>
      </c>
      <c r="L116" s="36" t="s">
        <v>3468</v>
      </c>
      <c r="M116" s="36" t="s">
        <v>3469</v>
      </c>
      <c r="N116" s="36" t="s">
        <v>3470</v>
      </c>
      <c r="O116" s="36" t="s">
        <v>3471</v>
      </c>
      <c r="P116" s="36" t="s">
        <v>3458</v>
      </c>
    </row>
    <row r="117" spans="1:16">
      <c r="A117" s="139">
        <v>116</v>
      </c>
      <c r="B117" s="36" t="s">
        <v>3472</v>
      </c>
      <c r="C117" s="36" t="s">
        <v>3473</v>
      </c>
      <c r="D117" s="36" t="s">
        <v>3474</v>
      </c>
      <c r="E117" s="36" t="s">
        <v>3475</v>
      </c>
      <c r="F117" s="36" t="s">
        <v>3476</v>
      </c>
      <c r="G117" s="36" t="s">
        <v>3477</v>
      </c>
      <c r="H117" s="36" t="s">
        <v>3478</v>
      </c>
      <c r="I117" s="36" t="s">
        <v>3479</v>
      </c>
      <c r="J117" s="36" t="s">
        <v>3480</v>
      </c>
      <c r="K117" s="36" t="s">
        <v>3481</v>
      </c>
      <c r="L117" s="36" t="s">
        <v>3482</v>
      </c>
      <c r="M117" s="36" t="s">
        <v>3483</v>
      </c>
      <c r="N117" s="36" t="s">
        <v>3484</v>
      </c>
      <c r="O117" s="36" t="s">
        <v>3485</v>
      </c>
      <c r="P117" s="36" t="s">
        <v>3472</v>
      </c>
    </row>
    <row r="118" spans="1:16">
      <c r="A118" s="139">
        <v>117</v>
      </c>
      <c r="B118" s="36" t="s">
        <v>3486</v>
      </c>
      <c r="C118" s="36" t="s">
        <v>3487</v>
      </c>
      <c r="D118" s="36" t="s">
        <v>3488</v>
      </c>
      <c r="E118" s="36" t="s">
        <v>3489</v>
      </c>
      <c r="F118" s="36" t="s">
        <v>3490</v>
      </c>
      <c r="G118" s="36" t="s">
        <v>3491</v>
      </c>
      <c r="H118" s="36" t="s">
        <v>3492</v>
      </c>
      <c r="I118" s="36" t="s">
        <v>3493</v>
      </c>
      <c r="J118" s="36" t="s">
        <v>3494</v>
      </c>
      <c r="K118" s="36" t="s">
        <v>3495</v>
      </c>
      <c r="L118" s="36" t="s">
        <v>3496</v>
      </c>
      <c r="M118" s="36" t="s">
        <v>3497</v>
      </c>
      <c r="N118" s="36" t="s">
        <v>3498</v>
      </c>
      <c r="O118" s="36" t="s">
        <v>3499</v>
      </c>
      <c r="P118" s="36" t="s">
        <v>3486</v>
      </c>
    </row>
    <row r="119" spans="1:16">
      <c r="A119" s="139">
        <v>118</v>
      </c>
      <c r="B119" s="36" t="s">
        <v>3500</v>
      </c>
      <c r="C119" s="36" t="s">
        <v>3501</v>
      </c>
      <c r="D119" s="36" t="s">
        <v>3502</v>
      </c>
      <c r="E119" s="36" t="s">
        <v>3503</v>
      </c>
      <c r="F119" s="36" t="s">
        <v>3504</v>
      </c>
      <c r="G119" s="36" t="s">
        <v>3505</v>
      </c>
      <c r="H119" s="36" t="s">
        <v>3506</v>
      </c>
      <c r="I119" s="36" t="s">
        <v>3507</v>
      </c>
      <c r="J119" s="36" t="s">
        <v>3508</v>
      </c>
      <c r="K119" s="36" t="s">
        <v>3509</v>
      </c>
      <c r="L119" s="36" t="s">
        <v>3510</v>
      </c>
      <c r="M119" s="36" t="s">
        <v>3511</v>
      </c>
      <c r="N119" s="36" t="s">
        <v>3512</v>
      </c>
      <c r="O119" s="36" t="s">
        <v>3513</v>
      </c>
      <c r="P119" s="36" t="s">
        <v>3500</v>
      </c>
    </row>
    <row r="120" spans="1:16">
      <c r="A120" s="139">
        <v>119</v>
      </c>
      <c r="B120" s="36" t="s">
        <v>3514</v>
      </c>
      <c r="C120" s="36" t="s">
        <v>3515</v>
      </c>
      <c r="D120" s="36" t="s">
        <v>3516</v>
      </c>
      <c r="E120" s="36" t="s">
        <v>3517</v>
      </c>
      <c r="F120" s="36" t="s">
        <v>3518</v>
      </c>
      <c r="G120" s="36" t="s">
        <v>3519</v>
      </c>
      <c r="H120" s="36" t="s">
        <v>3520</v>
      </c>
      <c r="I120" s="36" t="s">
        <v>3521</v>
      </c>
      <c r="J120" s="36" t="s">
        <v>3522</v>
      </c>
      <c r="K120" s="36" t="s">
        <v>3523</v>
      </c>
      <c r="L120" s="36" t="s">
        <v>3524</v>
      </c>
      <c r="M120" s="36" t="s">
        <v>3525</v>
      </c>
      <c r="N120" s="36" t="s">
        <v>3526</v>
      </c>
      <c r="O120" s="36" t="s">
        <v>3527</v>
      </c>
      <c r="P120" s="36" t="s">
        <v>3514</v>
      </c>
    </row>
    <row r="121" spans="1:16">
      <c r="A121" s="139">
        <v>120</v>
      </c>
      <c r="B121" s="36" t="s">
        <v>3528</v>
      </c>
      <c r="C121" s="36" t="s">
        <v>3529</v>
      </c>
      <c r="D121" s="36" t="s">
        <v>3528</v>
      </c>
      <c r="E121" s="36" t="s">
        <v>3530</v>
      </c>
      <c r="F121" s="36" t="s">
        <v>3530</v>
      </c>
      <c r="G121" s="36" t="s">
        <v>3529</v>
      </c>
      <c r="H121" s="36" t="s">
        <v>3529</v>
      </c>
      <c r="I121" s="36" t="s">
        <v>3529</v>
      </c>
      <c r="J121" s="36" t="s">
        <v>3529</v>
      </c>
      <c r="K121" s="36" t="s">
        <v>3530</v>
      </c>
      <c r="L121" s="36" t="s">
        <v>3529</v>
      </c>
      <c r="M121" s="36" t="s">
        <v>3529</v>
      </c>
      <c r="N121" s="36" t="s">
        <v>3529</v>
      </c>
      <c r="O121" s="36" t="s">
        <v>3528</v>
      </c>
      <c r="P121" s="36" t="s">
        <v>3528</v>
      </c>
    </row>
    <row r="122" spans="1:16">
      <c r="A122" s="139">
        <v>121</v>
      </c>
      <c r="B122" s="36" t="s">
        <v>3531</v>
      </c>
      <c r="C122" s="36" t="s">
        <v>3532</v>
      </c>
      <c r="D122" s="36" t="s">
        <v>3531</v>
      </c>
      <c r="E122" s="36" t="s">
        <v>3532</v>
      </c>
      <c r="F122" s="36" t="s">
        <v>3532</v>
      </c>
      <c r="G122" s="36" t="s">
        <v>3532</v>
      </c>
      <c r="H122" s="36" t="s">
        <v>3532</v>
      </c>
      <c r="I122" s="36" t="s">
        <v>3532</v>
      </c>
      <c r="J122" s="36" t="s">
        <v>3532</v>
      </c>
      <c r="K122" s="36" t="s">
        <v>3532</v>
      </c>
      <c r="L122" s="36" t="s">
        <v>3532</v>
      </c>
      <c r="M122" s="36" t="s">
        <v>3532</v>
      </c>
      <c r="N122" s="36" t="s">
        <v>3532</v>
      </c>
      <c r="O122" s="36" t="s">
        <v>3531</v>
      </c>
      <c r="P122" s="36" t="s">
        <v>3531</v>
      </c>
    </row>
    <row r="123" spans="1:16">
      <c r="A123" s="139">
        <v>122</v>
      </c>
      <c r="B123" s="36" t="s">
        <v>3533</v>
      </c>
      <c r="C123" s="36" t="s">
        <v>3534</v>
      </c>
      <c r="D123" s="36" t="s">
        <v>3535</v>
      </c>
      <c r="E123" s="36" t="s">
        <v>3536</v>
      </c>
      <c r="F123" s="36" t="s">
        <v>3536</v>
      </c>
      <c r="G123" s="36" t="s">
        <v>3534</v>
      </c>
      <c r="H123" s="36" t="s">
        <v>3537</v>
      </c>
      <c r="I123" s="36" t="s">
        <v>3537</v>
      </c>
      <c r="J123" s="36" t="s">
        <v>3538</v>
      </c>
      <c r="K123" s="36" t="s">
        <v>3536</v>
      </c>
      <c r="L123" s="36" t="s">
        <v>3537</v>
      </c>
      <c r="M123" s="36" t="s">
        <v>3537</v>
      </c>
      <c r="N123" s="36" t="s">
        <v>3539</v>
      </c>
      <c r="O123" s="36" t="s">
        <v>3533</v>
      </c>
      <c r="P123" s="36" t="s">
        <v>3533</v>
      </c>
    </row>
    <row r="124" spans="1:16">
      <c r="A124" s="139">
        <v>123</v>
      </c>
      <c r="B124" s="36" t="s">
        <v>3540</v>
      </c>
      <c r="C124" s="36" t="s">
        <v>3541</v>
      </c>
      <c r="D124" s="36" t="s">
        <v>3542</v>
      </c>
      <c r="E124" s="36" t="s">
        <v>3543</v>
      </c>
      <c r="F124" s="36" t="s">
        <v>3544</v>
      </c>
      <c r="G124" s="36" t="s">
        <v>3545</v>
      </c>
      <c r="H124" s="36" t="s">
        <v>3546</v>
      </c>
      <c r="I124" s="36" t="s">
        <v>3547</v>
      </c>
      <c r="J124" s="36" t="s">
        <v>3548</v>
      </c>
      <c r="K124" s="36" t="s">
        <v>3549</v>
      </c>
      <c r="L124" s="36" t="s">
        <v>3550</v>
      </c>
      <c r="M124" s="36" t="s">
        <v>3551</v>
      </c>
      <c r="N124" s="36" t="s">
        <v>3552</v>
      </c>
      <c r="O124" s="36" t="s">
        <v>3553</v>
      </c>
      <c r="P124" s="36" t="s">
        <v>3540</v>
      </c>
    </row>
    <row r="125" spans="1:16">
      <c r="A125" s="139">
        <v>124</v>
      </c>
      <c r="B125" s="36" t="s">
        <v>3554</v>
      </c>
      <c r="C125" s="36" t="s">
        <v>3555</v>
      </c>
      <c r="D125" s="36" t="s">
        <v>3556</v>
      </c>
      <c r="E125" s="36" t="s">
        <v>3557</v>
      </c>
      <c r="F125" s="36" t="s">
        <v>3558</v>
      </c>
      <c r="G125" s="36" t="s">
        <v>3559</v>
      </c>
      <c r="H125" s="36" t="s">
        <v>3560</v>
      </c>
      <c r="I125" s="36" t="s">
        <v>3561</v>
      </c>
      <c r="J125" s="36" t="s">
        <v>3562</v>
      </c>
      <c r="K125" s="36" t="s">
        <v>3563</v>
      </c>
      <c r="L125" s="36" t="s">
        <v>3564</v>
      </c>
      <c r="M125" s="36" t="s">
        <v>3565</v>
      </c>
      <c r="N125" s="36" t="s">
        <v>3566</v>
      </c>
      <c r="O125" s="36" t="s">
        <v>3567</v>
      </c>
      <c r="P125" s="36" t="s">
        <v>3554</v>
      </c>
    </row>
    <row r="126" spans="1:16">
      <c r="A126" s="139">
        <v>125</v>
      </c>
      <c r="B126" s="36" t="s">
        <v>3568</v>
      </c>
      <c r="C126" s="36" t="s">
        <v>3569</v>
      </c>
      <c r="D126" s="36" t="s">
        <v>3568</v>
      </c>
      <c r="E126" s="36" t="s">
        <v>3570</v>
      </c>
      <c r="F126" s="36" t="s">
        <v>3571</v>
      </c>
      <c r="G126" s="36" t="s">
        <v>3569</v>
      </c>
      <c r="H126" s="36" t="s">
        <v>3572</v>
      </c>
      <c r="I126" s="36" t="s">
        <v>3573</v>
      </c>
      <c r="J126" s="36" t="s">
        <v>3572</v>
      </c>
      <c r="K126" s="36" t="s">
        <v>3571</v>
      </c>
      <c r="L126" s="36" t="s">
        <v>3572</v>
      </c>
      <c r="M126" s="36" t="s">
        <v>3572</v>
      </c>
      <c r="N126" s="36" t="s">
        <v>3572</v>
      </c>
      <c r="O126" s="36" t="s">
        <v>3568</v>
      </c>
      <c r="P126" s="36" t="s">
        <v>3568</v>
      </c>
    </row>
    <row r="127" spans="1:16">
      <c r="A127" s="139">
        <v>126</v>
      </c>
      <c r="B127" s="36" t="s">
        <v>3574</v>
      </c>
      <c r="C127" s="36" t="s">
        <v>3575</v>
      </c>
      <c r="D127" s="36" t="s">
        <v>3576</v>
      </c>
      <c r="E127" s="36" t="s">
        <v>3577</v>
      </c>
      <c r="F127" s="36" t="s">
        <v>3578</v>
      </c>
      <c r="G127" s="36" t="s">
        <v>3575</v>
      </c>
      <c r="H127" s="36" t="s">
        <v>3579</v>
      </c>
      <c r="I127" s="36" t="s">
        <v>3580</v>
      </c>
      <c r="J127" s="36" t="s">
        <v>3581</v>
      </c>
      <c r="K127" s="36" t="s">
        <v>3578</v>
      </c>
      <c r="L127" s="36" t="s">
        <v>3579</v>
      </c>
      <c r="M127" s="36" t="s">
        <v>3579</v>
      </c>
      <c r="N127" s="36" t="s">
        <v>3582</v>
      </c>
      <c r="O127" s="36" t="s">
        <v>3574</v>
      </c>
      <c r="P127" s="36" t="s">
        <v>3574</v>
      </c>
    </row>
    <row r="128" spans="1:16">
      <c r="A128" s="139">
        <v>127</v>
      </c>
      <c r="B128" s="36" t="s">
        <v>3583</v>
      </c>
      <c r="C128" s="36" t="s">
        <v>3584</v>
      </c>
      <c r="D128" s="36" t="s">
        <v>3585</v>
      </c>
      <c r="E128" s="36" t="s">
        <v>3586</v>
      </c>
      <c r="F128" s="36" t="s">
        <v>3587</v>
      </c>
      <c r="G128" s="36" t="s">
        <v>3588</v>
      </c>
      <c r="H128" s="36" t="s">
        <v>3589</v>
      </c>
      <c r="I128" s="36" t="s">
        <v>3590</v>
      </c>
      <c r="J128" s="36" t="s">
        <v>3591</v>
      </c>
      <c r="K128" s="36" t="s">
        <v>3592</v>
      </c>
      <c r="L128" s="36" t="s">
        <v>3593</v>
      </c>
      <c r="M128" s="36" t="s">
        <v>3594</v>
      </c>
      <c r="N128" s="36" t="s">
        <v>3595</v>
      </c>
      <c r="O128" s="36" t="s">
        <v>3596</v>
      </c>
      <c r="P128" s="36" t="s">
        <v>3583</v>
      </c>
    </row>
    <row r="129" spans="1:16">
      <c r="A129" s="139">
        <v>128</v>
      </c>
      <c r="B129" s="36" t="s">
        <v>3597</v>
      </c>
      <c r="C129" s="36" t="s">
        <v>1555</v>
      </c>
      <c r="D129" s="36" t="s">
        <v>3597</v>
      </c>
      <c r="E129" s="36" t="s">
        <v>1555</v>
      </c>
      <c r="F129" s="36" t="s">
        <v>1555</v>
      </c>
      <c r="G129" s="36" t="s">
        <v>1555</v>
      </c>
      <c r="H129" s="36" t="s">
        <v>1555</v>
      </c>
      <c r="I129" s="36" t="s">
        <v>1555</v>
      </c>
      <c r="J129" s="36" t="s">
        <v>1555</v>
      </c>
      <c r="K129" s="36" t="s">
        <v>1555</v>
      </c>
      <c r="L129" s="36" t="s">
        <v>1555</v>
      </c>
      <c r="M129" s="36" t="s">
        <v>1555</v>
      </c>
      <c r="N129" s="36" t="s">
        <v>1555</v>
      </c>
      <c r="O129" s="36" t="s">
        <v>1555</v>
      </c>
      <c r="P129" s="36" t="s">
        <v>3597</v>
      </c>
    </row>
    <row r="130" spans="1:16">
      <c r="A130" s="139">
        <v>129</v>
      </c>
      <c r="B130" s="36" t="s">
        <v>3598</v>
      </c>
      <c r="C130" s="36" t="s">
        <v>3599</v>
      </c>
      <c r="D130" s="36" t="s">
        <v>3600</v>
      </c>
      <c r="E130" s="36" t="s">
        <v>3601</v>
      </c>
      <c r="F130" s="36" t="s">
        <v>3602</v>
      </c>
      <c r="G130" s="36" t="s">
        <v>3603</v>
      </c>
      <c r="H130" s="36" t="s">
        <v>3604</v>
      </c>
      <c r="I130" s="36" t="s">
        <v>3605</v>
      </c>
      <c r="J130" s="36" t="s">
        <v>3606</v>
      </c>
      <c r="K130" s="36" t="s">
        <v>3607</v>
      </c>
      <c r="L130" s="36" t="s">
        <v>3608</v>
      </c>
      <c r="M130" s="36" t="s">
        <v>3609</v>
      </c>
      <c r="N130" s="36" t="s">
        <v>3610</v>
      </c>
      <c r="O130" s="36" t="s">
        <v>3611</v>
      </c>
      <c r="P130" s="36" t="s">
        <v>3598</v>
      </c>
    </row>
    <row r="131" spans="1:16">
      <c r="A131" s="139">
        <v>130</v>
      </c>
      <c r="B131" s="36" t="s">
        <v>3612</v>
      </c>
      <c r="C131" s="36" t="s">
        <v>3613</v>
      </c>
      <c r="D131" s="36" t="s">
        <v>3614</v>
      </c>
      <c r="E131" s="36" t="s">
        <v>3615</v>
      </c>
      <c r="F131" s="36" t="s">
        <v>3616</v>
      </c>
      <c r="G131" s="36" t="s">
        <v>3617</v>
      </c>
      <c r="H131" s="36" t="s">
        <v>3618</v>
      </c>
      <c r="I131" s="36" t="s">
        <v>3619</v>
      </c>
      <c r="J131" s="36" t="s">
        <v>3620</v>
      </c>
      <c r="K131" s="36" t="s">
        <v>3621</v>
      </c>
      <c r="L131" s="36" t="s">
        <v>3622</v>
      </c>
      <c r="M131" s="36" t="s">
        <v>3623</v>
      </c>
      <c r="N131" s="36" t="s">
        <v>3624</v>
      </c>
      <c r="O131" s="36" t="s">
        <v>3625</v>
      </c>
      <c r="P131" s="36" t="s">
        <v>3612</v>
      </c>
    </row>
    <row r="132" spans="1:16" ht="13.95" customHeight="1">
      <c r="A132" s="139">
        <v>131</v>
      </c>
      <c r="B132" s="36" t="s">
        <v>3626</v>
      </c>
      <c r="C132" s="36" t="s">
        <v>3627</v>
      </c>
      <c r="D132" s="36" t="s">
        <v>3626</v>
      </c>
      <c r="E132" s="36" t="s">
        <v>3628</v>
      </c>
      <c r="F132" s="36" t="s">
        <v>3628</v>
      </c>
      <c r="G132" s="36" t="s">
        <v>3627</v>
      </c>
      <c r="H132" s="36" t="s">
        <v>3629</v>
      </c>
      <c r="I132" s="36" t="s">
        <v>3629</v>
      </c>
      <c r="J132" s="36" t="s">
        <v>3629</v>
      </c>
      <c r="K132" s="36" t="s">
        <v>3628</v>
      </c>
      <c r="L132" s="36" t="s">
        <v>3629</v>
      </c>
      <c r="M132" s="36" t="s">
        <v>3629</v>
      </c>
      <c r="N132" s="36" t="s">
        <v>3629</v>
      </c>
      <c r="O132" s="36" t="s">
        <v>3626</v>
      </c>
      <c r="P132" s="36" t="s">
        <v>3626</v>
      </c>
    </row>
    <row r="133" spans="1:16">
      <c r="A133" s="139">
        <v>132</v>
      </c>
      <c r="B133" s="36" t="s">
        <v>3630</v>
      </c>
      <c r="C133" s="36" t="s">
        <v>3631</v>
      </c>
      <c r="D133" s="36" t="s">
        <v>3632</v>
      </c>
      <c r="E133" s="36" t="s">
        <v>3633</v>
      </c>
      <c r="F133" s="36" t="s">
        <v>3634</v>
      </c>
      <c r="G133" s="36" t="s">
        <v>3635</v>
      </c>
      <c r="H133" s="36" t="s">
        <v>3636</v>
      </c>
      <c r="I133" s="36" t="s">
        <v>3637</v>
      </c>
      <c r="J133" s="36" t="s">
        <v>3638</v>
      </c>
      <c r="K133" s="36" t="s">
        <v>3639</v>
      </c>
      <c r="L133" s="36" t="s">
        <v>3640</v>
      </c>
      <c r="M133" s="36" t="s">
        <v>3641</v>
      </c>
      <c r="N133" s="36" t="s">
        <v>3642</v>
      </c>
      <c r="O133" s="36" t="s">
        <v>3643</v>
      </c>
      <c r="P133" s="36" t="s">
        <v>3630</v>
      </c>
    </row>
    <row r="134" spans="1:16">
      <c r="A134" s="139">
        <v>133</v>
      </c>
      <c r="B134" s="36" t="s">
        <v>3644</v>
      </c>
      <c r="C134" s="36" t="s">
        <v>3645</v>
      </c>
      <c r="D134" s="36" t="s">
        <v>3644</v>
      </c>
      <c r="E134" s="36" t="s">
        <v>3646</v>
      </c>
      <c r="F134" s="36" t="s">
        <v>3647</v>
      </c>
      <c r="G134" s="36" t="s">
        <v>3645</v>
      </c>
      <c r="H134" s="36" t="s">
        <v>3648</v>
      </c>
      <c r="I134" s="36" t="s">
        <v>2183</v>
      </c>
      <c r="J134" s="36" t="s">
        <v>3648</v>
      </c>
      <c r="K134" s="36" t="s">
        <v>3647</v>
      </c>
      <c r="L134" s="36" t="s">
        <v>3648</v>
      </c>
      <c r="M134" s="36" t="s">
        <v>3648</v>
      </c>
      <c r="N134" s="36" t="s">
        <v>3648</v>
      </c>
      <c r="O134" s="36" t="s">
        <v>3644</v>
      </c>
      <c r="P134" s="36" t="s">
        <v>3644</v>
      </c>
    </row>
    <row r="135" spans="1:16">
      <c r="A135" s="139">
        <v>134</v>
      </c>
      <c r="B135" s="36" t="s">
        <v>3649</v>
      </c>
      <c r="C135" s="36" t="s">
        <v>3650</v>
      </c>
      <c r="D135" s="36" t="s">
        <v>3651</v>
      </c>
      <c r="E135" s="36" t="s">
        <v>3652</v>
      </c>
      <c r="F135" s="36" t="s">
        <v>3653</v>
      </c>
      <c r="G135" s="36" t="s">
        <v>3654</v>
      </c>
      <c r="H135" s="36" t="s">
        <v>3655</v>
      </c>
      <c r="I135" s="36" t="s">
        <v>3656</v>
      </c>
      <c r="J135" s="36" t="s">
        <v>3657</v>
      </c>
      <c r="K135" s="36" t="s">
        <v>3658</v>
      </c>
      <c r="L135" s="36" t="s">
        <v>3659</v>
      </c>
      <c r="M135" s="36" t="s">
        <v>3660</v>
      </c>
      <c r="N135" s="36" t="s">
        <v>3661</v>
      </c>
      <c r="O135" s="36" t="s">
        <v>3662</v>
      </c>
      <c r="P135" s="36" t="s">
        <v>3649</v>
      </c>
    </row>
    <row r="136" spans="1:16">
      <c r="A136" s="139">
        <v>135</v>
      </c>
      <c r="B136" s="36" t="s">
        <v>3663</v>
      </c>
      <c r="C136" s="36" t="s">
        <v>3663</v>
      </c>
      <c r="D136" s="36" t="s">
        <v>3663</v>
      </c>
      <c r="E136" s="36" t="s">
        <v>3663</v>
      </c>
      <c r="F136" s="36" t="s">
        <v>3663</v>
      </c>
      <c r="G136" s="36" t="s">
        <v>3663</v>
      </c>
      <c r="H136" s="36" t="s">
        <v>3663</v>
      </c>
      <c r="I136" s="36" t="s">
        <v>3663</v>
      </c>
      <c r="J136" s="36" t="s">
        <v>3663</v>
      </c>
      <c r="K136" s="36" t="s">
        <v>3663</v>
      </c>
      <c r="L136" s="36" t="s">
        <v>3663</v>
      </c>
      <c r="M136" s="36" t="s">
        <v>3663</v>
      </c>
      <c r="N136" s="36" t="s">
        <v>3663</v>
      </c>
      <c r="O136" s="36" t="s">
        <v>3663</v>
      </c>
      <c r="P136" s="36" t="s">
        <v>3663</v>
      </c>
    </row>
    <row r="137" spans="1:16">
      <c r="A137" s="139">
        <v>136</v>
      </c>
      <c r="B137" s="36" t="s">
        <v>3664</v>
      </c>
      <c r="C137" s="36" t="s">
        <v>3665</v>
      </c>
      <c r="D137" s="36" t="s">
        <v>3666</v>
      </c>
      <c r="E137" s="36" t="s">
        <v>3667</v>
      </c>
      <c r="F137" s="36" t="s">
        <v>3668</v>
      </c>
      <c r="G137" s="36" t="s">
        <v>3669</v>
      </c>
      <c r="H137" s="36" t="s">
        <v>3670</v>
      </c>
      <c r="I137" s="36" t="s">
        <v>3668</v>
      </c>
      <c r="J137" s="36" t="s">
        <v>3671</v>
      </c>
      <c r="K137" s="36" t="s">
        <v>3672</v>
      </c>
      <c r="L137" s="36" t="s">
        <v>3673</v>
      </c>
      <c r="M137" s="36" t="s">
        <v>3666</v>
      </c>
      <c r="N137" s="36" t="s">
        <v>3674</v>
      </c>
      <c r="O137" s="36" t="s">
        <v>3675</v>
      </c>
      <c r="P137" s="36" t="s">
        <v>3664</v>
      </c>
    </row>
    <row r="138" spans="1:16" ht="13.95" customHeight="1">
      <c r="A138" s="139">
        <v>137</v>
      </c>
      <c r="B138" s="36" t="s">
        <v>3676</v>
      </c>
      <c r="C138" s="36" t="s">
        <v>3677</v>
      </c>
      <c r="D138" s="36" t="s">
        <v>3678</v>
      </c>
      <c r="E138" s="36" t="s">
        <v>3679</v>
      </c>
      <c r="F138" s="36" t="s">
        <v>3680</v>
      </c>
      <c r="G138" s="36" t="s">
        <v>3681</v>
      </c>
      <c r="H138" s="36" t="s">
        <v>3682</v>
      </c>
      <c r="I138" s="36" t="s">
        <v>3680</v>
      </c>
      <c r="J138" s="36" t="s">
        <v>3683</v>
      </c>
      <c r="K138" s="36" t="s">
        <v>3684</v>
      </c>
      <c r="L138" s="36" t="s">
        <v>3685</v>
      </c>
      <c r="M138" s="36" t="s">
        <v>3686</v>
      </c>
      <c r="N138" s="36" t="s">
        <v>3687</v>
      </c>
      <c r="O138" s="36" t="s">
        <v>3688</v>
      </c>
      <c r="P138" s="36" t="s">
        <v>3676</v>
      </c>
    </row>
    <row r="139" spans="1:16" ht="13.95" customHeight="1">
      <c r="A139" s="139">
        <v>138</v>
      </c>
      <c r="B139" s="36" t="s">
        <v>3689</v>
      </c>
      <c r="C139" s="36" t="s">
        <v>3690</v>
      </c>
      <c r="D139" s="36" t="s">
        <v>3691</v>
      </c>
      <c r="E139" s="36" t="s">
        <v>3692</v>
      </c>
      <c r="F139" s="36" t="s">
        <v>3693</v>
      </c>
      <c r="G139" s="36" t="s">
        <v>3694</v>
      </c>
      <c r="H139" s="36" t="s">
        <v>3695</v>
      </c>
      <c r="I139" s="36" t="s">
        <v>3696</v>
      </c>
      <c r="J139" s="36" t="s">
        <v>3697</v>
      </c>
      <c r="K139" s="36" t="s">
        <v>3698</v>
      </c>
      <c r="L139" s="36" t="s">
        <v>3699</v>
      </c>
      <c r="M139" s="36" t="s">
        <v>3700</v>
      </c>
      <c r="N139" s="36" t="s">
        <v>3701</v>
      </c>
      <c r="O139" s="36" t="s">
        <v>3702</v>
      </c>
      <c r="P139" s="36" t="s">
        <v>3689</v>
      </c>
    </row>
    <row r="140" spans="1:16">
      <c r="A140" s="139">
        <v>139</v>
      </c>
      <c r="B140" s="36" t="s">
        <v>3703</v>
      </c>
      <c r="C140" s="36" t="s">
        <v>3704</v>
      </c>
      <c r="D140" s="36" t="s">
        <v>3705</v>
      </c>
      <c r="E140" s="36" t="s">
        <v>3706</v>
      </c>
      <c r="F140" s="36" t="s">
        <v>3707</v>
      </c>
      <c r="G140" s="36" t="s">
        <v>3708</v>
      </c>
      <c r="H140" s="36" t="s">
        <v>3709</v>
      </c>
      <c r="I140" s="36" t="s">
        <v>3710</v>
      </c>
      <c r="J140" s="36" t="s">
        <v>3711</v>
      </c>
      <c r="K140" s="36" t="s">
        <v>3712</v>
      </c>
      <c r="L140" s="36" t="s">
        <v>3713</v>
      </c>
      <c r="M140" s="36" t="s">
        <v>3714</v>
      </c>
      <c r="N140" s="36" t="s">
        <v>3715</v>
      </c>
      <c r="O140" s="36" t="s">
        <v>3716</v>
      </c>
      <c r="P140" s="36" t="s">
        <v>3703</v>
      </c>
    </row>
    <row r="141" spans="1:16">
      <c r="A141" s="139">
        <v>140</v>
      </c>
      <c r="B141" s="36" t="s">
        <v>3717</v>
      </c>
      <c r="C141" s="36" t="s">
        <v>3718</v>
      </c>
      <c r="D141" s="36" t="s">
        <v>3719</v>
      </c>
      <c r="E141" s="36" t="s">
        <v>3720</v>
      </c>
      <c r="F141" s="36" t="s">
        <v>3721</v>
      </c>
      <c r="G141" s="36" t="s">
        <v>3722</v>
      </c>
      <c r="H141" s="36" t="s">
        <v>3723</v>
      </c>
      <c r="I141" s="36" t="s">
        <v>3724</v>
      </c>
      <c r="J141" s="36" t="s">
        <v>3725</v>
      </c>
      <c r="K141" s="36" t="s">
        <v>3726</v>
      </c>
      <c r="L141" s="36" t="s">
        <v>3727</v>
      </c>
      <c r="M141" s="36" t="s">
        <v>3728</v>
      </c>
      <c r="N141" s="36" t="s">
        <v>3729</v>
      </c>
      <c r="O141" s="36" t="s">
        <v>3730</v>
      </c>
      <c r="P141" s="36" t="s">
        <v>3717</v>
      </c>
    </row>
    <row r="142" spans="1:16">
      <c r="A142" s="139">
        <v>141</v>
      </c>
      <c r="B142" s="36" t="s">
        <v>3731</v>
      </c>
      <c r="C142" s="36" t="s">
        <v>3732</v>
      </c>
      <c r="D142" s="36" t="s">
        <v>3733</v>
      </c>
      <c r="E142" s="36" t="s">
        <v>3734</v>
      </c>
      <c r="F142" s="36" t="s">
        <v>3735</v>
      </c>
      <c r="G142" s="36" t="s">
        <v>3736</v>
      </c>
      <c r="H142" s="36" t="s">
        <v>3737</v>
      </c>
      <c r="I142" s="36" t="s">
        <v>3738</v>
      </c>
      <c r="J142" s="36" t="s">
        <v>3739</v>
      </c>
      <c r="K142" s="36" t="s">
        <v>3740</v>
      </c>
      <c r="L142" s="36" t="s">
        <v>3741</v>
      </c>
      <c r="M142" s="36" t="s">
        <v>3742</v>
      </c>
      <c r="N142" s="36" t="s">
        <v>3743</v>
      </c>
      <c r="O142" s="36" t="s">
        <v>3744</v>
      </c>
      <c r="P142" s="36" t="s">
        <v>3731</v>
      </c>
    </row>
    <row r="143" spans="1:16">
      <c r="A143" s="139">
        <v>142</v>
      </c>
      <c r="B143" s="36" t="s">
        <v>3745</v>
      </c>
      <c r="C143" s="36" t="s">
        <v>3746</v>
      </c>
      <c r="D143" s="36" t="s">
        <v>3747</v>
      </c>
      <c r="E143" s="36" t="s">
        <v>3748</v>
      </c>
      <c r="F143" s="36" t="s">
        <v>3749</v>
      </c>
      <c r="G143" s="36" t="s">
        <v>3750</v>
      </c>
      <c r="H143" s="36" t="s">
        <v>3751</v>
      </c>
      <c r="I143" s="36" t="s">
        <v>3752</v>
      </c>
      <c r="J143" s="36" t="s">
        <v>3753</v>
      </c>
      <c r="K143" s="36" t="s">
        <v>3754</v>
      </c>
      <c r="L143" s="36" t="s">
        <v>3755</v>
      </c>
      <c r="M143" s="36" t="s">
        <v>3756</v>
      </c>
      <c r="N143" s="36" t="s">
        <v>3757</v>
      </c>
      <c r="O143" s="36" t="s">
        <v>3758</v>
      </c>
      <c r="P143" s="36" t="s">
        <v>3759</v>
      </c>
    </row>
    <row r="144" spans="1:16">
      <c r="A144" s="139">
        <v>143</v>
      </c>
      <c r="B144" s="36" t="s">
        <v>3760</v>
      </c>
      <c r="C144" s="36" t="s">
        <v>3761</v>
      </c>
      <c r="D144" s="36" t="s">
        <v>3762</v>
      </c>
      <c r="E144" s="36" t="s">
        <v>3763</v>
      </c>
      <c r="F144" s="36" t="s">
        <v>3764</v>
      </c>
      <c r="G144" s="36" t="s">
        <v>3765</v>
      </c>
      <c r="H144" s="36" t="s">
        <v>3766</v>
      </c>
      <c r="I144" s="36" t="s">
        <v>3767</v>
      </c>
      <c r="J144" s="36" t="s">
        <v>3768</v>
      </c>
      <c r="K144" s="36" t="s">
        <v>3769</v>
      </c>
      <c r="L144" s="36" t="s">
        <v>3770</v>
      </c>
      <c r="M144" s="36" t="s">
        <v>3771</v>
      </c>
      <c r="N144" s="36" t="s">
        <v>3772</v>
      </c>
      <c r="O144" s="36" t="s">
        <v>3773</v>
      </c>
      <c r="P144" s="36" t="s">
        <v>3760</v>
      </c>
    </row>
    <row r="145" spans="1:16">
      <c r="A145" s="139">
        <v>144</v>
      </c>
      <c r="B145" s="36" t="s">
        <v>3774</v>
      </c>
      <c r="C145" s="36" t="s">
        <v>3775</v>
      </c>
      <c r="D145" s="36" t="s">
        <v>3776</v>
      </c>
      <c r="E145" s="36" t="s">
        <v>3777</v>
      </c>
      <c r="F145" s="36" t="s">
        <v>3778</v>
      </c>
      <c r="G145" s="36" t="s">
        <v>3779</v>
      </c>
      <c r="H145" s="36" t="s">
        <v>3780</v>
      </c>
      <c r="I145" s="36" t="s">
        <v>3781</v>
      </c>
      <c r="J145" s="36" t="s">
        <v>3782</v>
      </c>
      <c r="K145" s="36" t="s">
        <v>3783</v>
      </c>
      <c r="L145" s="36" t="s">
        <v>3784</v>
      </c>
      <c r="M145" s="36" t="s">
        <v>3785</v>
      </c>
      <c r="N145" s="36" t="s">
        <v>3786</v>
      </c>
      <c r="O145" s="36" t="s">
        <v>3787</v>
      </c>
      <c r="P145" s="36" t="s">
        <v>3774</v>
      </c>
    </row>
    <row r="146" spans="1:16">
      <c r="A146" s="139">
        <v>145</v>
      </c>
      <c r="B146" s="36" t="s">
        <v>3788</v>
      </c>
      <c r="C146" s="36" t="s">
        <v>3789</v>
      </c>
      <c r="D146" s="36" t="s">
        <v>3790</v>
      </c>
      <c r="E146" s="36" t="s">
        <v>3791</v>
      </c>
      <c r="F146" s="36" t="s">
        <v>3792</v>
      </c>
      <c r="G146" s="36" t="s">
        <v>3793</v>
      </c>
      <c r="H146" s="36" t="s">
        <v>3794</v>
      </c>
      <c r="I146" s="36" t="s">
        <v>3795</v>
      </c>
      <c r="J146" s="36" t="s">
        <v>3796</v>
      </c>
      <c r="K146" s="36" t="s">
        <v>3797</v>
      </c>
      <c r="L146" s="36" t="s">
        <v>3798</v>
      </c>
      <c r="M146" s="36" t="s">
        <v>3799</v>
      </c>
      <c r="N146" s="36" t="s">
        <v>3800</v>
      </c>
      <c r="O146" s="36" t="s">
        <v>3801</v>
      </c>
      <c r="P146" s="36" t="s">
        <v>3802</v>
      </c>
    </row>
    <row r="147" spans="1:16">
      <c r="A147" s="139">
        <v>146</v>
      </c>
      <c r="B147" s="36" t="s">
        <v>3803</v>
      </c>
      <c r="C147" s="36" t="s">
        <v>3804</v>
      </c>
      <c r="D147" s="36" t="s">
        <v>3805</v>
      </c>
      <c r="E147" s="36" t="s">
        <v>3806</v>
      </c>
      <c r="F147" s="36" t="s">
        <v>3807</v>
      </c>
      <c r="G147" s="36" t="s">
        <v>3808</v>
      </c>
      <c r="H147" s="36" t="s">
        <v>3809</v>
      </c>
      <c r="I147" s="36" t="s">
        <v>3810</v>
      </c>
      <c r="J147" s="36" t="s">
        <v>3811</v>
      </c>
      <c r="K147" s="36" t="s">
        <v>3812</v>
      </c>
      <c r="L147" s="36" t="s">
        <v>3813</v>
      </c>
      <c r="M147" s="36" t="s">
        <v>3814</v>
      </c>
      <c r="N147" s="36" t="s">
        <v>3815</v>
      </c>
      <c r="O147" s="36" t="s">
        <v>3816</v>
      </c>
      <c r="P147" s="36" t="s">
        <v>3803</v>
      </c>
    </row>
    <row r="148" spans="1:16">
      <c r="A148" s="139">
        <v>147</v>
      </c>
      <c r="B148" s="36" t="s">
        <v>3817</v>
      </c>
      <c r="C148" s="36" t="s">
        <v>3818</v>
      </c>
      <c r="D148" s="36" t="s">
        <v>3819</v>
      </c>
      <c r="E148" s="36" t="s">
        <v>3820</v>
      </c>
      <c r="F148" s="36" t="s">
        <v>3821</v>
      </c>
      <c r="G148" s="36" t="s">
        <v>3822</v>
      </c>
      <c r="H148" s="36" t="s">
        <v>3823</v>
      </c>
      <c r="I148" s="36" t="s">
        <v>3824</v>
      </c>
      <c r="J148" s="36" t="s">
        <v>3825</v>
      </c>
      <c r="K148" s="36" t="s">
        <v>3826</v>
      </c>
      <c r="L148" s="36" t="s">
        <v>3827</v>
      </c>
      <c r="M148" s="36" t="s">
        <v>3828</v>
      </c>
      <c r="N148" s="36" t="s">
        <v>3829</v>
      </c>
      <c r="O148" s="36" t="s">
        <v>3830</v>
      </c>
      <c r="P148" s="36" t="s">
        <v>3817</v>
      </c>
    </row>
    <row r="149" spans="1:16">
      <c r="A149" s="139">
        <v>148</v>
      </c>
      <c r="B149" s="36" t="s">
        <v>3831</v>
      </c>
      <c r="C149" s="36" t="s">
        <v>3832</v>
      </c>
      <c r="D149" s="36" t="s">
        <v>3833</v>
      </c>
      <c r="E149" s="36" t="s">
        <v>3834</v>
      </c>
      <c r="F149" s="36" t="s">
        <v>3835</v>
      </c>
      <c r="G149" s="36" t="s">
        <v>3836</v>
      </c>
      <c r="H149" s="36" t="s">
        <v>3837</v>
      </c>
      <c r="I149" s="36" t="s">
        <v>3838</v>
      </c>
      <c r="J149" s="36" t="s">
        <v>3839</v>
      </c>
      <c r="K149" s="36" t="s">
        <v>3840</v>
      </c>
      <c r="L149" s="36" t="s">
        <v>3841</v>
      </c>
      <c r="M149" s="36" t="s">
        <v>3842</v>
      </c>
      <c r="N149" s="36" t="s">
        <v>3843</v>
      </c>
      <c r="O149" s="36" t="s">
        <v>3844</v>
      </c>
      <c r="P149" s="36" t="s">
        <v>3845</v>
      </c>
    </row>
    <row r="150" spans="1:16">
      <c r="A150" s="139">
        <v>149</v>
      </c>
      <c r="B150" s="36" t="s">
        <v>3846</v>
      </c>
      <c r="C150" s="36" t="s">
        <v>3847</v>
      </c>
      <c r="D150" s="36" t="s">
        <v>3848</v>
      </c>
      <c r="E150" s="36" t="s">
        <v>3849</v>
      </c>
      <c r="F150" s="36" t="s">
        <v>3850</v>
      </c>
      <c r="G150" s="36" t="s">
        <v>3851</v>
      </c>
      <c r="H150" s="36" t="s">
        <v>3852</v>
      </c>
      <c r="I150" s="36" t="s">
        <v>3853</v>
      </c>
      <c r="J150" s="36" t="s">
        <v>3854</v>
      </c>
      <c r="K150" s="36" t="s">
        <v>3855</v>
      </c>
      <c r="L150" s="36" t="s">
        <v>3856</v>
      </c>
      <c r="M150" s="36" t="s">
        <v>3857</v>
      </c>
      <c r="N150" s="36" t="s">
        <v>3858</v>
      </c>
      <c r="O150" s="36" t="s">
        <v>3859</v>
      </c>
      <c r="P150" s="36" t="s">
        <v>3846</v>
      </c>
    </row>
    <row r="151" spans="1:16">
      <c r="A151" s="139">
        <v>150</v>
      </c>
      <c r="B151" s="36" t="s">
        <v>3860</v>
      </c>
      <c r="C151" s="36" t="s">
        <v>3789</v>
      </c>
      <c r="D151" s="36" t="s">
        <v>3861</v>
      </c>
      <c r="E151" s="36" t="s">
        <v>3862</v>
      </c>
      <c r="F151" s="36" t="s">
        <v>3863</v>
      </c>
      <c r="G151" s="36" t="s">
        <v>3864</v>
      </c>
      <c r="H151" s="36" t="s">
        <v>3865</v>
      </c>
      <c r="I151" s="36" t="s">
        <v>3866</v>
      </c>
      <c r="J151" s="36" t="s">
        <v>3867</v>
      </c>
      <c r="K151" s="36" t="s">
        <v>3868</v>
      </c>
      <c r="L151" s="36" t="s">
        <v>3869</v>
      </c>
      <c r="M151" s="36" t="s">
        <v>3870</v>
      </c>
      <c r="N151" s="36" t="s">
        <v>3871</v>
      </c>
      <c r="O151" s="36" t="s">
        <v>3872</v>
      </c>
      <c r="P151" s="36" t="s">
        <v>3860</v>
      </c>
    </row>
    <row r="152" spans="1:16">
      <c r="A152" s="139">
        <v>151</v>
      </c>
      <c r="B152" s="36" t="s">
        <v>3873</v>
      </c>
      <c r="C152" s="36" t="s">
        <v>3874</v>
      </c>
      <c r="D152" s="36" t="s">
        <v>3875</v>
      </c>
      <c r="E152" s="36" t="s">
        <v>3876</v>
      </c>
      <c r="F152" s="36" t="s">
        <v>3877</v>
      </c>
      <c r="G152" s="36" t="s">
        <v>3878</v>
      </c>
      <c r="H152" s="36" t="s">
        <v>3879</v>
      </c>
      <c r="I152" s="36" t="s">
        <v>3880</v>
      </c>
      <c r="J152" s="36" t="s">
        <v>3881</v>
      </c>
      <c r="K152" s="36" t="s">
        <v>3882</v>
      </c>
      <c r="L152" s="36" t="s">
        <v>3883</v>
      </c>
      <c r="M152" s="36" t="s">
        <v>3884</v>
      </c>
      <c r="N152" s="36" t="s">
        <v>3885</v>
      </c>
      <c r="O152" s="36" t="s">
        <v>3886</v>
      </c>
      <c r="P152" s="36" t="s">
        <v>3873</v>
      </c>
    </row>
    <row r="153" spans="1:16">
      <c r="A153" s="139">
        <v>152</v>
      </c>
      <c r="B153" s="36" t="s">
        <v>3887</v>
      </c>
      <c r="C153" s="36" t="s">
        <v>3888</v>
      </c>
      <c r="D153" s="36" t="s">
        <v>3888</v>
      </c>
      <c r="E153" s="36" t="s">
        <v>3889</v>
      </c>
      <c r="F153" s="36" t="s">
        <v>3807</v>
      </c>
      <c r="G153" s="36" t="s">
        <v>3890</v>
      </c>
      <c r="H153" s="36" t="s">
        <v>3891</v>
      </c>
      <c r="I153" s="36" t="s">
        <v>3892</v>
      </c>
      <c r="J153" s="36" t="s">
        <v>3893</v>
      </c>
      <c r="K153" s="36" t="s">
        <v>3812</v>
      </c>
      <c r="L153" s="36" t="s">
        <v>3894</v>
      </c>
      <c r="M153" s="36" t="s">
        <v>3895</v>
      </c>
      <c r="N153" s="36" t="s">
        <v>3896</v>
      </c>
      <c r="O153" s="36" t="s">
        <v>3812</v>
      </c>
      <c r="P153" s="36" t="s">
        <v>3887</v>
      </c>
    </row>
    <row r="154" spans="1:16">
      <c r="A154" s="139">
        <v>153</v>
      </c>
      <c r="B154" s="36" t="s">
        <v>3897</v>
      </c>
      <c r="C154" s="36" t="s">
        <v>3898</v>
      </c>
      <c r="D154" s="36" t="s">
        <v>3899</v>
      </c>
      <c r="E154" s="36" t="s">
        <v>3900</v>
      </c>
      <c r="F154" s="36" t="s">
        <v>3901</v>
      </c>
      <c r="G154" s="36" t="s">
        <v>3902</v>
      </c>
      <c r="H154" s="36" t="s">
        <v>3903</v>
      </c>
      <c r="I154" s="36" t="s">
        <v>3904</v>
      </c>
      <c r="J154" s="36" t="s">
        <v>3905</v>
      </c>
      <c r="K154" s="36" t="s">
        <v>3906</v>
      </c>
      <c r="L154" s="36" t="s">
        <v>3907</v>
      </c>
      <c r="M154" s="36" t="s">
        <v>3908</v>
      </c>
      <c r="N154" s="36" t="s">
        <v>3909</v>
      </c>
      <c r="O154" s="36" t="s">
        <v>3910</v>
      </c>
      <c r="P154" s="36" t="s">
        <v>3897</v>
      </c>
    </row>
    <row r="155" spans="1:16">
      <c r="A155" s="139">
        <v>154</v>
      </c>
      <c r="B155" s="36" t="s">
        <v>3911</v>
      </c>
      <c r="C155" s="36" t="s">
        <v>3912</v>
      </c>
      <c r="D155" s="36" t="s">
        <v>3913</v>
      </c>
      <c r="E155" s="36" t="s">
        <v>3914</v>
      </c>
      <c r="F155" s="36" t="s">
        <v>3915</v>
      </c>
      <c r="G155" s="36" t="s">
        <v>3916</v>
      </c>
      <c r="H155" s="36" t="s">
        <v>3917</v>
      </c>
      <c r="I155" s="36" t="s">
        <v>3918</v>
      </c>
      <c r="J155" s="36" t="s">
        <v>3919</v>
      </c>
      <c r="K155" s="36" t="s">
        <v>3920</v>
      </c>
      <c r="L155" s="36" t="s">
        <v>3921</v>
      </c>
      <c r="M155" s="36" t="s">
        <v>3922</v>
      </c>
      <c r="N155" s="36" t="s">
        <v>3923</v>
      </c>
      <c r="O155" s="36" t="s">
        <v>3924</v>
      </c>
      <c r="P155" s="36" t="s">
        <v>3911</v>
      </c>
    </row>
    <row r="156" spans="1:16">
      <c r="A156" s="139">
        <v>155</v>
      </c>
      <c r="B156" s="36" t="s">
        <v>3925</v>
      </c>
      <c r="C156" s="36" t="s">
        <v>3926</v>
      </c>
      <c r="D156" s="36" t="s">
        <v>3927</v>
      </c>
      <c r="E156" s="36" t="s">
        <v>3928</v>
      </c>
      <c r="F156" s="36" t="s">
        <v>3929</v>
      </c>
      <c r="G156" s="36" t="s">
        <v>3930</v>
      </c>
      <c r="H156" s="36" t="s">
        <v>3931</v>
      </c>
      <c r="I156" s="36" t="s">
        <v>3932</v>
      </c>
      <c r="J156" s="36" t="s">
        <v>3933</v>
      </c>
      <c r="K156" s="36" t="s">
        <v>3934</v>
      </c>
      <c r="L156" s="36" t="s">
        <v>3935</v>
      </c>
      <c r="M156" s="36" t="s">
        <v>3936</v>
      </c>
      <c r="N156" s="36" t="s">
        <v>3937</v>
      </c>
      <c r="O156" s="36" t="s">
        <v>3938</v>
      </c>
      <c r="P156" s="36" t="s">
        <v>3925</v>
      </c>
    </row>
    <row r="157" spans="1:16">
      <c r="A157" s="139">
        <v>156</v>
      </c>
      <c r="B157" s="36" t="s">
        <v>3939</v>
      </c>
      <c r="C157" s="36" t="s">
        <v>3940</v>
      </c>
      <c r="D157" s="36" t="s">
        <v>3941</v>
      </c>
      <c r="E157" s="36" t="s">
        <v>3942</v>
      </c>
      <c r="F157" s="36" t="s">
        <v>3939</v>
      </c>
      <c r="G157" s="36" t="s">
        <v>3943</v>
      </c>
      <c r="H157" s="36" t="s">
        <v>3944</v>
      </c>
      <c r="I157" s="36" t="s">
        <v>3945</v>
      </c>
      <c r="J157" s="36" t="s">
        <v>3946</v>
      </c>
      <c r="K157" s="36" t="s">
        <v>3947</v>
      </c>
      <c r="L157" s="36" t="s">
        <v>3948</v>
      </c>
      <c r="M157" s="36" t="s">
        <v>3949</v>
      </c>
      <c r="N157" s="36" t="s">
        <v>3950</v>
      </c>
      <c r="O157" s="36" t="s">
        <v>3951</v>
      </c>
      <c r="P157" s="36" t="s">
        <v>3939</v>
      </c>
    </row>
    <row r="158" spans="1:16">
      <c r="A158" s="139">
        <v>157</v>
      </c>
      <c r="B158" s="36" t="s">
        <v>3952</v>
      </c>
      <c r="C158" s="36" t="s">
        <v>3953</v>
      </c>
      <c r="D158" s="36" t="s">
        <v>3954</v>
      </c>
      <c r="E158" s="36" t="s">
        <v>3955</v>
      </c>
      <c r="F158" s="36" t="s">
        <v>3956</v>
      </c>
      <c r="G158" s="36" t="s">
        <v>3957</v>
      </c>
      <c r="H158" s="36" t="s">
        <v>3958</v>
      </c>
      <c r="I158" s="36" t="s">
        <v>3959</v>
      </c>
      <c r="J158" s="36" t="s">
        <v>3960</v>
      </c>
      <c r="K158" s="36" t="s">
        <v>3961</v>
      </c>
      <c r="L158" s="36" t="s">
        <v>3962</v>
      </c>
      <c r="M158" s="36" t="s">
        <v>3963</v>
      </c>
      <c r="N158" s="36" t="s">
        <v>3964</v>
      </c>
      <c r="O158" s="36" t="s">
        <v>3965</v>
      </c>
      <c r="P158" s="36" t="s">
        <v>3952</v>
      </c>
    </row>
    <row r="159" spans="1:16">
      <c r="A159" s="139">
        <v>158</v>
      </c>
      <c r="B159" s="36" t="s">
        <v>3966</v>
      </c>
      <c r="C159" s="36" t="s">
        <v>3967</v>
      </c>
      <c r="D159" s="36" t="s">
        <v>3966</v>
      </c>
      <c r="E159" s="36" t="s">
        <v>3968</v>
      </c>
      <c r="F159" s="36" t="s">
        <v>3966</v>
      </c>
      <c r="G159" s="36" t="s">
        <v>3966</v>
      </c>
      <c r="H159" s="36" t="s">
        <v>3966</v>
      </c>
      <c r="I159" s="36" t="s">
        <v>3966</v>
      </c>
      <c r="J159" s="36" t="s">
        <v>3966</v>
      </c>
      <c r="K159" s="36" t="s">
        <v>3966</v>
      </c>
      <c r="L159" s="36" t="s">
        <v>3969</v>
      </c>
      <c r="M159" s="36" t="s">
        <v>3966</v>
      </c>
      <c r="N159" s="36" t="s">
        <v>3966</v>
      </c>
      <c r="O159" s="36" t="s">
        <v>3970</v>
      </c>
      <c r="P159" s="36" t="s">
        <v>3966</v>
      </c>
    </row>
    <row r="160" spans="1:16">
      <c r="A160" s="139">
        <v>159</v>
      </c>
      <c r="B160" s="36" t="s">
        <v>3971</v>
      </c>
      <c r="C160" s="36" t="s">
        <v>3972</v>
      </c>
      <c r="D160" s="36" t="s">
        <v>3973</v>
      </c>
      <c r="E160" s="36" t="s">
        <v>3974</v>
      </c>
      <c r="F160" s="36" t="s">
        <v>3975</v>
      </c>
      <c r="G160" s="36" t="s">
        <v>3976</v>
      </c>
      <c r="H160" s="36" t="s">
        <v>3977</v>
      </c>
      <c r="I160" s="36" t="s">
        <v>3978</v>
      </c>
      <c r="J160" s="36" t="s">
        <v>3979</v>
      </c>
      <c r="K160" s="36" t="s">
        <v>3980</v>
      </c>
      <c r="L160" s="36" t="s">
        <v>3981</v>
      </c>
      <c r="M160" s="36" t="s">
        <v>3982</v>
      </c>
      <c r="N160" s="36" t="s">
        <v>3982</v>
      </c>
      <c r="O160" s="36" t="s">
        <v>3983</v>
      </c>
      <c r="P160" s="36" t="s">
        <v>3971</v>
      </c>
    </row>
    <row r="161" spans="1:16">
      <c r="A161" s="139">
        <v>160</v>
      </c>
      <c r="B161" s="36" t="s">
        <v>3984</v>
      </c>
      <c r="C161" s="36" t="s">
        <v>3985</v>
      </c>
      <c r="D161" s="36" t="s">
        <v>3986</v>
      </c>
      <c r="E161" s="36" t="s">
        <v>3987</v>
      </c>
      <c r="F161" s="36" t="s">
        <v>3988</v>
      </c>
      <c r="G161" s="36" t="s">
        <v>3989</v>
      </c>
      <c r="H161" s="36" t="s">
        <v>3990</v>
      </c>
      <c r="I161" s="36" t="s">
        <v>3991</v>
      </c>
      <c r="J161" s="36" t="s">
        <v>3992</v>
      </c>
      <c r="K161" s="36" t="s">
        <v>3993</v>
      </c>
      <c r="L161" s="36" t="s">
        <v>3994</v>
      </c>
      <c r="M161" s="36" t="s">
        <v>3995</v>
      </c>
      <c r="N161" s="36" t="s">
        <v>3996</v>
      </c>
      <c r="O161" s="36" t="s">
        <v>3997</v>
      </c>
      <c r="P161" s="36" t="s">
        <v>3984</v>
      </c>
    </row>
    <row r="162" spans="1:16">
      <c r="A162" s="139">
        <v>161</v>
      </c>
      <c r="B162" s="36" t="s">
        <v>3998</v>
      </c>
      <c r="C162" s="36" t="s">
        <v>3999</v>
      </c>
      <c r="D162" s="36" t="s">
        <v>4000</v>
      </c>
      <c r="E162" s="36" t="s">
        <v>4001</v>
      </c>
      <c r="F162" s="36" t="s">
        <v>4002</v>
      </c>
      <c r="G162" s="36" t="s">
        <v>4003</v>
      </c>
      <c r="H162" s="36" t="s">
        <v>4004</v>
      </c>
      <c r="I162" s="36" t="s">
        <v>4005</v>
      </c>
      <c r="J162" s="36" t="s">
        <v>4006</v>
      </c>
      <c r="K162" s="36" t="s">
        <v>4007</v>
      </c>
      <c r="L162" s="36" t="s">
        <v>4008</v>
      </c>
      <c r="M162" s="36" t="s">
        <v>4009</v>
      </c>
      <c r="N162" s="36" t="s">
        <v>4010</v>
      </c>
      <c r="O162" s="36" t="s">
        <v>4011</v>
      </c>
      <c r="P162" s="36" t="s">
        <v>3998</v>
      </c>
    </row>
    <row r="163" spans="1:16">
      <c r="A163" s="139">
        <v>162</v>
      </c>
      <c r="B163" s="36" t="s">
        <v>4012</v>
      </c>
      <c r="C163" s="36" t="s">
        <v>4013</v>
      </c>
      <c r="D163" s="36" t="s">
        <v>4014</v>
      </c>
      <c r="E163" s="36" t="s">
        <v>4015</v>
      </c>
      <c r="F163" s="36" t="s">
        <v>4016</v>
      </c>
      <c r="G163" s="36" t="s">
        <v>4017</v>
      </c>
      <c r="H163" s="36" t="s">
        <v>4018</v>
      </c>
      <c r="I163" s="36" t="s">
        <v>4019</v>
      </c>
      <c r="J163" s="36" t="s">
        <v>4020</v>
      </c>
      <c r="K163" s="36" t="s">
        <v>4021</v>
      </c>
      <c r="L163" s="36" t="s">
        <v>4022</v>
      </c>
      <c r="M163" s="36" t="s">
        <v>4023</v>
      </c>
      <c r="N163" s="36" t="s">
        <v>4024</v>
      </c>
      <c r="O163" s="36" t="s">
        <v>4025</v>
      </c>
      <c r="P163" s="36" t="s">
        <v>4012</v>
      </c>
    </row>
    <row r="164" spans="1:16">
      <c r="A164" s="139">
        <v>163</v>
      </c>
      <c r="B164" s="36" t="s">
        <v>2336</v>
      </c>
      <c r="C164" s="36" t="s">
        <v>4026</v>
      </c>
      <c r="D164" s="36" t="s">
        <v>4027</v>
      </c>
      <c r="E164" s="36" t="s">
        <v>4028</v>
      </c>
      <c r="F164" s="36" t="s">
        <v>4029</v>
      </c>
      <c r="G164" s="36" t="s">
        <v>4030</v>
      </c>
      <c r="H164" s="36" t="s">
        <v>4031</v>
      </c>
      <c r="I164" s="36" t="s">
        <v>4032</v>
      </c>
      <c r="J164" s="36" t="s">
        <v>4033</v>
      </c>
      <c r="K164" s="36" t="s">
        <v>4034</v>
      </c>
      <c r="L164" s="36" t="s">
        <v>4035</v>
      </c>
      <c r="M164" s="36" t="s">
        <v>4036</v>
      </c>
      <c r="N164" s="36" t="s">
        <v>4037</v>
      </c>
      <c r="O164" s="36" t="s">
        <v>4038</v>
      </c>
      <c r="P164" s="36" t="s">
        <v>2336</v>
      </c>
    </row>
    <row r="165" spans="1:16">
      <c r="A165" s="139">
        <v>164</v>
      </c>
      <c r="B165" s="36" t="s">
        <v>4039</v>
      </c>
      <c r="C165" s="36" t="s">
        <v>4040</v>
      </c>
      <c r="D165" s="36" t="s">
        <v>4041</v>
      </c>
      <c r="E165" s="36" t="s">
        <v>4042</v>
      </c>
      <c r="F165" s="36" t="s">
        <v>4043</v>
      </c>
      <c r="G165" s="36" t="s">
        <v>4044</v>
      </c>
      <c r="H165" s="36" t="s">
        <v>4045</v>
      </c>
      <c r="I165" s="36" t="s">
        <v>4046</v>
      </c>
      <c r="J165" s="36" t="s">
        <v>4047</v>
      </c>
      <c r="K165" s="36" t="s">
        <v>4048</v>
      </c>
      <c r="L165" s="36" t="s">
        <v>4049</v>
      </c>
      <c r="M165" s="36" t="s">
        <v>4050</v>
      </c>
      <c r="N165" s="36" t="s">
        <v>4051</v>
      </c>
      <c r="O165" s="36" t="s">
        <v>4052</v>
      </c>
      <c r="P165" s="36" t="s">
        <v>4039</v>
      </c>
    </row>
    <row r="166" spans="1:16">
      <c r="A166" s="139">
        <v>165</v>
      </c>
      <c r="B166" s="36" t="s">
        <v>4053</v>
      </c>
      <c r="C166" s="36" t="s">
        <v>4054</v>
      </c>
      <c r="D166" s="36" t="s">
        <v>4055</v>
      </c>
      <c r="E166" s="36" t="s">
        <v>4056</v>
      </c>
      <c r="F166" s="36" t="s">
        <v>4057</v>
      </c>
      <c r="G166" s="36" t="s">
        <v>4058</v>
      </c>
      <c r="H166" s="36" t="s">
        <v>4059</v>
      </c>
      <c r="I166" s="36" t="s">
        <v>4060</v>
      </c>
      <c r="J166" s="36" t="s">
        <v>4061</v>
      </c>
      <c r="K166" s="36" t="s">
        <v>4062</v>
      </c>
      <c r="L166" s="36" t="s">
        <v>4063</v>
      </c>
      <c r="M166" s="36" t="s">
        <v>4064</v>
      </c>
      <c r="N166" s="36" t="s">
        <v>4065</v>
      </c>
      <c r="O166" s="36" t="s">
        <v>4066</v>
      </c>
      <c r="P166" s="36" t="s">
        <v>4053</v>
      </c>
    </row>
    <row r="167" spans="1:16">
      <c r="A167" s="139">
        <v>166</v>
      </c>
      <c r="B167" s="36" t="s">
        <v>4067</v>
      </c>
      <c r="C167" s="36" t="s">
        <v>4068</v>
      </c>
      <c r="D167" s="36" t="s">
        <v>4069</v>
      </c>
      <c r="E167" s="36" t="s">
        <v>4070</v>
      </c>
      <c r="F167" s="36" t="s">
        <v>4071</v>
      </c>
      <c r="G167" s="36" t="s">
        <v>4072</v>
      </c>
      <c r="H167" s="36" t="s">
        <v>4073</v>
      </c>
      <c r="I167" s="36" t="s">
        <v>4074</v>
      </c>
      <c r="J167" s="36" t="s">
        <v>4075</v>
      </c>
      <c r="K167" s="36" t="s">
        <v>4076</v>
      </c>
      <c r="L167" s="36" t="s">
        <v>4077</v>
      </c>
      <c r="M167" s="36" t="s">
        <v>4078</v>
      </c>
      <c r="N167" s="36" t="s">
        <v>4078</v>
      </c>
      <c r="O167" s="36" t="s">
        <v>4079</v>
      </c>
      <c r="P167" s="36" t="s">
        <v>4067</v>
      </c>
    </row>
    <row r="168" spans="1:16">
      <c r="A168" s="139">
        <v>167</v>
      </c>
      <c r="B168" s="36" t="s">
        <v>4080</v>
      </c>
      <c r="C168" s="36" t="s">
        <v>4081</v>
      </c>
      <c r="D168" s="36" t="s">
        <v>4082</v>
      </c>
      <c r="E168" s="36" t="s">
        <v>4083</v>
      </c>
      <c r="F168" s="36" t="s">
        <v>4084</v>
      </c>
      <c r="G168" s="36" t="s">
        <v>4085</v>
      </c>
      <c r="H168" s="36" t="s">
        <v>4086</v>
      </c>
      <c r="I168" s="36" t="s">
        <v>4087</v>
      </c>
      <c r="J168" s="36" t="s">
        <v>4088</v>
      </c>
      <c r="K168" s="36" t="s">
        <v>4089</v>
      </c>
      <c r="L168" s="36" t="s">
        <v>4090</v>
      </c>
      <c r="M168" s="36" t="s">
        <v>4091</v>
      </c>
      <c r="N168" s="36" t="s">
        <v>4092</v>
      </c>
      <c r="O168" s="36" t="s">
        <v>4093</v>
      </c>
      <c r="P168" s="36" t="s">
        <v>4080</v>
      </c>
    </row>
    <row r="169" spans="1:16">
      <c r="A169" s="139">
        <v>168</v>
      </c>
      <c r="B169" s="36" t="s">
        <v>4094</v>
      </c>
      <c r="C169" s="36" t="s">
        <v>4095</v>
      </c>
      <c r="D169" s="36" t="s">
        <v>4096</v>
      </c>
      <c r="E169" s="36" t="s">
        <v>4097</v>
      </c>
      <c r="F169" s="36" t="s">
        <v>4098</v>
      </c>
      <c r="G169" s="36" t="s">
        <v>4099</v>
      </c>
      <c r="H169" s="36" t="s">
        <v>4100</v>
      </c>
      <c r="I169" s="36" t="s">
        <v>4101</v>
      </c>
      <c r="J169" s="36" t="s">
        <v>4102</v>
      </c>
      <c r="K169" s="36" t="s">
        <v>4103</v>
      </c>
      <c r="L169" s="36" t="s">
        <v>4104</v>
      </c>
      <c r="M169" s="36" t="s">
        <v>4105</v>
      </c>
      <c r="N169" s="36" t="s">
        <v>4106</v>
      </c>
      <c r="O169" s="36" t="s">
        <v>4107</v>
      </c>
      <c r="P169" s="36" t="s">
        <v>4094</v>
      </c>
    </row>
    <row r="170" spans="1:16">
      <c r="A170" s="139">
        <v>169</v>
      </c>
      <c r="B170" s="36" t="s">
        <v>4108</v>
      </c>
      <c r="C170" s="36" t="s">
        <v>4109</v>
      </c>
      <c r="D170" s="36" t="s">
        <v>4110</v>
      </c>
      <c r="E170" s="36" t="s">
        <v>4111</v>
      </c>
      <c r="F170" s="36" t="s">
        <v>4112</v>
      </c>
      <c r="G170" s="36" t="s">
        <v>4113</v>
      </c>
      <c r="H170" s="36" t="s">
        <v>4114</v>
      </c>
      <c r="I170" s="36" t="s">
        <v>4115</v>
      </c>
      <c r="J170" s="36" t="s">
        <v>4116</v>
      </c>
      <c r="K170" s="36" t="s">
        <v>4117</v>
      </c>
      <c r="L170" s="36" t="s">
        <v>4118</v>
      </c>
      <c r="M170" s="36" t="s">
        <v>4119</v>
      </c>
      <c r="N170" s="36" t="s">
        <v>4120</v>
      </c>
      <c r="O170" s="36" t="s">
        <v>4121</v>
      </c>
      <c r="P170" s="36" t="s">
        <v>4108</v>
      </c>
    </row>
    <row r="171" spans="1:16">
      <c r="A171" s="139">
        <v>170</v>
      </c>
      <c r="B171" s="36" t="s">
        <v>4122</v>
      </c>
      <c r="C171" s="36" t="s">
        <v>4123</v>
      </c>
      <c r="D171" s="36" t="s">
        <v>4124</v>
      </c>
      <c r="E171" s="36" t="s">
        <v>4125</v>
      </c>
      <c r="F171" s="36" t="s">
        <v>4126</v>
      </c>
      <c r="G171" s="36" t="s">
        <v>4127</v>
      </c>
      <c r="H171" s="36" t="s">
        <v>4128</v>
      </c>
      <c r="I171" s="36" t="s">
        <v>4129</v>
      </c>
      <c r="J171" s="36" t="s">
        <v>4130</v>
      </c>
      <c r="K171" s="36" t="s">
        <v>4131</v>
      </c>
      <c r="L171" s="36" t="s">
        <v>4132</v>
      </c>
      <c r="M171" s="36" t="s">
        <v>4133</v>
      </c>
      <c r="N171" s="36" t="s">
        <v>4134</v>
      </c>
      <c r="O171" s="36" t="s">
        <v>4135</v>
      </c>
      <c r="P171" s="36" t="s">
        <v>4122</v>
      </c>
    </row>
    <row r="172" spans="1:16">
      <c r="A172" s="139">
        <v>171</v>
      </c>
      <c r="B172" s="36" t="s">
        <v>4136</v>
      </c>
      <c r="C172" s="36" t="s">
        <v>4137</v>
      </c>
      <c r="D172" s="36" t="s">
        <v>4138</v>
      </c>
      <c r="E172" s="36" t="s">
        <v>4139</v>
      </c>
      <c r="F172" s="36" t="s">
        <v>4140</v>
      </c>
      <c r="G172" s="36" t="s">
        <v>4141</v>
      </c>
      <c r="H172" s="36" t="s">
        <v>4142</v>
      </c>
      <c r="I172" s="36" t="s">
        <v>4143</v>
      </c>
      <c r="J172" s="36" t="s">
        <v>4144</v>
      </c>
      <c r="K172" s="36" t="s">
        <v>4145</v>
      </c>
      <c r="L172" s="36" t="s">
        <v>4146</v>
      </c>
      <c r="M172" s="36" t="s">
        <v>4147</v>
      </c>
      <c r="N172" s="36" t="s">
        <v>4148</v>
      </c>
      <c r="O172" s="36" t="s">
        <v>4149</v>
      </c>
      <c r="P172" s="36" t="s">
        <v>4136</v>
      </c>
    </row>
    <row r="173" spans="1:16">
      <c r="A173" s="139">
        <v>172</v>
      </c>
      <c r="B173" s="36" t="s">
        <v>4150</v>
      </c>
      <c r="C173" s="36" t="s">
        <v>4151</v>
      </c>
      <c r="D173" s="36" t="s">
        <v>4152</v>
      </c>
      <c r="E173" s="36" t="s">
        <v>4153</v>
      </c>
      <c r="F173" s="36" t="s">
        <v>4154</v>
      </c>
      <c r="G173" s="36" t="s">
        <v>4155</v>
      </c>
      <c r="H173" s="36" t="s">
        <v>4156</v>
      </c>
      <c r="I173" s="36" t="s">
        <v>4157</v>
      </c>
      <c r="J173" s="36" t="s">
        <v>4158</v>
      </c>
      <c r="K173" s="36" t="s">
        <v>4159</v>
      </c>
      <c r="L173" s="36" t="s">
        <v>4160</v>
      </c>
      <c r="M173" s="36" t="s">
        <v>4161</v>
      </c>
      <c r="N173" s="36" t="s">
        <v>4162</v>
      </c>
      <c r="O173" s="36" t="s">
        <v>4163</v>
      </c>
      <c r="P173" s="36" t="s">
        <v>4150</v>
      </c>
    </row>
    <row r="174" spans="1:16">
      <c r="A174" s="139">
        <v>173</v>
      </c>
      <c r="B174" s="36" t="s">
        <v>4164</v>
      </c>
      <c r="C174" s="36" t="s">
        <v>4165</v>
      </c>
      <c r="D174" s="36" t="s">
        <v>4166</v>
      </c>
      <c r="E174" s="36" t="s">
        <v>4167</v>
      </c>
      <c r="F174" s="36" t="s">
        <v>4168</v>
      </c>
      <c r="G174" s="36" t="s">
        <v>4169</v>
      </c>
      <c r="H174" s="36" t="s">
        <v>4170</v>
      </c>
      <c r="I174" s="36" t="s">
        <v>4169</v>
      </c>
      <c r="J174" s="36" t="s">
        <v>4171</v>
      </c>
      <c r="K174" s="36" t="s">
        <v>4172</v>
      </c>
      <c r="L174" s="36" t="s">
        <v>4173</v>
      </c>
      <c r="M174" s="36" t="s">
        <v>4173</v>
      </c>
      <c r="N174" s="36" t="s">
        <v>4173</v>
      </c>
      <c r="O174" s="36" t="s">
        <v>4174</v>
      </c>
      <c r="P174" s="36" t="s">
        <v>4164</v>
      </c>
    </row>
    <row r="175" spans="1:16">
      <c r="A175" s="139">
        <v>174</v>
      </c>
      <c r="B175" s="36" t="s">
        <v>4175</v>
      </c>
      <c r="C175" s="36" t="s">
        <v>4176</v>
      </c>
      <c r="D175" s="36" t="s">
        <v>4177</v>
      </c>
      <c r="E175" s="36" t="s">
        <v>4178</v>
      </c>
      <c r="F175" s="36" t="s">
        <v>4179</v>
      </c>
      <c r="G175" s="36" t="s">
        <v>4180</v>
      </c>
      <c r="H175" s="36" t="s">
        <v>4181</v>
      </c>
      <c r="I175" s="36" t="s">
        <v>4182</v>
      </c>
      <c r="J175" s="36" t="s">
        <v>4183</v>
      </c>
      <c r="K175" s="36" t="s">
        <v>4184</v>
      </c>
      <c r="L175" s="36" t="s">
        <v>4185</v>
      </c>
      <c r="M175" s="36" t="s">
        <v>4186</v>
      </c>
      <c r="N175" s="36" t="s">
        <v>4187</v>
      </c>
      <c r="O175" s="36" t="s">
        <v>4188</v>
      </c>
      <c r="P175" s="36" t="s">
        <v>4175</v>
      </c>
    </row>
    <row r="176" spans="1:16">
      <c r="A176" s="139">
        <v>175</v>
      </c>
      <c r="B176" s="36" t="s">
        <v>4175</v>
      </c>
      <c r="C176" s="36" t="s">
        <v>4189</v>
      </c>
      <c r="D176" s="36" t="s">
        <v>4190</v>
      </c>
      <c r="E176" s="36" t="s">
        <v>4178</v>
      </c>
      <c r="F176" s="36" t="s">
        <v>4179</v>
      </c>
      <c r="G176" s="36" t="s">
        <v>4191</v>
      </c>
      <c r="H176" s="36" t="s">
        <v>4192</v>
      </c>
      <c r="I176" s="36" t="s">
        <v>4193</v>
      </c>
      <c r="J176" s="36" t="s">
        <v>4194</v>
      </c>
      <c r="K176" s="36" t="s">
        <v>4195</v>
      </c>
      <c r="L176" s="36" t="s">
        <v>4196</v>
      </c>
      <c r="M176" s="36" t="s">
        <v>4197</v>
      </c>
      <c r="N176" s="36" t="s">
        <v>4198</v>
      </c>
      <c r="O176" s="36" t="s">
        <v>4199</v>
      </c>
      <c r="P176" s="36" t="s">
        <v>4200</v>
      </c>
    </row>
    <row r="177" spans="1:16">
      <c r="A177" s="139">
        <v>176</v>
      </c>
      <c r="B177" s="36" t="s">
        <v>4175</v>
      </c>
      <c r="C177" s="36" t="s">
        <v>4176</v>
      </c>
      <c r="D177" s="36" t="s">
        <v>4177</v>
      </c>
      <c r="E177" s="36" t="s">
        <v>4178</v>
      </c>
      <c r="F177" s="36" t="s">
        <v>4179</v>
      </c>
      <c r="G177" s="36" t="s">
        <v>4180</v>
      </c>
      <c r="H177" s="36" t="s">
        <v>4181</v>
      </c>
      <c r="I177" s="36" t="s">
        <v>4182</v>
      </c>
      <c r="J177" s="36" t="s">
        <v>4201</v>
      </c>
      <c r="K177" s="36" t="s">
        <v>4202</v>
      </c>
      <c r="L177" s="36" t="s">
        <v>4184</v>
      </c>
      <c r="M177" s="36" t="s">
        <v>4203</v>
      </c>
      <c r="N177" s="36" t="s">
        <v>4204</v>
      </c>
      <c r="O177" s="36" t="s">
        <v>4205</v>
      </c>
      <c r="P177" s="36" t="s">
        <v>4175</v>
      </c>
    </row>
    <row r="178" spans="1:16">
      <c r="A178" s="139">
        <v>177</v>
      </c>
      <c r="B178" s="36" t="s">
        <v>4206</v>
      </c>
      <c r="C178" s="36" t="s">
        <v>4207</v>
      </c>
      <c r="D178" s="36" t="s">
        <v>4208</v>
      </c>
      <c r="E178" s="36" t="s">
        <v>4209</v>
      </c>
      <c r="F178" s="36" t="s">
        <v>4210</v>
      </c>
      <c r="G178" s="36" t="s">
        <v>4211</v>
      </c>
      <c r="H178" s="36" t="s">
        <v>4212</v>
      </c>
      <c r="I178" s="36" t="s">
        <v>4213</v>
      </c>
      <c r="J178" s="36" t="s">
        <v>4214</v>
      </c>
      <c r="K178" s="36" t="s">
        <v>4215</v>
      </c>
      <c r="L178" s="36" t="s">
        <v>4216</v>
      </c>
      <c r="M178" s="36" t="s">
        <v>4214</v>
      </c>
      <c r="N178" s="36" t="s">
        <v>4217</v>
      </c>
      <c r="O178" s="36" t="s">
        <v>4218</v>
      </c>
      <c r="P178" s="36" t="s">
        <v>4206</v>
      </c>
    </row>
    <row r="179" spans="1:16">
      <c r="A179" s="139">
        <v>178</v>
      </c>
      <c r="B179" s="36" t="s">
        <v>4219</v>
      </c>
      <c r="C179" s="36" t="s">
        <v>4220</v>
      </c>
      <c r="D179" s="36" t="s">
        <v>4221</v>
      </c>
      <c r="E179" s="36" t="s">
        <v>4222</v>
      </c>
      <c r="F179" s="36" t="s">
        <v>4223</v>
      </c>
      <c r="G179" s="36" t="s">
        <v>4224</v>
      </c>
      <c r="H179" s="36" t="s">
        <v>4225</v>
      </c>
      <c r="I179" s="36" t="s">
        <v>4226</v>
      </c>
      <c r="J179" s="36" t="s">
        <v>4219</v>
      </c>
      <c r="K179" s="36" t="s">
        <v>4223</v>
      </c>
      <c r="L179" s="36" t="s">
        <v>4227</v>
      </c>
      <c r="M179" s="36" t="s">
        <v>4219</v>
      </c>
      <c r="N179" s="36" t="s">
        <v>4228</v>
      </c>
      <c r="O179" s="36" t="s">
        <v>4229</v>
      </c>
      <c r="P179" s="36" t="s">
        <v>4219</v>
      </c>
    </row>
    <row r="180" spans="1:16">
      <c r="A180" s="139">
        <v>179</v>
      </c>
      <c r="B180" s="36" t="s">
        <v>4230</v>
      </c>
      <c r="C180" s="36" t="s">
        <v>4231</v>
      </c>
      <c r="D180" s="36" t="s">
        <v>4232</v>
      </c>
      <c r="E180" s="36" t="s">
        <v>4233</v>
      </c>
      <c r="F180" s="36" t="s">
        <v>4234</v>
      </c>
      <c r="G180" s="36" t="s">
        <v>4235</v>
      </c>
      <c r="H180" s="36" t="s">
        <v>4236</v>
      </c>
      <c r="I180" s="36" t="s">
        <v>4237</v>
      </c>
      <c r="J180" s="36" t="s">
        <v>4238</v>
      </c>
      <c r="K180" s="36" t="s">
        <v>4239</v>
      </c>
      <c r="L180" s="36" t="s">
        <v>4240</v>
      </c>
      <c r="M180" s="36" t="s">
        <v>4241</v>
      </c>
      <c r="N180" s="36" t="s">
        <v>4242</v>
      </c>
      <c r="O180" s="36" t="s">
        <v>4243</v>
      </c>
      <c r="P180" s="36" t="s">
        <v>4230</v>
      </c>
    </row>
    <row r="181" spans="1:16">
      <c r="A181" s="139">
        <v>180</v>
      </c>
      <c r="B181" s="36" t="s">
        <v>4244</v>
      </c>
      <c r="C181" s="36" t="s">
        <v>4245</v>
      </c>
      <c r="D181" s="36" t="s">
        <v>4246</v>
      </c>
      <c r="E181" s="36" t="s">
        <v>4247</v>
      </c>
      <c r="F181" s="36" t="s">
        <v>4248</v>
      </c>
      <c r="G181" s="36" t="s">
        <v>4249</v>
      </c>
      <c r="H181" s="36" t="s">
        <v>4250</v>
      </c>
      <c r="I181" s="36" t="s">
        <v>4251</v>
      </c>
      <c r="J181" s="36" t="s">
        <v>4252</v>
      </c>
      <c r="K181" s="36" t="s">
        <v>4253</v>
      </c>
      <c r="L181" s="36" t="s">
        <v>4254</v>
      </c>
      <c r="M181" s="36" t="s">
        <v>4255</v>
      </c>
      <c r="N181" s="36" t="s">
        <v>4256</v>
      </c>
      <c r="O181" s="36" t="s">
        <v>4257</v>
      </c>
      <c r="P181" s="36" t="s">
        <v>4244</v>
      </c>
    </row>
    <row r="182" spans="1:16">
      <c r="A182" s="139">
        <v>181</v>
      </c>
      <c r="B182" s="36" t="s">
        <v>4258</v>
      </c>
      <c r="C182" s="36" t="s">
        <v>4259</v>
      </c>
      <c r="D182" s="36" t="s">
        <v>4260</v>
      </c>
      <c r="E182" s="36" t="s">
        <v>4261</v>
      </c>
      <c r="F182" s="36" t="s">
        <v>4262</v>
      </c>
      <c r="G182" s="36" t="s">
        <v>4263</v>
      </c>
      <c r="H182" s="36" t="s">
        <v>4264</v>
      </c>
      <c r="I182" s="36" t="s">
        <v>4265</v>
      </c>
      <c r="J182" s="36" t="s">
        <v>4266</v>
      </c>
      <c r="K182" s="36" t="s">
        <v>4267</v>
      </c>
      <c r="L182" s="36" t="s">
        <v>4268</v>
      </c>
      <c r="M182" s="36" t="s">
        <v>4269</v>
      </c>
      <c r="N182" s="36" t="s">
        <v>4270</v>
      </c>
      <c r="O182" s="36" t="s">
        <v>4271</v>
      </c>
      <c r="P182" s="36" t="s">
        <v>4258</v>
      </c>
    </row>
    <row r="183" spans="1:16">
      <c r="A183" s="139">
        <v>182</v>
      </c>
      <c r="B183" s="36" t="s">
        <v>4272</v>
      </c>
      <c r="C183" s="36" t="s">
        <v>4273</v>
      </c>
      <c r="D183" s="36" t="s">
        <v>4274</v>
      </c>
      <c r="E183" s="36" t="s">
        <v>4275</v>
      </c>
      <c r="F183" s="36" t="s">
        <v>4276</v>
      </c>
      <c r="G183" s="36" t="s">
        <v>4277</v>
      </c>
      <c r="H183" s="36" t="s">
        <v>4278</v>
      </c>
      <c r="I183" s="36" t="s">
        <v>4279</v>
      </c>
      <c r="J183" s="36" t="s">
        <v>4280</v>
      </c>
      <c r="K183" s="36" t="s">
        <v>4281</v>
      </c>
      <c r="L183" s="36" t="s">
        <v>4282</v>
      </c>
      <c r="M183" s="36" t="s">
        <v>4283</v>
      </c>
      <c r="N183" s="36" t="s">
        <v>4284</v>
      </c>
      <c r="O183" s="36" t="s">
        <v>4285</v>
      </c>
      <c r="P183" s="36" t="s">
        <v>4272</v>
      </c>
    </row>
    <row r="184" spans="1:16">
      <c r="A184" s="139">
        <v>183</v>
      </c>
      <c r="B184" s="36" t="s">
        <v>4286</v>
      </c>
      <c r="C184" s="36" t="s">
        <v>4287</v>
      </c>
      <c r="D184" s="36" t="s">
        <v>4288</v>
      </c>
      <c r="E184" s="36" t="s">
        <v>4289</v>
      </c>
      <c r="F184" s="36" t="s">
        <v>4290</v>
      </c>
      <c r="G184" s="36" t="s">
        <v>4291</v>
      </c>
      <c r="H184" s="36" t="s">
        <v>4292</v>
      </c>
      <c r="I184" s="36" t="s">
        <v>4293</v>
      </c>
      <c r="J184" s="36" t="s">
        <v>4294</v>
      </c>
      <c r="K184" s="36" t="s">
        <v>4295</v>
      </c>
      <c r="L184" s="36" t="s">
        <v>4296</v>
      </c>
      <c r="M184" s="36" t="s">
        <v>4297</v>
      </c>
      <c r="N184" s="36" t="s">
        <v>4298</v>
      </c>
      <c r="O184" s="36" t="s">
        <v>4299</v>
      </c>
      <c r="P184" s="36" t="s">
        <v>4286</v>
      </c>
    </row>
    <row r="185" spans="1:16">
      <c r="A185" s="139">
        <v>184</v>
      </c>
      <c r="B185" s="36" t="s">
        <v>4300</v>
      </c>
      <c r="C185" s="36" t="s">
        <v>4287</v>
      </c>
      <c r="D185" s="36" t="s">
        <v>4301</v>
      </c>
      <c r="E185" s="36" t="s">
        <v>4302</v>
      </c>
      <c r="F185" s="36" t="s">
        <v>4303</v>
      </c>
      <c r="G185" s="36" t="s">
        <v>4304</v>
      </c>
      <c r="H185" s="36" t="s">
        <v>4305</v>
      </c>
      <c r="I185" s="36" t="s">
        <v>4306</v>
      </c>
      <c r="J185" s="36" t="s">
        <v>4307</v>
      </c>
      <c r="K185" s="36" t="s">
        <v>4308</v>
      </c>
      <c r="L185" s="36" t="s">
        <v>4309</v>
      </c>
      <c r="M185" s="36" t="s">
        <v>4310</v>
      </c>
      <c r="N185" s="36" t="s">
        <v>4311</v>
      </c>
      <c r="O185" s="36" t="s">
        <v>4312</v>
      </c>
      <c r="P185" s="36" t="s">
        <v>4300</v>
      </c>
    </row>
    <row r="186" spans="1:16">
      <c r="A186" s="139">
        <v>185</v>
      </c>
      <c r="B186" s="36" t="s">
        <v>4313</v>
      </c>
      <c r="C186" s="36" t="s">
        <v>4314</v>
      </c>
      <c r="D186" s="36" t="s">
        <v>4313</v>
      </c>
      <c r="E186" s="36" t="s">
        <v>4315</v>
      </c>
      <c r="F186" s="36" t="s">
        <v>4316</v>
      </c>
      <c r="G186" s="36" t="s">
        <v>4317</v>
      </c>
      <c r="H186" s="36" t="s">
        <v>4318</v>
      </c>
      <c r="I186" s="36" t="s">
        <v>4319</v>
      </c>
      <c r="J186" s="36" t="s">
        <v>4320</v>
      </c>
      <c r="K186" s="36" t="s">
        <v>4321</v>
      </c>
      <c r="L186" s="36" t="s">
        <v>4322</v>
      </c>
      <c r="M186" s="36" t="s">
        <v>4323</v>
      </c>
      <c r="N186" s="36" t="s">
        <v>4324</v>
      </c>
      <c r="O186" s="36" t="s">
        <v>4325</v>
      </c>
      <c r="P186" s="36" t="s">
        <v>4313</v>
      </c>
    </row>
    <row r="187" spans="1:16">
      <c r="A187" s="139">
        <v>186</v>
      </c>
      <c r="B187" s="36" t="s">
        <v>4326</v>
      </c>
      <c r="C187" s="36" t="s">
        <v>4327</v>
      </c>
      <c r="D187" s="36" t="s">
        <v>4328</v>
      </c>
      <c r="E187" s="36" t="s">
        <v>4329</v>
      </c>
      <c r="F187" s="36" t="s">
        <v>4330</v>
      </c>
      <c r="G187" s="36" t="s">
        <v>4331</v>
      </c>
      <c r="H187" s="36" t="s">
        <v>4332</v>
      </c>
      <c r="I187" s="36" t="s">
        <v>4333</v>
      </c>
      <c r="J187" s="36" t="s">
        <v>4334</v>
      </c>
      <c r="K187" s="36" t="s">
        <v>4335</v>
      </c>
      <c r="L187" s="36" t="s">
        <v>4336</v>
      </c>
      <c r="M187" s="36" t="s">
        <v>4337</v>
      </c>
      <c r="N187" s="36" t="s">
        <v>4338</v>
      </c>
      <c r="O187" s="36" t="s">
        <v>4339</v>
      </c>
      <c r="P187" s="36" t="s">
        <v>4326</v>
      </c>
    </row>
    <row r="188" spans="1:16">
      <c r="A188" s="139">
        <v>187</v>
      </c>
      <c r="B188" s="36" t="s">
        <v>4340</v>
      </c>
      <c r="C188" s="36" t="s">
        <v>4341</v>
      </c>
      <c r="D188" s="36" t="s">
        <v>4342</v>
      </c>
      <c r="E188" s="36" t="s">
        <v>4343</v>
      </c>
      <c r="F188" s="36" t="s">
        <v>4344</v>
      </c>
      <c r="G188" s="36" t="s">
        <v>4345</v>
      </c>
      <c r="H188" s="36" t="s">
        <v>4346</v>
      </c>
      <c r="I188" s="36" t="s">
        <v>4347</v>
      </c>
      <c r="J188" s="36" t="s">
        <v>4348</v>
      </c>
      <c r="K188" s="36" t="s">
        <v>4349</v>
      </c>
      <c r="L188" s="36" t="s">
        <v>4350</v>
      </c>
      <c r="M188" s="36" t="s">
        <v>4351</v>
      </c>
      <c r="N188" s="36" t="s">
        <v>4352</v>
      </c>
      <c r="O188" s="36" t="s">
        <v>4353</v>
      </c>
      <c r="P188" s="36" t="s">
        <v>4340</v>
      </c>
    </row>
    <row r="189" spans="1:16">
      <c r="A189" s="139">
        <v>188</v>
      </c>
      <c r="B189" s="36" t="s">
        <v>4354</v>
      </c>
      <c r="C189" s="36" t="s">
        <v>4355</v>
      </c>
      <c r="D189" s="36" t="s">
        <v>4356</v>
      </c>
      <c r="E189" s="36" t="s">
        <v>4357</v>
      </c>
      <c r="F189" s="36" t="s">
        <v>4358</v>
      </c>
      <c r="G189" s="36" t="s">
        <v>4359</v>
      </c>
      <c r="H189" s="36" t="s">
        <v>4360</v>
      </c>
      <c r="I189" s="36" t="s">
        <v>4361</v>
      </c>
      <c r="J189" s="36" t="s">
        <v>4362</v>
      </c>
      <c r="K189" s="36" t="s">
        <v>4363</v>
      </c>
      <c r="L189" s="36" t="s">
        <v>4364</v>
      </c>
      <c r="M189" s="36" t="s">
        <v>4365</v>
      </c>
      <c r="N189" s="36" t="s">
        <v>4366</v>
      </c>
      <c r="O189" s="36" t="s">
        <v>4367</v>
      </c>
      <c r="P189" s="36" t="s">
        <v>4354</v>
      </c>
    </row>
    <row r="190" spans="1:16">
      <c r="A190" s="139">
        <v>189</v>
      </c>
      <c r="B190" s="36" t="s">
        <v>4368</v>
      </c>
      <c r="C190" s="36" t="s">
        <v>4369</v>
      </c>
      <c r="D190" s="36" t="s">
        <v>4370</v>
      </c>
      <c r="E190" s="36" t="s">
        <v>4371</v>
      </c>
      <c r="F190" s="36" t="s">
        <v>4372</v>
      </c>
      <c r="G190" s="36" t="s">
        <v>4373</v>
      </c>
      <c r="H190" s="36" t="s">
        <v>4374</v>
      </c>
      <c r="I190" s="36" t="s">
        <v>4375</v>
      </c>
      <c r="J190" s="36" t="s">
        <v>4376</v>
      </c>
      <c r="K190" s="36" t="s">
        <v>4377</v>
      </c>
      <c r="L190" s="36" t="s">
        <v>4378</v>
      </c>
      <c r="M190" s="36" t="s">
        <v>4379</v>
      </c>
      <c r="N190" s="36" t="s">
        <v>4380</v>
      </c>
      <c r="O190" s="36" t="s">
        <v>4381</v>
      </c>
      <c r="P190" s="36" t="s">
        <v>4382</v>
      </c>
    </row>
    <row r="191" spans="1:16">
      <c r="A191" s="139">
        <v>190</v>
      </c>
      <c r="B191" s="36" t="s">
        <v>4383</v>
      </c>
      <c r="C191" s="36" t="s">
        <v>4384</v>
      </c>
      <c r="D191" s="36" t="s">
        <v>4385</v>
      </c>
      <c r="E191" s="36" t="s">
        <v>4386</v>
      </c>
      <c r="F191" s="36" t="s">
        <v>4387</v>
      </c>
      <c r="G191" s="36" t="s">
        <v>4388</v>
      </c>
      <c r="H191" s="36" t="s">
        <v>4389</v>
      </c>
      <c r="I191" s="36" t="s">
        <v>4390</v>
      </c>
      <c r="J191" s="36" t="s">
        <v>4391</v>
      </c>
      <c r="K191" s="36" t="s">
        <v>4392</v>
      </c>
      <c r="L191" s="36" t="s">
        <v>4393</v>
      </c>
      <c r="M191" s="36" t="s">
        <v>4394</v>
      </c>
      <c r="N191" s="36" t="s">
        <v>4395</v>
      </c>
      <c r="O191" s="36" t="s">
        <v>4396</v>
      </c>
      <c r="P191" s="36" t="s">
        <v>4397</v>
      </c>
    </row>
    <row r="192" spans="1:16">
      <c r="A192" s="139">
        <v>191</v>
      </c>
      <c r="B192" s="36" t="s">
        <v>4398</v>
      </c>
      <c r="C192" s="36" t="s">
        <v>4399</v>
      </c>
      <c r="D192" s="36" t="s">
        <v>4400</v>
      </c>
      <c r="E192" s="36" t="s">
        <v>4401</v>
      </c>
      <c r="F192" s="36" t="s">
        <v>4402</v>
      </c>
      <c r="G192" s="36" t="s">
        <v>4403</v>
      </c>
      <c r="H192" s="36" t="s">
        <v>4404</v>
      </c>
      <c r="I192" s="36" t="s">
        <v>4405</v>
      </c>
      <c r="J192" s="36" t="s">
        <v>4406</v>
      </c>
      <c r="K192" s="36" t="s">
        <v>4407</v>
      </c>
      <c r="L192" s="36" t="s">
        <v>4408</v>
      </c>
      <c r="M192" s="36" t="s">
        <v>4409</v>
      </c>
      <c r="N192" s="36" t="s">
        <v>4410</v>
      </c>
      <c r="O192" s="36" t="s">
        <v>4411</v>
      </c>
      <c r="P192" s="36" t="s">
        <v>4398</v>
      </c>
    </row>
    <row r="193" spans="1:16">
      <c r="A193" s="139">
        <v>192</v>
      </c>
      <c r="B193" s="36" t="s">
        <v>4412</v>
      </c>
      <c r="C193" s="36" t="s">
        <v>4413</v>
      </c>
      <c r="D193" s="36" t="s">
        <v>4414</v>
      </c>
      <c r="E193" s="36" t="s">
        <v>4415</v>
      </c>
      <c r="F193" s="36" t="s">
        <v>4416</v>
      </c>
      <c r="G193" s="36" t="s">
        <v>4417</v>
      </c>
      <c r="H193" s="36" t="s">
        <v>4418</v>
      </c>
      <c r="I193" s="36" t="s">
        <v>4419</v>
      </c>
      <c r="J193" s="36" t="s">
        <v>4420</v>
      </c>
      <c r="K193" s="36" t="s">
        <v>4421</v>
      </c>
      <c r="L193" s="36" t="s">
        <v>4422</v>
      </c>
      <c r="M193" s="36" t="s">
        <v>4423</v>
      </c>
      <c r="N193" s="36" t="s">
        <v>4424</v>
      </c>
      <c r="O193" s="36" t="s">
        <v>4425</v>
      </c>
      <c r="P193" s="36" t="s">
        <v>4412</v>
      </c>
    </row>
    <row r="194" spans="1:16">
      <c r="A194" s="139">
        <v>193</v>
      </c>
      <c r="B194" s="36" t="s">
        <v>4426</v>
      </c>
      <c r="C194" s="36" t="s">
        <v>4427</v>
      </c>
      <c r="D194" s="36" t="s">
        <v>4428</v>
      </c>
      <c r="E194" s="36" t="s">
        <v>4429</v>
      </c>
      <c r="F194" s="36" t="s">
        <v>4430</v>
      </c>
      <c r="G194" s="36" t="s">
        <v>4431</v>
      </c>
      <c r="H194" s="36" t="s">
        <v>4432</v>
      </c>
      <c r="I194" s="36" t="s">
        <v>4433</v>
      </c>
      <c r="J194" s="36" t="s">
        <v>4434</v>
      </c>
      <c r="K194" s="36" t="s">
        <v>4435</v>
      </c>
      <c r="L194" s="36" t="s">
        <v>4436</v>
      </c>
      <c r="M194" s="36" t="s">
        <v>4437</v>
      </c>
      <c r="N194" s="36" t="s">
        <v>4438</v>
      </c>
      <c r="O194" s="36" t="s">
        <v>4439</v>
      </c>
      <c r="P194" s="36" t="s">
        <v>4426</v>
      </c>
    </row>
    <row r="195" spans="1:16">
      <c r="A195" s="139">
        <v>194</v>
      </c>
      <c r="B195" s="36" t="s">
        <v>4440</v>
      </c>
      <c r="C195" s="36" t="s">
        <v>4441</v>
      </c>
      <c r="D195" s="36" t="s">
        <v>4442</v>
      </c>
      <c r="E195" s="36" t="s">
        <v>4443</v>
      </c>
      <c r="F195" s="36" t="s">
        <v>4444</v>
      </c>
      <c r="G195" s="36" t="s">
        <v>4445</v>
      </c>
      <c r="H195" s="36" t="s">
        <v>4446</v>
      </c>
      <c r="I195" s="36" t="s">
        <v>4447</v>
      </c>
      <c r="J195" s="36" t="s">
        <v>4448</v>
      </c>
      <c r="K195" s="36" t="s">
        <v>4449</v>
      </c>
      <c r="L195" s="36" t="s">
        <v>4450</v>
      </c>
      <c r="M195" s="36" t="s">
        <v>4451</v>
      </c>
      <c r="N195" s="36" t="s">
        <v>4452</v>
      </c>
      <c r="O195" s="36" t="s">
        <v>4453</v>
      </c>
      <c r="P195" s="36" t="s">
        <v>4440</v>
      </c>
    </row>
    <row r="196" spans="1:16">
      <c r="A196" s="139">
        <v>195</v>
      </c>
      <c r="B196" s="36" t="s">
        <v>4454</v>
      </c>
      <c r="C196" s="36" t="s">
        <v>4455</v>
      </c>
      <c r="D196" s="36" t="s">
        <v>4456</v>
      </c>
      <c r="E196" s="36" t="s">
        <v>4457</v>
      </c>
      <c r="F196" s="36" t="s">
        <v>4458</v>
      </c>
      <c r="G196" s="36" t="s">
        <v>4459</v>
      </c>
      <c r="H196" s="36" t="s">
        <v>4460</v>
      </c>
      <c r="I196" s="36" t="s">
        <v>4461</v>
      </c>
      <c r="J196" s="36" t="s">
        <v>4462</v>
      </c>
      <c r="K196" s="36" t="s">
        <v>4463</v>
      </c>
      <c r="L196" s="36" t="s">
        <v>4464</v>
      </c>
      <c r="M196" s="36" t="s">
        <v>4465</v>
      </c>
      <c r="N196" s="36" t="s">
        <v>4466</v>
      </c>
      <c r="O196" s="36" t="s">
        <v>4467</v>
      </c>
      <c r="P196" s="36" t="s">
        <v>4454</v>
      </c>
    </row>
    <row r="197" spans="1:16">
      <c r="A197" s="139">
        <v>196</v>
      </c>
      <c r="B197" s="36" t="s">
        <v>4468</v>
      </c>
      <c r="C197" s="36" t="s">
        <v>4469</v>
      </c>
      <c r="D197" s="36" t="s">
        <v>4470</v>
      </c>
      <c r="E197" s="36" t="s">
        <v>4471</v>
      </c>
      <c r="F197" s="36" t="s">
        <v>4472</v>
      </c>
      <c r="G197" s="36" t="s">
        <v>4473</v>
      </c>
      <c r="H197" s="36" t="s">
        <v>4474</v>
      </c>
      <c r="I197" s="36" t="s">
        <v>4475</v>
      </c>
      <c r="J197" s="36" t="s">
        <v>4476</v>
      </c>
      <c r="K197" s="36" t="s">
        <v>4477</v>
      </c>
      <c r="L197" s="36" t="s">
        <v>4478</v>
      </c>
      <c r="M197" s="36" t="s">
        <v>4479</v>
      </c>
      <c r="N197" s="36" t="s">
        <v>4480</v>
      </c>
      <c r="O197" s="36" t="s">
        <v>4481</v>
      </c>
      <c r="P197" s="36" t="s">
        <v>4468</v>
      </c>
    </row>
    <row r="198" spans="1:16">
      <c r="A198" s="139">
        <v>197</v>
      </c>
      <c r="B198" s="36" t="s">
        <v>4482</v>
      </c>
      <c r="C198" s="36" t="s">
        <v>4483</v>
      </c>
      <c r="D198" s="36" t="s">
        <v>4484</v>
      </c>
      <c r="E198" s="36" t="s">
        <v>4485</v>
      </c>
      <c r="F198" s="36" t="s">
        <v>4486</v>
      </c>
      <c r="G198" s="36" t="s">
        <v>4487</v>
      </c>
      <c r="H198" s="36" t="s">
        <v>4488</v>
      </c>
      <c r="I198" s="36" t="s">
        <v>4489</v>
      </c>
      <c r="J198" s="36" t="s">
        <v>4490</v>
      </c>
      <c r="K198" s="36" t="s">
        <v>4491</v>
      </c>
      <c r="L198" s="36" t="s">
        <v>4492</v>
      </c>
      <c r="M198" s="36" t="s">
        <v>4493</v>
      </c>
      <c r="N198" s="36" t="s">
        <v>4494</v>
      </c>
      <c r="O198" s="36" t="s">
        <v>4495</v>
      </c>
      <c r="P198" s="36" t="s">
        <v>4482</v>
      </c>
    </row>
    <row r="199" spans="1:16">
      <c r="A199" s="139">
        <v>198</v>
      </c>
      <c r="B199" s="36" t="s">
        <v>4496</v>
      </c>
      <c r="C199" s="36" t="s">
        <v>4496</v>
      </c>
      <c r="D199" s="36" t="s">
        <v>4496</v>
      </c>
      <c r="E199" s="36" t="s">
        <v>4496</v>
      </c>
      <c r="F199" s="36" t="s">
        <v>4496</v>
      </c>
      <c r="G199" s="36" t="s">
        <v>4496</v>
      </c>
      <c r="H199" s="36" t="s">
        <v>4496</v>
      </c>
      <c r="I199" s="36" t="s">
        <v>4496</v>
      </c>
      <c r="J199" s="36" t="s">
        <v>4496</v>
      </c>
      <c r="K199" s="36" t="s">
        <v>4496</v>
      </c>
      <c r="L199" s="36" t="s">
        <v>4496</v>
      </c>
      <c r="M199" s="36" t="s">
        <v>4496</v>
      </c>
      <c r="N199" s="36" t="s">
        <v>4496</v>
      </c>
      <c r="O199" s="36" t="s">
        <v>4496</v>
      </c>
      <c r="P199" s="36" t="s">
        <v>4496</v>
      </c>
    </row>
    <row r="200" spans="1:16">
      <c r="A200" s="139">
        <v>199</v>
      </c>
      <c r="B200" s="36" t="s">
        <v>4497</v>
      </c>
      <c r="C200" s="36" t="s">
        <v>4498</v>
      </c>
      <c r="D200" s="36" t="s">
        <v>4499</v>
      </c>
      <c r="E200" s="36" t="s">
        <v>4500</v>
      </c>
      <c r="F200" s="36" t="s">
        <v>4501</v>
      </c>
      <c r="G200" s="36" t="s">
        <v>4502</v>
      </c>
      <c r="H200" s="36" t="s">
        <v>4503</v>
      </c>
      <c r="I200" s="36" t="s">
        <v>4504</v>
      </c>
      <c r="J200" s="36" t="s">
        <v>4505</v>
      </c>
      <c r="K200" s="36" t="s">
        <v>4506</v>
      </c>
      <c r="L200" s="36" t="s">
        <v>4507</v>
      </c>
      <c r="M200" s="36" t="s">
        <v>4508</v>
      </c>
      <c r="N200" s="36" t="s">
        <v>4509</v>
      </c>
      <c r="O200" s="36" t="s">
        <v>4510</v>
      </c>
      <c r="P200" s="36" t="s">
        <v>4497</v>
      </c>
    </row>
    <row r="201" spans="1:16">
      <c r="A201" s="139">
        <v>200</v>
      </c>
      <c r="B201" s="36" t="s">
        <v>4511</v>
      </c>
      <c r="C201" s="36" t="s">
        <v>4512</v>
      </c>
      <c r="D201" s="36" t="s">
        <v>4513</v>
      </c>
      <c r="E201" s="36" t="s">
        <v>4514</v>
      </c>
      <c r="F201" s="36" t="s">
        <v>4515</v>
      </c>
      <c r="G201" s="36" t="s">
        <v>4516</v>
      </c>
      <c r="H201" s="36" t="s">
        <v>4517</v>
      </c>
      <c r="I201" s="36" t="s">
        <v>4518</v>
      </c>
      <c r="J201" s="36" t="s">
        <v>4519</v>
      </c>
      <c r="K201" s="36" t="s">
        <v>4520</v>
      </c>
      <c r="L201" s="36" t="s">
        <v>4521</v>
      </c>
      <c r="M201" s="36" t="s">
        <v>4522</v>
      </c>
      <c r="N201" s="36" t="s">
        <v>4523</v>
      </c>
      <c r="O201" s="36" t="s">
        <v>4524</v>
      </c>
      <c r="P201" s="36" t="s">
        <v>4511</v>
      </c>
    </row>
    <row r="202" spans="1:16">
      <c r="A202" s="139">
        <v>201</v>
      </c>
      <c r="B202" s="36" t="s">
        <v>4525</v>
      </c>
      <c r="C202" s="36" t="s">
        <v>4526</v>
      </c>
      <c r="D202" s="36" t="s">
        <v>4527</v>
      </c>
      <c r="E202" s="36" t="s">
        <v>4528</v>
      </c>
      <c r="F202" s="36" t="s">
        <v>4529</v>
      </c>
      <c r="G202" s="36" t="s">
        <v>4530</v>
      </c>
      <c r="H202" s="36" t="s">
        <v>4531</v>
      </c>
      <c r="I202" s="36" t="s">
        <v>4532</v>
      </c>
      <c r="J202" s="36" t="s">
        <v>4533</v>
      </c>
      <c r="K202" s="36" t="s">
        <v>4534</v>
      </c>
      <c r="L202" s="36" t="s">
        <v>4535</v>
      </c>
      <c r="M202" s="36" t="s">
        <v>4536</v>
      </c>
      <c r="N202" s="36" t="s">
        <v>4537</v>
      </c>
      <c r="O202" s="36" t="s">
        <v>4538</v>
      </c>
      <c r="P202" s="36" t="s">
        <v>4525</v>
      </c>
    </row>
    <row r="203" spans="1:16" ht="13.95" customHeight="1">
      <c r="A203" s="139">
        <v>202</v>
      </c>
      <c r="B203" s="36" t="s">
        <v>4539</v>
      </c>
      <c r="C203" s="36" t="s">
        <v>4540</v>
      </c>
      <c r="D203" s="36" t="s">
        <v>4541</v>
      </c>
      <c r="E203" s="36" t="s">
        <v>4542</v>
      </c>
      <c r="F203" s="36" t="s">
        <v>4543</v>
      </c>
      <c r="G203" s="36" t="s">
        <v>4544</v>
      </c>
      <c r="H203" s="36" t="s">
        <v>4545</v>
      </c>
      <c r="I203" s="36" t="s">
        <v>4546</v>
      </c>
      <c r="J203" s="36" t="s">
        <v>4547</v>
      </c>
      <c r="K203" s="36" t="s">
        <v>4548</v>
      </c>
      <c r="L203" s="36" t="s">
        <v>4549</v>
      </c>
      <c r="M203" s="36" t="s">
        <v>4550</v>
      </c>
      <c r="N203" s="36" t="s">
        <v>4551</v>
      </c>
      <c r="O203" s="36" t="s">
        <v>4552</v>
      </c>
      <c r="P203" s="36" t="s">
        <v>4539</v>
      </c>
    </row>
    <row r="204" spans="1:16">
      <c r="A204" s="139">
        <v>203</v>
      </c>
      <c r="B204" s="36" t="s">
        <v>4553</v>
      </c>
      <c r="C204" s="36" t="s">
        <v>4554</v>
      </c>
      <c r="D204" s="36" t="s">
        <v>4555</v>
      </c>
      <c r="E204" s="36" t="s">
        <v>4556</v>
      </c>
      <c r="F204" s="36" t="s">
        <v>4557</v>
      </c>
      <c r="G204" s="36" t="s">
        <v>4558</v>
      </c>
      <c r="H204" s="36" t="s">
        <v>4559</v>
      </c>
      <c r="I204" s="36" t="s">
        <v>4560</v>
      </c>
      <c r="J204" s="36" t="s">
        <v>4561</v>
      </c>
      <c r="K204" s="36" t="s">
        <v>4562</v>
      </c>
      <c r="L204" s="36" t="s">
        <v>4563</v>
      </c>
      <c r="M204" s="36" t="s">
        <v>4564</v>
      </c>
      <c r="N204" s="36" t="s">
        <v>4565</v>
      </c>
      <c r="O204" s="36" t="s">
        <v>4560</v>
      </c>
      <c r="P204" s="36" t="s">
        <v>4553</v>
      </c>
    </row>
    <row r="205" spans="1:16">
      <c r="A205" s="139">
        <v>204</v>
      </c>
      <c r="B205" s="36" t="s">
        <v>4566</v>
      </c>
      <c r="C205" s="36" t="s">
        <v>4567</v>
      </c>
      <c r="D205" s="36" t="s">
        <v>4568</v>
      </c>
      <c r="E205" s="36" t="s">
        <v>4569</v>
      </c>
      <c r="F205" s="36" t="s">
        <v>4570</v>
      </c>
      <c r="G205" s="36" t="s">
        <v>4571</v>
      </c>
      <c r="H205" s="36" t="s">
        <v>4572</v>
      </c>
      <c r="I205" s="36" t="s">
        <v>4573</v>
      </c>
      <c r="J205" s="36" t="s">
        <v>4574</v>
      </c>
      <c r="K205" s="36" t="s">
        <v>4575</v>
      </c>
      <c r="L205" s="36" t="s">
        <v>4576</v>
      </c>
      <c r="M205" s="36" t="s">
        <v>4577</v>
      </c>
      <c r="N205" s="36" t="s">
        <v>4576</v>
      </c>
      <c r="O205" s="36" t="s">
        <v>4578</v>
      </c>
      <c r="P205" s="36" t="s">
        <v>4566</v>
      </c>
    </row>
    <row r="206" spans="1:16">
      <c r="A206" s="139">
        <v>205</v>
      </c>
      <c r="B206" s="36" t="s">
        <v>4579</v>
      </c>
      <c r="C206" s="36" t="s">
        <v>4580</v>
      </c>
      <c r="D206" s="36" t="s">
        <v>4581</v>
      </c>
      <c r="E206" s="36" t="s">
        <v>4582</v>
      </c>
      <c r="F206" s="36" t="s">
        <v>4583</v>
      </c>
      <c r="G206" s="36" t="s">
        <v>4584</v>
      </c>
      <c r="H206" s="36" t="s">
        <v>4585</v>
      </c>
      <c r="I206" s="36" t="s">
        <v>4583</v>
      </c>
      <c r="J206" s="36" t="s">
        <v>4586</v>
      </c>
      <c r="K206" s="36" t="s">
        <v>4587</v>
      </c>
      <c r="L206" s="36" t="s">
        <v>4588</v>
      </c>
      <c r="M206" s="36" t="s">
        <v>4589</v>
      </c>
      <c r="N206" s="36" t="s">
        <v>4590</v>
      </c>
      <c r="O206" s="36" t="s">
        <v>4591</v>
      </c>
      <c r="P206" s="36" t="s">
        <v>4579</v>
      </c>
    </row>
    <row r="207" spans="1:16">
      <c r="A207" s="139">
        <v>206</v>
      </c>
      <c r="B207" s="36" t="s">
        <v>4592</v>
      </c>
      <c r="C207" s="36" t="s">
        <v>4593</v>
      </c>
      <c r="D207" s="36" t="s">
        <v>4594</v>
      </c>
      <c r="E207" s="36" t="s">
        <v>4595</v>
      </c>
      <c r="F207" s="36" t="s">
        <v>4596</v>
      </c>
      <c r="G207" s="36" t="s">
        <v>4597</v>
      </c>
      <c r="H207" s="36" t="s">
        <v>4598</v>
      </c>
      <c r="I207" s="36" t="s">
        <v>4599</v>
      </c>
      <c r="J207" s="36" t="s">
        <v>4600</v>
      </c>
      <c r="K207" s="36" t="s">
        <v>4601</v>
      </c>
      <c r="L207" s="36" t="s">
        <v>4602</v>
      </c>
      <c r="M207" s="36" t="s">
        <v>4603</v>
      </c>
      <c r="N207" s="36" t="s">
        <v>4604</v>
      </c>
      <c r="O207" s="36" t="s">
        <v>4605</v>
      </c>
      <c r="P207" s="36" t="s">
        <v>4592</v>
      </c>
    </row>
    <row r="208" spans="1:16">
      <c r="A208" s="139">
        <v>207</v>
      </c>
      <c r="B208" s="36" t="s">
        <v>4606</v>
      </c>
      <c r="C208" s="36" t="s">
        <v>4607</v>
      </c>
      <c r="D208" s="36" t="s">
        <v>4608</v>
      </c>
      <c r="E208" s="36" t="s">
        <v>4609</v>
      </c>
      <c r="F208" s="36" t="s">
        <v>4610</v>
      </c>
      <c r="G208" s="36" t="s">
        <v>4611</v>
      </c>
      <c r="H208" s="36" t="s">
        <v>4612</v>
      </c>
      <c r="I208" s="36" t="s">
        <v>4613</v>
      </c>
      <c r="J208" s="36" t="s">
        <v>4614</v>
      </c>
      <c r="K208" s="36" t="s">
        <v>4615</v>
      </c>
      <c r="L208" s="36" t="s">
        <v>4616</v>
      </c>
      <c r="M208" s="36" t="s">
        <v>4617</v>
      </c>
      <c r="N208" s="36" t="s">
        <v>4618</v>
      </c>
      <c r="O208" s="36" t="s">
        <v>4619</v>
      </c>
      <c r="P208" s="36" t="s">
        <v>4606</v>
      </c>
    </row>
    <row r="209" spans="1:16">
      <c r="A209" s="139">
        <v>208</v>
      </c>
      <c r="B209" s="36" t="s">
        <v>4620</v>
      </c>
      <c r="C209" s="36" t="s">
        <v>4621</v>
      </c>
      <c r="D209" s="36" t="s">
        <v>4622</v>
      </c>
      <c r="E209" s="36" t="s">
        <v>4623</v>
      </c>
      <c r="F209" s="36" t="s">
        <v>4624</v>
      </c>
      <c r="G209" s="36" t="s">
        <v>4625</v>
      </c>
      <c r="H209" s="36" t="s">
        <v>4626</v>
      </c>
      <c r="I209" s="36" t="s">
        <v>4627</v>
      </c>
      <c r="J209" s="36" t="s">
        <v>4628</v>
      </c>
      <c r="K209" s="36" t="s">
        <v>4629</v>
      </c>
      <c r="L209" s="36" t="s">
        <v>4630</v>
      </c>
      <c r="M209" s="36" t="s">
        <v>4631</v>
      </c>
      <c r="N209" s="36" t="s">
        <v>4632</v>
      </c>
      <c r="O209" s="36" t="s">
        <v>4633</v>
      </c>
      <c r="P209" s="36" t="s">
        <v>4620</v>
      </c>
    </row>
    <row r="210" spans="1:16">
      <c r="A210" s="139">
        <v>209</v>
      </c>
      <c r="B210" s="36" t="s">
        <v>4634</v>
      </c>
      <c r="C210" s="36" t="s">
        <v>4635</v>
      </c>
      <c r="D210" s="36" t="s">
        <v>4636</v>
      </c>
      <c r="E210" s="36" t="s">
        <v>4637</v>
      </c>
      <c r="F210" s="36" t="s">
        <v>4638</v>
      </c>
      <c r="G210" s="36" t="s">
        <v>4639</v>
      </c>
      <c r="H210" s="36" t="s">
        <v>4640</v>
      </c>
      <c r="I210" s="36" t="s">
        <v>4641</v>
      </c>
      <c r="J210" s="36" t="s">
        <v>4642</v>
      </c>
      <c r="K210" s="36" t="s">
        <v>4643</v>
      </c>
      <c r="L210" s="36" t="s">
        <v>4644</v>
      </c>
      <c r="M210" s="36" t="s">
        <v>4645</v>
      </c>
      <c r="N210" s="36" t="s">
        <v>4646</v>
      </c>
      <c r="O210" s="36" t="s">
        <v>4647</v>
      </c>
      <c r="P210" s="36" t="s">
        <v>4634</v>
      </c>
    </row>
    <row r="211" spans="1:16">
      <c r="A211" s="139">
        <v>210</v>
      </c>
      <c r="B211" s="36" t="s">
        <v>4648</v>
      </c>
      <c r="C211" s="36" t="s">
        <v>4649</v>
      </c>
      <c r="D211" s="36" t="s">
        <v>4650</v>
      </c>
      <c r="E211" s="36" t="s">
        <v>4651</v>
      </c>
      <c r="F211" s="36" t="s">
        <v>4652</v>
      </c>
      <c r="G211" s="36" t="s">
        <v>4653</v>
      </c>
      <c r="H211" s="36" t="s">
        <v>4654</v>
      </c>
      <c r="I211" s="36" t="s">
        <v>4655</v>
      </c>
      <c r="J211" s="36" t="s">
        <v>4656</v>
      </c>
      <c r="K211" s="36" t="s">
        <v>4657</v>
      </c>
      <c r="L211" s="36" t="s">
        <v>4658</v>
      </c>
      <c r="M211" s="36" t="s">
        <v>4659</v>
      </c>
      <c r="N211" s="36" t="s">
        <v>4660</v>
      </c>
      <c r="O211" s="36" t="s">
        <v>4661</v>
      </c>
      <c r="P211" s="36" t="s">
        <v>4648</v>
      </c>
    </row>
    <row r="212" spans="1:16">
      <c r="A212" s="139">
        <v>211</v>
      </c>
      <c r="B212" s="36" t="s">
        <v>4662</v>
      </c>
      <c r="C212" s="36" t="s">
        <v>4663</v>
      </c>
      <c r="D212" s="36" t="s">
        <v>4664</v>
      </c>
      <c r="E212" s="36" t="s">
        <v>4665</v>
      </c>
      <c r="F212" s="36" t="s">
        <v>4666</v>
      </c>
      <c r="G212" s="36" t="s">
        <v>4667</v>
      </c>
      <c r="H212" s="36" t="s">
        <v>4668</v>
      </c>
      <c r="I212" s="36" t="s">
        <v>4669</v>
      </c>
      <c r="J212" s="36" t="s">
        <v>4670</v>
      </c>
      <c r="K212" s="36" t="s">
        <v>4671</v>
      </c>
      <c r="L212" s="36" t="s">
        <v>4672</v>
      </c>
      <c r="M212" s="36" t="s">
        <v>4673</v>
      </c>
      <c r="N212" s="36" t="s">
        <v>4674</v>
      </c>
      <c r="O212" s="36" t="s">
        <v>4675</v>
      </c>
      <c r="P212" s="36" t="s">
        <v>4662</v>
      </c>
    </row>
    <row r="213" spans="1:16">
      <c r="A213" s="139">
        <v>212</v>
      </c>
      <c r="B213" s="36" t="s">
        <v>4676</v>
      </c>
      <c r="C213" s="36" t="s">
        <v>4677</v>
      </c>
      <c r="D213" s="36" t="s">
        <v>4678</v>
      </c>
      <c r="E213" s="36" t="s">
        <v>4679</v>
      </c>
      <c r="F213" s="36" t="s">
        <v>4680</v>
      </c>
      <c r="G213" s="36" t="s">
        <v>4681</v>
      </c>
      <c r="H213" s="36" t="s">
        <v>4682</v>
      </c>
      <c r="I213" s="36" t="s">
        <v>4683</v>
      </c>
      <c r="J213" s="36" t="s">
        <v>4684</v>
      </c>
      <c r="K213" s="36" t="s">
        <v>4685</v>
      </c>
      <c r="L213" s="36" t="s">
        <v>4686</v>
      </c>
      <c r="M213" s="36" t="s">
        <v>4687</v>
      </c>
      <c r="N213" s="36" t="s">
        <v>4688</v>
      </c>
      <c r="O213" s="36" t="s">
        <v>4689</v>
      </c>
      <c r="P213" s="36" t="s">
        <v>4676</v>
      </c>
    </row>
    <row r="214" spans="1:16">
      <c r="A214" s="139">
        <v>213</v>
      </c>
      <c r="B214" s="36" t="s">
        <v>4690</v>
      </c>
      <c r="C214" s="36" t="s">
        <v>4691</v>
      </c>
      <c r="D214" s="36" t="s">
        <v>4692</v>
      </c>
      <c r="E214" s="36" t="s">
        <v>4693</v>
      </c>
      <c r="F214" s="36" t="s">
        <v>4694</v>
      </c>
      <c r="G214" s="36" t="s">
        <v>4695</v>
      </c>
      <c r="H214" s="36" t="s">
        <v>4696</v>
      </c>
      <c r="I214" s="36" t="s">
        <v>4697</v>
      </c>
      <c r="J214" s="36" t="s">
        <v>4698</v>
      </c>
      <c r="K214" s="36" t="s">
        <v>4699</v>
      </c>
      <c r="L214" s="36" t="s">
        <v>4700</v>
      </c>
      <c r="M214" s="36" t="s">
        <v>4701</v>
      </c>
      <c r="N214" s="36" t="s">
        <v>4702</v>
      </c>
      <c r="O214" s="36" t="s">
        <v>4703</v>
      </c>
      <c r="P214" s="36" t="s">
        <v>4690</v>
      </c>
    </row>
    <row r="215" spans="1:16">
      <c r="A215" s="139">
        <v>214</v>
      </c>
      <c r="B215" s="36" t="s">
        <v>4704</v>
      </c>
      <c r="C215" s="36" t="s">
        <v>4705</v>
      </c>
      <c r="D215" s="36" t="s">
        <v>4706</v>
      </c>
      <c r="E215" s="36" t="s">
        <v>4707</v>
      </c>
      <c r="F215" s="36" t="s">
        <v>4708</v>
      </c>
      <c r="G215" s="36" t="s">
        <v>4709</v>
      </c>
      <c r="H215" s="36" t="s">
        <v>4710</v>
      </c>
      <c r="I215" s="36" t="s">
        <v>4711</v>
      </c>
      <c r="J215" s="36" t="s">
        <v>4712</v>
      </c>
      <c r="K215" s="36" t="s">
        <v>4713</v>
      </c>
      <c r="L215" s="36" t="s">
        <v>4714</v>
      </c>
      <c r="M215" s="36" t="s">
        <v>4715</v>
      </c>
      <c r="N215" s="36" t="s">
        <v>4716</v>
      </c>
      <c r="O215" s="36" t="s">
        <v>4717</v>
      </c>
      <c r="P215" s="36" t="s">
        <v>4704</v>
      </c>
    </row>
    <row r="216" spans="1:16">
      <c r="A216" s="139">
        <v>215</v>
      </c>
      <c r="B216" s="36" t="s">
        <v>4718</v>
      </c>
      <c r="C216" s="36" t="s">
        <v>4719</v>
      </c>
      <c r="D216" s="36" t="s">
        <v>4720</v>
      </c>
      <c r="E216" s="36" t="s">
        <v>4721</v>
      </c>
      <c r="F216" s="36" t="s">
        <v>4722</v>
      </c>
      <c r="G216" s="36" t="s">
        <v>4723</v>
      </c>
      <c r="H216" s="36" t="s">
        <v>4724</v>
      </c>
      <c r="I216" s="36" t="s">
        <v>4725</v>
      </c>
      <c r="J216" s="36" t="s">
        <v>4726</v>
      </c>
      <c r="K216" s="36" t="s">
        <v>4727</v>
      </c>
      <c r="L216" s="36" t="s">
        <v>4728</v>
      </c>
      <c r="M216" s="36" t="s">
        <v>4729</v>
      </c>
      <c r="N216" s="36" t="s">
        <v>4730</v>
      </c>
      <c r="O216" s="36" t="s">
        <v>4731</v>
      </c>
      <c r="P216" s="36" t="s">
        <v>4718</v>
      </c>
    </row>
    <row r="217" spans="1:16" ht="13.95" customHeight="1">
      <c r="A217" s="139">
        <v>216</v>
      </c>
      <c r="B217" s="36" t="s">
        <v>4732</v>
      </c>
      <c r="C217" s="36" t="s">
        <v>4733</v>
      </c>
      <c r="D217" s="36" t="s">
        <v>4734</v>
      </c>
      <c r="E217" s="36" t="s">
        <v>4735</v>
      </c>
      <c r="F217" s="36" t="s">
        <v>4736</v>
      </c>
      <c r="G217" s="36" t="s">
        <v>4737</v>
      </c>
      <c r="H217" s="36" t="s">
        <v>4738</v>
      </c>
      <c r="I217" s="36" t="s">
        <v>4739</v>
      </c>
      <c r="J217" s="36" t="s">
        <v>4740</v>
      </c>
      <c r="K217" s="36" t="s">
        <v>4741</v>
      </c>
      <c r="L217" s="36" t="s">
        <v>4742</v>
      </c>
      <c r="M217" s="36" t="s">
        <v>4743</v>
      </c>
      <c r="N217" s="36" t="s">
        <v>4744</v>
      </c>
      <c r="O217" s="36" t="s">
        <v>4745</v>
      </c>
      <c r="P217" s="36" t="s">
        <v>4732</v>
      </c>
    </row>
    <row r="218" spans="1:16">
      <c r="A218" s="139">
        <v>217</v>
      </c>
      <c r="B218" s="36" t="s">
        <v>4746</v>
      </c>
      <c r="C218" s="36" t="s">
        <v>4747</v>
      </c>
      <c r="D218" s="36" t="s">
        <v>4748</v>
      </c>
      <c r="E218" s="36" t="s">
        <v>4749</v>
      </c>
      <c r="F218" s="36" t="s">
        <v>4750</v>
      </c>
      <c r="G218" s="36" t="s">
        <v>4751</v>
      </c>
      <c r="H218" s="36" t="s">
        <v>4752</v>
      </c>
      <c r="I218" s="36" t="s">
        <v>4753</v>
      </c>
      <c r="J218" s="36" t="s">
        <v>4754</v>
      </c>
      <c r="K218" s="36" t="s">
        <v>4755</v>
      </c>
      <c r="L218" s="36" t="s">
        <v>4756</v>
      </c>
      <c r="M218" s="36" t="s">
        <v>4757</v>
      </c>
      <c r="N218" s="36" t="s">
        <v>4758</v>
      </c>
      <c r="O218" s="36" t="s">
        <v>4759</v>
      </c>
      <c r="P218" s="36" t="s">
        <v>4746</v>
      </c>
    </row>
    <row r="219" spans="1:16">
      <c r="A219" s="139">
        <v>218</v>
      </c>
      <c r="B219" s="36" t="s">
        <v>4760</v>
      </c>
      <c r="C219" s="36" t="s">
        <v>4761</v>
      </c>
      <c r="D219" s="36" t="s">
        <v>4762</v>
      </c>
      <c r="E219" s="36" t="s">
        <v>4763</v>
      </c>
      <c r="F219" s="36" t="s">
        <v>4764</v>
      </c>
      <c r="G219" s="36" t="s">
        <v>4765</v>
      </c>
      <c r="H219" s="36" t="s">
        <v>4766</v>
      </c>
      <c r="I219" s="36" t="s">
        <v>4767</v>
      </c>
      <c r="J219" s="36" t="s">
        <v>4768</v>
      </c>
      <c r="K219" s="36" t="s">
        <v>4769</v>
      </c>
      <c r="L219" s="36" t="s">
        <v>4770</v>
      </c>
      <c r="M219" s="36" t="s">
        <v>4771</v>
      </c>
      <c r="N219" s="36" t="s">
        <v>4772</v>
      </c>
      <c r="O219" s="36" t="s">
        <v>4773</v>
      </c>
      <c r="P219" s="36" t="s">
        <v>4760</v>
      </c>
    </row>
    <row r="220" spans="1:16">
      <c r="A220" s="139">
        <v>219</v>
      </c>
      <c r="B220" s="36" t="s">
        <v>4774</v>
      </c>
      <c r="C220" s="36" t="s">
        <v>4775</v>
      </c>
      <c r="D220" s="36" t="s">
        <v>4776</v>
      </c>
      <c r="E220" s="36" t="s">
        <v>4777</v>
      </c>
      <c r="F220" s="36" t="s">
        <v>4778</v>
      </c>
      <c r="G220" s="36" t="s">
        <v>4779</v>
      </c>
      <c r="H220" s="36" t="s">
        <v>4780</v>
      </c>
      <c r="I220" s="36" t="s">
        <v>4781</v>
      </c>
      <c r="J220" s="36" t="s">
        <v>4782</v>
      </c>
      <c r="K220" s="36" t="s">
        <v>4783</v>
      </c>
      <c r="L220" s="36" t="s">
        <v>4784</v>
      </c>
      <c r="M220" s="36" t="s">
        <v>4785</v>
      </c>
      <c r="N220" s="36" t="s">
        <v>4786</v>
      </c>
      <c r="O220" s="36" t="s">
        <v>4787</v>
      </c>
      <c r="P220" s="36" t="s">
        <v>4774</v>
      </c>
    </row>
    <row r="221" spans="1:16">
      <c r="A221" s="139">
        <v>220</v>
      </c>
      <c r="B221" s="36" t="s">
        <v>4788</v>
      </c>
      <c r="C221" s="36" t="s">
        <v>4789</v>
      </c>
      <c r="D221" s="36" t="s">
        <v>4790</v>
      </c>
      <c r="E221" s="36" t="s">
        <v>4791</v>
      </c>
      <c r="F221" s="36" t="s">
        <v>4792</v>
      </c>
      <c r="G221" s="36" t="s">
        <v>4793</v>
      </c>
      <c r="H221" s="36" t="s">
        <v>4794</v>
      </c>
      <c r="I221" s="36" t="s">
        <v>4795</v>
      </c>
      <c r="J221" s="36" t="s">
        <v>4796</v>
      </c>
      <c r="K221" s="36" t="s">
        <v>4797</v>
      </c>
      <c r="L221" s="36" t="s">
        <v>4798</v>
      </c>
      <c r="M221" s="36" t="s">
        <v>4799</v>
      </c>
      <c r="N221" s="36" t="s">
        <v>4800</v>
      </c>
      <c r="O221" s="36" t="s">
        <v>4801</v>
      </c>
      <c r="P221" s="36" t="s">
        <v>4788</v>
      </c>
    </row>
    <row r="222" spans="1:16">
      <c r="A222" s="139">
        <v>221</v>
      </c>
      <c r="B222" s="36" t="s">
        <v>4802</v>
      </c>
      <c r="C222" s="36" t="s">
        <v>4803</v>
      </c>
      <c r="D222" s="36" t="s">
        <v>4804</v>
      </c>
      <c r="E222" s="36" t="s">
        <v>4805</v>
      </c>
      <c r="F222" s="36" t="s">
        <v>4806</v>
      </c>
      <c r="G222" s="36" t="s">
        <v>4807</v>
      </c>
      <c r="H222" s="36" t="s">
        <v>4808</v>
      </c>
      <c r="I222" s="36" t="s">
        <v>4809</v>
      </c>
      <c r="J222" s="36" t="s">
        <v>4810</v>
      </c>
      <c r="K222" s="36" t="s">
        <v>4811</v>
      </c>
      <c r="L222" s="36" t="s">
        <v>4812</v>
      </c>
      <c r="M222" s="36" t="s">
        <v>4813</v>
      </c>
      <c r="N222" s="36" t="s">
        <v>4814</v>
      </c>
      <c r="O222" s="36" t="s">
        <v>4815</v>
      </c>
      <c r="P222" s="36" t="s">
        <v>4802</v>
      </c>
    </row>
    <row r="223" spans="1:16">
      <c r="A223" s="139">
        <v>222</v>
      </c>
      <c r="B223" s="36" t="s">
        <v>4816</v>
      </c>
      <c r="C223" s="36" t="s">
        <v>4817</v>
      </c>
      <c r="D223" s="36" t="s">
        <v>4818</v>
      </c>
      <c r="E223" s="36" t="s">
        <v>4819</v>
      </c>
      <c r="F223" s="36" t="s">
        <v>4820</v>
      </c>
      <c r="G223" s="36" t="s">
        <v>4821</v>
      </c>
      <c r="H223" s="36" t="s">
        <v>4822</v>
      </c>
      <c r="I223" s="36" t="s">
        <v>4823</v>
      </c>
      <c r="J223" s="36" t="s">
        <v>4824</v>
      </c>
      <c r="K223" s="36" t="s">
        <v>4825</v>
      </c>
      <c r="L223" s="36" t="s">
        <v>4826</v>
      </c>
      <c r="M223" s="36" t="s">
        <v>4827</v>
      </c>
      <c r="N223" s="36" t="s">
        <v>4828</v>
      </c>
      <c r="O223" s="36" t="s">
        <v>4829</v>
      </c>
      <c r="P223" s="36" t="s">
        <v>4816</v>
      </c>
    </row>
    <row r="224" spans="1:16">
      <c r="A224" s="139">
        <v>223</v>
      </c>
      <c r="B224" s="36" t="s">
        <v>4830</v>
      </c>
      <c r="C224" s="36" t="s">
        <v>4831</v>
      </c>
      <c r="D224" s="36" t="s">
        <v>4832</v>
      </c>
      <c r="E224" s="36" t="s">
        <v>4833</v>
      </c>
      <c r="F224" s="36" t="s">
        <v>4834</v>
      </c>
      <c r="G224" s="36" t="s">
        <v>4835</v>
      </c>
      <c r="H224" s="36" t="s">
        <v>4836</v>
      </c>
      <c r="I224" s="36" t="s">
        <v>4837</v>
      </c>
      <c r="J224" s="36" t="s">
        <v>4838</v>
      </c>
      <c r="K224" s="36" t="s">
        <v>4839</v>
      </c>
      <c r="L224" s="36" t="s">
        <v>4840</v>
      </c>
      <c r="M224" s="36" t="s">
        <v>4841</v>
      </c>
      <c r="N224" s="36" t="s">
        <v>4842</v>
      </c>
      <c r="O224" s="36" t="s">
        <v>4843</v>
      </c>
      <c r="P224" s="36" t="s">
        <v>4830</v>
      </c>
    </row>
    <row r="225" spans="1:16">
      <c r="A225" s="139">
        <v>224</v>
      </c>
      <c r="B225" s="36" t="s">
        <v>4844</v>
      </c>
      <c r="C225" s="36" t="s">
        <v>4845</v>
      </c>
      <c r="D225" s="36" t="s">
        <v>4846</v>
      </c>
      <c r="E225" s="36" t="s">
        <v>4847</v>
      </c>
      <c r="F225" s="36" t="s">
        <v>4848</v>
      </c>
      <c r="G225" s="36" t="s">
        <v>4849</v>
      </c>
      <c r="H225" s="36" t="s">
        <v>4850</v>
      </c>
      <c r="I225" s="36" t="s">
        <v>4851</v>
      </c>
      <c r="J225" s="36" t="s">
        <v>4852</v>
      </c>
      <c r="K225" s="36" t="s">
        <v>4853</v>
      </c>
      <c r="L225" s="36" t="s">
        <v>4854</v>
      </c>
      <c r="M225" s="36" t="s">
        <v>4855</v>
      </c>
      <c r="N225" s="36" t="s">
        <v>4856</v>
      </c>
      <c r="O225" s="36" t="s">
        <v>4857</v>
      </c>
      <c r="P225" s="36" t="s">
        <v>4844</v>
      </c>
    </row>
    <row r="226" spans="1:16">
      <c r="A226" s="139">
        <v>225</v>
      </c>
      <c r="B226" s="36" t="s">
        <v>4858</v>
      </c>
      <c r="C226" s="36" t="s">
        <v>4859</v>
      </c>
      <c r="D226" s="36" t="s">
        <v>4860</v>
      </c>
      <c r="E226" s="36" t="s">
        <v>4861</v>
      </c>
      <c r="F226" s="36" t="s">
        <v>4862</v>
      </c>
      <c r="G226" s="36" t="s">
        <v>4863</v>
      </c>
      <c r="H226" s="36" t="s">
        <v>4864</v>
      </c>
      <c r="I226" s="36" t="s">
        <v>4865</v>
      </c>
      <c r="J226" s="36" t="s">
        <v>4866</v>
      </c>
      <c r="K226" s="36" t="s">
        <v>4867</v>
      </c>
      <c r="L226" s="36" t="s">
        <v>4868</v>
      </c>
      <c r="M226" s="36" t="s">
        <v>4869</v>
      </c>
      <c r="N226" s="36" t="s">
        <v>4870</v>
      </c>
      <c r="O226" s="36" t="s">
        <v>4871</v>
      </c>
      <c r="P226" s="36" t="s">
        <v>4858</v>
      </c>
    </row>
    <row r="227" spans="1:16">
      <c r="A227" s="139">
        <v>226</v>
      </c>
      <c r="B227" s="36" t="s">
        <v>4872</v>
      </c>
      <c r="C227" s="36" t="s">
        <v>4873</v>
      </c>
      <c r="D227" s="36" t="s">
        <v>4874</v>
      </c>
      <c r="E227" s="36" t="s">
        <v>4875</v>
      </c>
      <c r="F227" s="36" t="s">
        <v>4876</v>
      </c>
      <c r="G227" s="36" t="s">
        <v>4877</v>
      </c>
      <c r="H227" s="36" t="s">
        <v>4878</v>
      </c>
      <c r="I227" s="36" t="s">
        <v>4879</v>
      </c>
      <c r="J227" s="36" t="s">
        <v>4880</v>
      </c>
      <c r="K227" s="36" t="s">
        <v>4881</v>
      </c>
      <c r="L227" s="36" t="s">
        <v>4882</v>
      </c>
      <c r="M227" s="36" t="s">
        <v>4883</v>
      </c>
      <c r="N227" s="36" t="s">
        <v>4884</v>
      </c>
      <c r="O227" s="36" t="s">
        <v>4885</v>
      </c>
      <c r="P227" s="36" t="s">
        <v>4872</v>
      </c>
    </row>
    <row r="228" spans="1:16">
      <c r="A228" s="139">
        <v>227</v>
      </c>
      <c r="B228" s="36" t="s">
        <v>4886</v>
      </c>
      <c r="C228" s="36" t="s">
        <v>4887</v>
      </c>
      <c r="D228" s="36" t="s">
        <v>4888</v>
      </c>
      <c r="E228" s="36" t="s">
        <v>4889</v>
      </c>
      <c r="F228" s="36" t="s">
        <v>4890</v>
      </c>
      <c r="G228" s="36" t="s">
        <v>4891</v>
      </c>
      <c r="H228" s="36" t="s">
        <v>4892</v>
      </c>
      <c r="I228" s="36" t="s">
        <v>4893</v>
      </c>
      <c r="J228" s="36" t="s">
        <v>4894</v>
      </c>
      <c r="K228" s="36" t="s">
        <v>4895</v>
      </c>
      <c r="L228" s="36" t="s">
        <v>4896</v>
      </c>
      <c r="M228" s="36" t="s">
        <v>4897</v>
      </c>
      <c r="N228" s="36" t="s">
        <v>4898</v>
      </c>
      <c r="O228" s="36" t="s">
        <v>4899</v>
      </c>
      <c r="P228" s="36" t="s">
        <v>4886</v>
      </c>
    </row>
    <row r="229" spans="1:16">
      <c r="A229" s="139">
        <v>228</v>
      </c>
      <c r="B229" s="36" t="s">
        <v>4900</v>
      </c>
      <c r="C229" s="36" t="s">
        <v>4901</v>
      </c>
      <c r="D229" s="36" t="s">
        <v>4902</v>
      </c>
      <c r="E229" s="36" t="s">
        <v>4903</v>
      </c>
      <c r="F229" s="36" t="s">
        <v>4904</v>
      </c>
      <c r="G229" s="36" t="s">
        <v>4905</v>
      </c>
      <c r="H229" s="36" t="s">
        <v>4906</v>
      </c>
      <c r="I229" s="36" t="s">
        <v>4907</v>
      </c>
      <c r="J229" s="36" t="s">
        <v>4908</v>
      </c>
      <c r="K229" s="36" t="s">
        <v>4909</v>
      </c>
      <c r="L229" s="36" t="s">
        <v>4910</v>
      </c>
      <c r="M229" s="36" t="s">
        <v>4911</v>
      </c>
      <c r="N229" s="36" t="s">
        <v>4912</v>
      </c>
      <c r="O229" s="36" t="s">
        <v>4913</v>
      </c>
      <c r="P229" s="36" t="s">
        <v>4900</v>
      </c>
    </row>
    <row r="230" spans="1:16">
      <c r="A230" s="139">
        <v>229</v>
      </c>
      <c r="B230" s="36" t="s">
        <v>4914</v>
      </c>
      <c r="C230" s="36" t="s">
        <v>4915</v>
      </c>
      <c r="D230" s="36" t="s">
        <v>4916</v>
      </c>
      <c r="E230" s="36" t="s">
        <v>4917</v>
      </c>
      <c r="F230" s="36" t="s">
        <v>4918</v>
      </c>
      <c r="G230" s="36" t="s">
        <v>4919</v>
      </c>
      <c r="H230" s="36" t="s">
        <v>4920</v>
      </c>
      <c r="I230" s="36" t="s">
        <v>4921</v>
      </c>
      <c r="J230" s="36" t="s">
        <v>4922</v>
      </c>
      <c r="K230" s="36" t="s">
        <v>4923</v>
      </c>
      <c r="L230" s="36" t="s">
        <v>4924</v>
      </c>
      <c r="M230" s="36" t="s">
        <v>4925</v>
      </c>
      <c r="N230" s="36" t="s">
        <v>4926</v>
      </c>
      <c r="O230" s="36" t="s">
        <v>4927</v>
      </c>
      <c r="P230" s="36" t="s">
        <v>4914</v>
      </c>
    </row>
    <row r="231" spans="1:16">
      <c r="A231" s="139">
        <v>230</v>
      </c>
      <c r="B231" s="36" t="s">
        <v>4928</v>
      </c>
      <c r="C231" s="36" t="s">
        <v>4929</v>
      </c>
      <c r="D231" s="36" t="s">
        <v>4930</v>
      </c>
      <c r="E231" s="36" t="s">
        <v>4931</v>
      </c>
      <c r="F231" s="36" t="s">
        <v>4932</v>
      </c>
      <c r="G231" s="36" t="s">
        <v>4933</v>
      </c>
      <c r="H231" s="36" t="s">
        <v>4934</v>
      </c>
      <c r="I231" s="36" t="s">
        <v>4935</v>
      </c>
      <c r="J231" s="36" t="s">
        <v>4936</v>
      </c>
      <c r="K231" s="36" t="s">
        <v>4937</v>
      </c>
      <c r="L231" s="36" t="s">
        <v>4938</v>
      </c>
      <c r="M231" s="36" t="s">
        <v>4939</v>
      </c>
      <c r="N231" s="36" t="s">
        <v>4940</v>
      </c>
      <c r="O231" s="36" t="s">
        <v>4941</v>
      </c>
      <c r="P231" s="36" t="s">
        <v>4928</v>
      </c>
    </row>
    <row r="232" spans="1:16">
      <c r="A232" s="139">
        <v>231</v>
      </c>
      <c r="B232" s="36" t="s">
        <v>4942</v>
      </c>
      <c r="C232" s="36" t="s">
        <v>4943</v>
      </c>
      <c r="D232" s="36" t="s">
        <v>4944</v>
      </c>
      <c r="E232" s="36" t="s">
        <v>4945</v>
      </c>
      <c r="F232" s="36" t="s">
        <v>4946</v>
      </c>
      <c r="G232" s="36" t="s">
        <v>4947</v>
      </c>
      <c r="H232" s="36" t="s">
        <v>4948</v>
      </c>
      <c r="I232" s="36" t="s">
        <v>4949</v>
      </c>
      <c r="J232" s="36" t="s">
        <v>4950</v>
      </c>
      <c r="K232" s="36" t="s">
        <v>4951</v>
      </c>
      <c r="L232" s="36" t="s">
        <v>4952</v>
      </c>
      <c r="M232" s="36" t="s">
        <v>4953</v>
      </c>
      <c r="N232" s="36" t="s">
        <v>4954</v>
      </c>
      <c r="O232" s="36" t="s">
        <v>4955</v>
      </c>
      <c r="P232" s="36" t="s">
        <v>4942</v>
      </c>
    </row>
    <row r="233" spans="1:16">
      <c r="A233" s="139">
        <v>232</v>
      </c>
      <c r="B233" s="36" t="s">
        <v>4956</v>
      </c>
      <c r="C233" s="36" t="s">
        <v>4957</v>
      </c>
      <c r="D233" s="36" t="s">
        <v>4958</v>
      </c>
      <c r="E233" s="36" t="s">
        <v>4959</v>
      </c>
      <c r="F233" s="36" t="s">
        <v>4960</v>
      </c>
      <c r="G233" s="36" t="s">
        <v>4961</v>
      </c>
      <c r="H233" s="36" t="s">
        <v>4962</v>
      </c>
      <c r="I233" s="36" t="s">
        <v>4963</v>
      </c>
      <c r="J233" s="36" t="s">
        <v>4964</v>
      </c>
      <c r="K233" s="36" t="s">
        <v>4965</v>
      </c>
      <c r="L233" s="36" t="s">
        <v>4966</v>
      </c>
      <c r="M233" s="36" t="s">
        <v>4967</v>
      </c>
      <c r="N233" s="36" t="s">
        <v>4968</v>
      </c>
      <c r="O233" s="36" t="s">
        <v>4969</v>
      </c>
      <c r="P233" s="36" t="s">
        <v>4956</v>
      </c>
    </row>
    <row r="234" spans="1:16" ht="13.95" customHeight="1">
      <c r="A234" s="139">
        <v>233</v>
      </c>
      <c r="B234" s="36" t="s">
        <v>4970</v>
      </c>
      <c r="C234" s="36" t="s">
        <v>4971</v>
      </c>
      <c r="D234" s="36" t="s">
        <v>4972</v>
      </c>
      <c r="E234" s="36" t="s">
        <v>4973</v>
      </c>
      <c r="F234" s="36" t="s">
        <v>4974</v>
      </c>
      <c r="G234" s="36" t="s">
        <v>4975</v>
      </c>
      <c r="H234" s="36" t="s">
        <v>4976</v>
      </c>
      <c r="I234" s="36" t="s">
        <v>4974</v>
      </c>
      <c r="J234" s="36" t="s">
        <v>4977</v>
      </c>
      <c r="K234" s="36" t="s">
        <v>4978</v>
      </c>
      <c r="L234" s="36" t="s">
        <v>4979</v>
      </c>
      <c r="M234" s="36" t="s">
        <v>4980</v>
      </c>
      <c r="N234" s="36" t="s">
        <v>4980</v>
      </c>
      <c r="O234" s="36" t="s">
        <v>4981</v>
      </c>
      <c r="P234" s="36" t="s">
        <v>4970</v>
      </c>
    </row>
    <row r="235" spans="1:16">
      <c r="A235" s="139">
        <v>234</v>
      </c>
      <c r="B235" s="36" t="s">
        <v>4982</v>
      </c>
      <c r="C235" s="36" t="s">
        <v>4983</v>
      </c>
      <c r="D235" s="36" t="s">
        <v>4984</v>
      </c>
      <c r="E235" s="36" t="s">
        <v>4985</v>
      </c>
      <c r="F235" s="36" t="s">
        <v>4986</v>
      </c>
      <c r="G235" s="36" t="s">
        <v>4987</v>
      </c>
      <c r="H235" s="36" t="s">
        <v>4988</v>
      </c>
      <c r="I235" s="36" t="s">
        <v>4989</v>
      </c>
      <c r="J235" s="36" t="s">
        <v>4990</v>
      </c>
      <c r="K235" s="36" t="s">
        <v>4991</v>
      </c>
      <c r="L235" s="36" t="s">
        <v>4992</v>
      </c>
      <c r="M235" s="36" t="s">
        <v>4993</v>
      </c>
      <c r="N235" s="36" t="s">
        <v>4993</v>
      </c>
      <c r="O235" s="36" t="s">
        <v>4994</v>
      </c>
      <c r="P235" s="36" t="s">
        <v>4982</v>
      </c>
    </row>
    <row r="236" spans="1:16">
      <c r="A236" s="139">
        <v>235</v>
      </c>
      <c r="B236" s="36" t="s">
        <v>4995</v>
      </c>
      <c r="C236" s="36" t="s">
        <v>4996</v>
      </c>
      <c r="D236" s="36" t="s">
        <v>4997</v>
      </c>
      <c r="E236" s="36" t="s">
        <v>4998</v>
      </c>
      <c r="F236" s="36" t="s">
        <v>4999</v>
      </c>
      <c r="G236" s="36" t="s">
        <v>5000</v>
      </c>
      <c r="H236" s="36" t="s">
        <v>5001</v>
      </c>
      <c r="I236" s="36" t="s">
        <v>5002</v>
      </c>
      <c r="J236" s="36" t="s">
        <v>5003</v>
      </c>
      <c r="K236" s="36" t="s">
        <v>5004</v>
      </c>
      <c r="L236" s="36" t="s">
        <v>5005</v>
      </c>
      <c r="M236" s="36" t="s">
        <v>5006</v>
      </c>
      <c r="N236" s="36" t="s">
        <v>5007</v>
      </c>
      <c r="O236" s="36" t="s">
        <v>5008</v>
      </c>
      <c r="P236" s="36" t="s">
        <v>4995</v>
      </c>
    </row>
    <row r="237" spans="1:16">
      <c r="A237" s="139">
        <v>236</v>
      </c>
      <c r="B237" s="36" t="s">
        <v>5009</v>
      </c>
      <c r="C237" s="36" t="s">
        <v>5010</v>
      </c>
      <c r="D237" s="36" t="s">
        <v>5011</v>
      </c>
      <c r="E237" s="36" t="s">
        <v>5012</v>
      </c>
      <c r="F237" s="36" t="s">
        <v>5013</v>
      </c>
      <c r="G237" s="36" t="s">
        <v>5014</v>
      </c>
      <c r="H237" s="36" t="s">
        <v>5015</v>
      </c>
      <c r="I237" s="36" t="s">
        <v>5016</v>
      </c>
      <c r="J237" s="36" t="s">
        <v>5017</v>
      </c>
      <c r="K237" s="36" t="s">
        <v>5018</v>
      </c>
      <c r="L237" s="36" t="s">
        <v>5019</v>
      </c>
      <c r="M237" s="36" t="s">
        <v>5020</v>
      </c>
      <c r="N237" s="36" t="s">
        <v>5021</v>
      </c>
      <c r="O237" s="36" t="s">
        <v>5022</v>
      </c>
      <c r="P237" s="36" t="s">
        <v>5009</v>
      </c>
    </row>
    <row r="238" spans="1:16">
      <c r="A238" s="139">
        <v>237</v>
      </c>
      <c r="B238" s="36" t="s">
        <v>5023</v>
      </c>
      <c r="C238" s="36" t="s">
        <v>5024</v>
      </c>
      <c r="D238" s="36" t="s">
        <v>5025</v>
      </c>
      <c r="E238" s="36" t="s">
        <v>5026</v>
      </c>
      <c r="F238" s="36" t="s">
        <v>5027</v>
      </c>
      <c r="G238" s="36" t="s">
        <v>5028</v>
      </c>
      <c r="H238" s="36" t="s">
        <v>5029</v>
      </c>
      <c r="I238" s="36" t="s">
        <v>5030</v>
      </c>
      <c r="J238" s="36" t="s">
        <v>5031</v>
      </c>
      <c r="K238" s="36" t="s">
        <v>5032</v>
      </c>
      <c r="L238" s="36" t="s">
        <v>5033</v>
      </c>
      <c r="M238" s="36" t="s">
        <v>5034</v>
      </c>
      <c r="N238" s="36" t="s">
        <v>5035</v>
      </c>
      <c r="O238" s="36" t="s">
        <v>5036</v>
      </c>
      <c r="P238" s="36" t="s">
        <v>5023</v>
      </c>
    </row>
    <row r="239" spans="1:16">
      <c r="A239" s="139">
        <v>238</v>
      </c>
      <c r="B239" s="36" t="s">
        <v>5037</v>
      </c>
      <c r="C239" s="36" t="s">
        <v>5038</v>
      </c>
      <c r="D239" s="36" t="s">
        <v>5039</v>
      </c>
      <c r="E239" s="36" t="s">
        <v>5040</v>
      </c>
      <c r="F239" s="36" t="s">
        <v>5041</v>
      </c>
      <c r="G239" s="36" t="s">
        <v>5042</v>
      </c>
      <c r="H239" s="36" t="s">
        <v>5043</v>
      </c>
      <c r="I239" s="36" t="s">
        <v>5041</v>
      </c>
      <c r="J239" s="36" t="s">
        <v>5044</v>
      </c>
      <c r="K239" s="36" t="s">
        <v>5045</v>
      </c>
      <c r="L239" s="36" t="s">
        <v>5046</v>
      </c>
      <c r="M239" s="36" t="s">
        <v>5047</v>
      </c>
      <c r="N239" s="36" t="s">
        <v>5048</v>
      </c>
      <c r="O239" s="36" t="s">
        <v>5049</v>
      </c>
      <c r="P239" s="36" t="s">
        <v>5037</v>
      </c>
    </row>
    <row r="240" spans="1:16">
      <c r="A240" s="139">
        <v>239</v>
      </c>
      <c r="B240" s="36" t="s">
        <v>5050</v>
      </c>
      <c r="C240" s="36" t="s">
        <v>5051</v>
      </c>
      <c r="D240" s="36" t="s">
        <v>5052</v>
      </c>
      <c r="E240" s="36" t="s">
        <v>5053</v>
      </c>
      <c r="F240" s="36" t="s">
        <v>5054</v>
      </c>
      <c r="G240" s="36" t="s">
        <v>5055</v>
      </c>
      <c r="H240" s="36" t="s">
        <v>5056</v>
      </c>
      <c r="I240" s="36" t="s">
        <v>5057</v>
      </c>
      <c r="J240" s="36" t="s">
        <v>5058</v>
      </c>
      <c r="K240" s="36" t="s">
        <v>5059</v>
      </c>
      <c r="L240" s="36" t="s">
        <v>5060</v>
      </c>
      <c r="M240" s="36" t="s">
        <v>5061</v>
      </c>
      <c r="N240" s="36" t="s">
        <v>5062</v>
      </c>
      <c r="O240" s="36" t="s">
        <v>5063</v>
      </c>
      <c r="P240" s="36" t="s">
        <v>5050</v>
      </c>
    </row>
    <row r="241" spans="1:16">
      <c r="A241" s="139">
        <v>240</v>
      </c>
      <c r="B241" s="36" t="s">
        <v>5064</v>
      </c>
      <c r="C241" s="36" t="s">
        <v>5065</v>
      </c>
      <c r="D241" s="36" t="s">
        <v>5066</v>
      </c>
      <c r="E241" s="36" t="s">
        <v>5067</v>
      </c>
      <c r="F241" s="36" t="s">
        <v>5068</v>
      </c>
      <c r="G241" s="36" t="s">
        <v>5069</v>
      </c>
      <c r="H241" s="36" t="s">
        <v>5070</v>
      </c>
      <c r="I241" s="36" t="s">
        <v>5071</v>
      </c>
      <c r="J241" s="36" t="s">
        <v>5072</v>
      </c>
      <c r="K241" s="36" t="s">
        <v>5073</v>
      </c>
      <c r="L241" s="36" t="s">
        <v>5074</v>
      </c>
      <c r="M241" s="36" t="s">
        <v>5075</v>
      </c>
      <c r="N241" s="36" t="s">
        <v>5076</v>
      </c>
      <c r="O241" s="36" t="s">
        <v>5077</v>
      </c>
      <c r="P241" s="36" t="s">
        <v>5064</v>
      </c>
    </row>
    <row r="242" spans="1:16">
      <c r="A242" s="139">
        <v>241</v>
      </c>
      <c r="B242" s="36" t="s">
        <v>5078</v>
      </c>
      <c r="C242" s="36" t="s">
        <v>5079</v>
      </c>
      <c r="D242" s="36" t="s">
        <v>5080</v>
      </c>
      <c r="E242" s="36" t="s">
        <v>5081</v>
      </c>
      <c r="F242" s="36" t="s">
        <v>5082</v>
      </c>
      <c r="G242" s="36" t="s">
        <v>5083</v>
      </c>
      <c r="H242" s="36" t="s">
        <v>5084</v>
      </c>
      <c r="I242" s="36" t="s">
        <v>5085</v>
      </c>
      <c r="J242" s="36" t="s">
        <v>5086</v>
      </c>
      <c r="K242" s="36" t="s">
        <v>5087</v>
      </c>
      <c r="L242" s="36" t="s">
        <v>5088</v>
      </c>
      <c r="M242" s="36" t="s">
        <v>5089</v>
      </c>
      <c r="N242" s="36" t="s">
        <v>5090</v>
      </c>
      <c r="O242" s="36" t="s">
        <v>5091</v>
      </c>
      <c r="P242" s="36" t="s">
        <v>5078</v>
      </c>
    </row>
    <row r="243" spans="1:16">
      <c r="A243" s="139">
        <v>242</v>
      </c>
      <c r="B243" s="36" t="s">
        <v>5092</v>
      </c>
      <c r="C243" s="36" t="s">
        <v>5093</v>
      </c>
      <c r="D243" s="36" t="s">
        <v>5094</v>
      </c>
      <c r="E243" s="36" t="s">
        <v>5095</v>
      </c>
      <c r="F243" s="36" t="s">
        <v>5096</v>
      </c>
      <c r="G243" s="36" t="s">
        <v>5097</v>
      </c>
      <c r="H243" s="36" t="s">
        <v>5098</v>
      </c>
      <c r="I243" s="36" t="s">
        <v>5099</v>
      </c>
      <c r="J243" s="36" t="s">
        <v>5100</v>
      </c>
      <c r="K243" s="36" t="s">
        <v>5101</v>
      </c>
      <c r="L243" s="36" t="s">
        <v>5102</v>
      </c>
      <c r="M243" s="36" t="s">
        <v>5103</v>
      </c>
      <c r="N243" s="36" t="s">
        <v>5104</v>
      </c>
      <c r="O243" s="36" t="s">
        <v>5105</v>
      </c>
      <c r="P243" s="36" t="s">
        <v>5092</v>
      </c>
    </row>
    <row r="244" spans="1:16">
      <c r="A244" s="139">
        <v>243</v>
      </c>
      <c r="B244" s="36" t="s">
        <v>5106</v>
      </c>
      <c r="C244" s="36" t="s">
        <v>5107</v>
      </c>
      <c r="D244" s="36" t="s">
        <v>5108</v>
      </c>
      <c r="E244" s="36" t="s">
        <v>5109</v>
      </c>
      <c r="F244" s="36" t="s">
        <v>5110</v>
      </c>
      <c r="G244" s="36" t="s">
        <v>5111</v>
      </c>
      <c r="H244" s="36" t="s">
        <v>5112</v>
      </c>
      <c r="I244" s="36" t="s">
        <v>5113</v>
      </c>
      <c r="J244" s="36" t="s">
        <v>5114</v>
      </c>
      <c r="K244" s="36" t="s">
        <v>5115</v>
      </c>
      <c r="L244" s="36" t="s">
        <v>5116</v>
      </c>
      <c r="M244" s="36" t="s">
        <v>5117</v>
      </c>
      <c r="N244" s="36" t="s">
        <v>5118</v>
      </c>
      <c r="O244" s="36" t="s">
        <v>5119</v>
      </c>
      <c r="P244" s="36" t="s">
        <v>5106</v>
      </c>
    </row>
    <row r="245" spans="1:16" ht="13.95" customHeight="1">
      <c r="A245" s="139">
        <v>244</v>
      </c>
      <c r="B245" s="36" t="s">
        <v>5120</v>
      </c>
      <c r="C245" s="36" t="s">
        <v>5121</v>
      </c>
      <c r="D245" s="36" t="s">
        <v>5122</v>
      </c>
      <c r="E245" s="36" t="s">
        <v>5123</v>
      </c>
      <c r="F245" s="36" t="s">
        <v>5124</v>
      </c>
      <c r="G245" s="36" t="s">
        <v>5125</v>
      </c>
      <c r="H245" s="36" t="s">
        <v>5126</v>
      </c>
      <c r="I245" s="36" t="s">
        <v>5127</v>
      </c>
      <c r="J245" s="36" t="s">
        <v>5128</v>
      </c>
      <c r="K245" s="36" t="s">
        <v>5129</v>
      </c>
      <c r="L245" s="36" t="s">
        <v>5130</v>
      </c>
      <c r="M245" s="36" t="s">
        <v>5128</v>
      </c>
      <c r="N245" s="36" t="s">
        <v>5128</v>
      </c>
      <c r="O245" s="36" t="s">
        <v>5131</v>
      </c>
      <c r="P245" s="36" t="s">
        <v>5128</v>
      </c>
    </row>
    <row r="246" spans="1:16">
      <c r="A246" s="139">
        <v>245</v>
      </c>
      <c r="B246" s="36" t="s">
        <v>5132</v>
      </c>
      <c r="C246" s="36" t="s">
        <v>5133</v>
      </c>
      <c r="D246" s="36" t="s">
        <v>5134</v>
      </c>
      <c r="E246" s="36" t="s">
        <v>5135</v>
      </c>
      <c r="F246" s="36" t="s">
        <v>5136</v>
      </c>
      <c r="G246" s="36" t="s">
        <v>5137</v>
      </c>
      <c r="H246" s="36" t="s">
        <v>5138</v>
      </c>
      <c r="I246" s="36" t="s">
        <v>5139</v>
      </c>
      <c r="J246" s="36" t="s">
        <v>5140</v>
      </c>
      <c r="K246" s="36" t="s">
        <v>5141</v>
      </c>
      <c r="L246" s="36" t="s">
        <v>5142</v>
      </c>
      <c r="M246" s="36" t="s">
        <v>5143</v>
      </c>
      <c r="N246" s="36" t="s">
        <v>5143</v>
      </c>
      <c r="O246" s="36" t="s">
        <v>5144</v>
      </c>
      <c r="P246" s="36" t="s">
        <v>5132</v>
      </c>
    </row>
    <row r="247" spans="1:16">
      <c r="A247" s="139">
        <v>246</v>
      </c>
      <c r="B247" s="36" t="s">
        <v>5145</v>
      </c>
      <c r="C247" s="36" t="s">
        <v>5146</v>
      </c>
      <c r="D247" s="36" t="s">
        <v>5147</v>
      </c>
      <c r="E247" s="36" t="s">
        <v>5148</v>
      </c>
      <c r="F247" s="36" t="s">
        <v>5149</v>
      </c>
      <c r="G247" s="36" t="s">
        <v>5150</v>
      </c>
      <c r="H247" s="36" t="s">
        <v>5151</v>
      </c>
      <c r="I247" s="36" t="s">
        <v>5152</v>
      </c>
      <c r="J247" s="36" t="s">
        <v>5153</v>
      </c>
      <c r="K247" s="36" t="s">
        <v>5154</v>
      </c>
      <c r="L247" s="36" t="s">
        <v>5155</v>
      </c>
      <c r="M247" s="36" t="s">
        <v>5156</v>
      </c>
      <c r="N247" s="36" t="s">
        <v>5157</v>
      </c>
      <c r="O247" s="36" t="s">
        <v>5158</v>
      </c>
      <c r="P247" s="36" t="s">
        <v>5145</v>
      </c>
    </row>
    <row r="248" spans="1:16">
      <c r="A248" s="139">
        <v>247</v>
      </c>
      <c r="B248" s="36" t="s">
        <v>5159</v>
      </c>
      <c r="C248" s="36" t="s">
        <v>5160</v>
      </c>
      <c r="D248" s="36" t="s">
        <v>5161</v>
      </c>
      <c r="E248" s="36" t="s">
        <v>5162</v>
      </c>
      <c r="F248" s="36" t="s">
        <v>5163</v>
      </c>
      <c r="G248" s="36" t="s">
        <v>5164</v>
      </c>
      <c r="H248" s="36" t="s">
        <v>5165</v>
      </c>
      <c r="I248" s="36" t="s">
        <v>5166</v>
      </c>
      <c r="J248" s="36" t="s">
        <v>5167</v>
      </c>
      <c r="K248" s="36" t="s">
        <v>5168</v>
      </c>
      <c r="L248" s="36" t="s">
        <v>5169</v>
      </c>
      <c r="M248" s="36" t="s">
        <v>5170</v>
      </c>
      <c r="N248" s="36" t="s">
        <v>5171</v>
      </c>
      <c r="O248" s="36" t="s">
        <v>5172</v>
      </c>
      <c r="P248" s="36" t="s">
        <v>5173</v>
      </c>
    </row>
    <row r="249" spans="1:16">
      <c r="A249" s="139">
        <v>248</v>
      </c>
      <c r="B249" s="36" t="s">
        <v>5174</v>
      </c>
      <c r="C249" s="36" t="s">
        <v>5175</v>
      </c>
      <c r="D249" s="36" t="s">
        <v>5176</v>
      </c>
      <c r="E249" s="36" t="s">
        <v>5177</v>
      </c>
      <c r="F249" s="36" t="s">
        <v>5178</v>
      </c>
      <c r="G249" s="36" t="s">
        <v>5179</v>
      </c>
      <c r="H249" s="36" t="s">
        <v>5180</v>
      </c>
      <c r="I249" s="36" t="s">
        <v>5181</v>
      </c>
      <c r="J249" s="36" t="s">
        <v>5182</v>
      </c>
      <c r="K249" s="36" t="s">
        <v>5183</v>
      </c>
      <c r="L249" s="36" t="s">
        <v>5184</v>
      </c>
      <c r="M249" s="36" t="s">
        <v>5185</v>
      </c>
      <c r="N249" s="36" t="s">
        <v>5186</v>
      </c>
      <c r="O249" s="36" t="s">
        <v>5187</v>
      </c>
      <c r="P249" s="36" t="s">
        <v>5174</v>
      </c>
    </row>
    <row r="250" spans="1:16">
      <c r="A250" s="139">
        <v>249</v>
      </c>
      <c r="B250" s="36" t="s">
        <v>5188</v>
      </c>
      <c r="C250" s="36" t="s">
        <v>5189</v>
      </c>
      <c r="D250" s="36" t="s">
        <v>5190</v>
      </c>
      <c r="E250" s="36" t="s">
        <v>5191</v>
      </c>
      <c r="F250" s="36" t="s">
        <v>5192</v>
      </c>
      <c r="G250" s="36" t="s">
        <v>5193</v>
      </c>
      <c r="H250" s="36" t="s">
        <v>5194</v>
      </c>
      <c r="I250" s="36" t="s">
        <v>5195</v>
      </c>
      <c r="J250" s="36" t="s">
        <v>5196</v>
      </c>
      <c r="K250" s="36" t="s">
        <v>5197</v>
      </c>
      <c r="L250" s="36" t="s">
        <v>5198</v>
      </c>
      <c r="M250" s="36" t="s">
        <v>5199</v>
      </c>
      <c r="N250" s="36" t="s">
        <v>5200</v>
      </c>
      <c r="O250" s="36" t="s">
        <v>5201</v>
      </c>
      <c r="P250" s="36" t="s">
        <v>5188</v>
      </c>
    </row>
    <row r="251" spans="1:16">
      <c r="A251" s="139">
        <v>250</v>
      </c>
      <c r="B251" s="36" t="s">
        <v>5202</v>
      </c>
      <c r="C251" s="36" t="s">
        <v>5203</v>
      </c>
      <c r="D251" s="36" t="s">
        <v>5204</v>
      </c>
      <c r="E251" s="36" t="s">
        <v>5205</v>
      </c>
      <c r="F251" s="36" t="s">
        <v>5206</v>
      </c>
      <c r="G251" s="36" t="s">
        <v>5207</v>
      </c>
      <c r="H251" s="36" t="s">
        <v>5208</v>
      </c>
      <c r="I251" s="36" t="s">
        <v>5209</v>
      </c>
      <c r="J251" s="36" t="s">
        <v>5210</v>
      </c>
      <c r="K251" s="36" t="s">
        <v>5211</v>
      </c>
      <c r="L251" s="36" t="s">
        <v>5212</v>
      </c>
      <c r="M251" s="36" t="s">
        <v>5213</v>
      </c>
      <c r="N251" s="36" t="s">
        <v>5214</v>
      </c>
      <c r="O251" s="36" t="s">
        <v>5215</v>
      </c>
      <c r="P251" s="36" t="s">
        <v>5202</v>
      </c>
    </row>
    <row r="252" spans="1:16">
      <c r="A252" s="139">
        <v>251</v>
      </c>
      <c r="B252" s="36" t="s">
        <v>5216</v>
      </c>
      <c r="C252" s="36" t="s">
        <v>5217</v>
      </c>
      <c r="D252" s="36" t="s">
        <v>5218</v>
      </c>
      <c r="E252" s="36" t="s">
        <v>5219</v>
      </c>
      <c r="F252" s="36" t="s">
        <v>5220</v>
      </c>
      <c r="G252" s="36" t="s">
        <v>5221</v>
      </c>
      <c r="H252" s="36" t="s">
        <v>5222</v>
      </c>
      <c r="I252" s="36" t="s">
        <v>5223</v>
      </c>
      <c r="J252" s="36" t="s">
        <v>5224</v>
      </c>
      <c r="K252" s="36" t="s">
        <v>5225</v>
      </c>
      <c r="L252" s="36" t="s">
        <v>5226</v>
      </c>
      <c r="M252" s="36" t="s">
        <v>5227</v>
      </c>
      <c r="N252" s="36" t="s">
        <v>5228</v>
      </c>
      <c r="O252" s="36" t="s">
        <v>5229</v>
      </c>
      <c r="P252" s="36" t="s">
        <v>5216</v>
      </c>
    </row>
    <row r="253" spans="1:16">
      <c r="A253" s="139">
        <v>252</v>
      </c>
      <c r="B253" s="36" t="s">
        <v>5230</v>
      </c>
      <c r="C253" s="36" t="s">
        <v>5231</v>
      </c>
      <c r="D253" s="36" t="s">
        <v>5232</v>
      </c>
      <c r="E253" s="36" t="s">
        <v>5233</v>
      </c>
      <c r="F253" s="36" t="s">
        <v>5234</v>
      </c>
      <c r="G253" s="36" t="s">
        <v>5235</v>
      </c>
      <c r="H253" s="36" t="s">
        <v>5236</v>
      </c>
      <c r="I253" s="36" t="s">
        <v>5237</v>
      </c>
      <c r="J253" s="36" t="s">
        <v>5238</v>
      </c>
      <c r="K253" s="36" t="s">
        <v>5239</v>
      </c>
      <c r="L253" s="36" t="s">
        <v>5240</v>
      </c>
      <c r="M253" s="36" t="s">
        <v>5241</v>
      </c>
      <c r="N253" s="36" t="s">
        <v>5242</v>
      </c>
      <c r="O253" s="36" t="s">
        <v>5243</v>
      </c>
      <c r="P253" s="36" t="s">
        <v>2195</v>
      </c>
    </row>
    <row r="254" spans="1:16">
      <c r="A254" s="139">
        <v>253</v>
      </c>
      <c r="B254" s="36" t="s">
        <v>5244</v>
      </c>
      <c r="C254" s="36" t="s">
        <v>5245</v>
      </c>
      <c r="D254" s="36" t="s">
        <v>5246</v>
      </c>
      <c r="E254" s="36" t="s">
        <v>5247</v>
      </c>
      <c r="F254" s="36" t="s">
        <v>5248</v>
      </c>
      <c r="G254" s="36" t="s">
        <v>5249</v>
      </c>
      <c r="H254" s="36" t="s">
        <v>5250</v>
      </c>
      <c r="I254" s="36" t="s">
        <v>5251</v>
      </c>
      <c r="J254" s="36" t="s">
        <v>5252</v>
      </c>
      <c r="K254" s="36" t="s">
        <v>5253</v>
      </c>
      <c r="L254" s="36" t="s">
        <v>5254</v>
      </c>
      <c r="M254" s="36" t="s">
        <v>5255</v>
      </c>
      <c r="N254" s="36" t="s">
        <v>5256</v>
      </c>
      <c r="O254" s="36" t="s">
        <v>5257</v>
      </c>
      <c r="P254" s="36" t="s">
        <v>5244</v>
      </c>
    </row>
    <row r="255" spans="1:16">
      <c r="A255" s="139">
        <v>254</v>
      </c>
      <c r="B255" s="36" t="s">
        <v>5258</v>
      </c>
      <c r="C255" s="36" t="s">
        <v>5259</v>
      </c>
      <c r="D255" s="36" t="s">
        <v>5260</v>
      </c>
      <c r="E255" s="36" t="s">
        <v>5261</v>
      </c>
      <c r="F255" s="36" t="s">
        <v>5262</v>
      </c>
      <c r="G255" s="36" t="s">
        <v>5263</v>
      </c>
      <c r="H255" s="36" t="s">
        <v>5264</v>
      </c>
      <c r="I255" s="36" t="s">
        <v>5265</v>
      </c>
      <c r="J255" s="36" t="s">
        <v>5266</v>
      </c>
      <c r="K255" s="36" t="s">
        <v>5267</v>
      </c>
      <c r="L255" s="36" t="s">
        <v>5268</v>
      </c>
      <c r="M255" s="36" t="s">
        <v>5269</v>
      </c>
      <c r="N255" s="36" t="s">
        <v>5270</v>
      </c>
      <c r="O255" s="36" t="s">
        <v>5271</v>
      </c>
      <c r="P255" s="36" t="s">
        <v>5258</v>
      </c>
    </row>
    <row r="256" spans="1:16">
      <c r="A256" s="139">
        <v>255</v>
      </c>
      <c r="B256" s="36" t="s">
        <v>5272</v>
      </c>
      <c r="C256" s="36" t="s">
        <v>5273</v>
      </c>
      <c r="D256" s="36" t="s">
        <v>5274</v>
      </c>
      <c r="E256" s="36" t="s">
        <v>5275</v>
      </c>
      <c r="F256" s="36" t="s">
        <v>5276</v>
      </c>
      <c r="G256" s="36" t="s">
        <v>5277</v>
      </c>
      <c r="H256" s="36" t="s">
        <v>5278</v>
      </c>
      <c r="I256" s="36" t="s">
        <v>5279</v>
      </c>
      <c r="J256" s="36" t="s">
        <v>5280</v>
      </c>
      <c r="K256" s="36" t="s">
        <v>5281</v>
      </c>
      <c r="L256" s="36" t="s">
        <v>5282</v>
      </c>
      <c r="M256" s="36" t="s">
        <v>5283</v>
      </c>
      <c r="N256" s="36" t="s">
        <v>5284</v>
      </c>
      <c r="O256" s="36" t="s">
        <v>5285</v>
      </c>
      <c r="P256" s="36" t="s">
        <v>5272</v>
      </c>
    </row>
    <row r="257" spans="1:16">
      <c r="A257" s="139">
        <v>256</v>
      </c>
      <c r="B257" s="36" t="s">
        <v>5286</v>
      </c>
      <c r="C257" s="36" t="s">
        <v>5287</v>
      </c>
      <c r="D257" s="36" t="s">
        <v>5288</v>
      </c>
      <c r="E257" s="36" t="s">
        <v>5289</v>
      </c>
      <c r="F257" s="36" t="s">
        <v>5290</v>
      </c>
      <c r="G257" s="36" t="s">
        <v>5291</v>
      </c>
      <c r="H257" s="36" t="s">
        <v>5292</v>
      </c>
      <c r="I257" s="36" t="s">
        <v>5293</v>
      </c>
      <c r="J257" s="36" t="s">
        <v>5294</v>
      </c>
      <c r="K257" s="36" t="s">
        <v>5295</v>
      </c>
      <c r="L257" s="36" t="s">
        <v>5296</v>
      </c>
      <c r="M257" s="36" t="s">
        <v>5297</v>
      </c>
      <c r="N257" s="36" t="s">
        <v>5298</v>
      </c>
      <c r="O257" s="36" t="s">
        <v>5299</v>
      </c>
      <c r="P257" s="36" t="s">
        <v>5286</v>
      </c>
    </row>
    <row r="258" spans="1:16">
      <c r="A258" s="139">
        <v>257</v>
      </c>
      <c r="B258" s="36" t="s">
        <v>5300</v>
      </c>
      <c r="C258" s="36" t="s">
        <v>5301</v>
      </c>
      <c r="D258" s="36" t="s">
        <v>5302</v>
      </c>
      <c r="E258" s="36" t="s">
        <v>5303</v>
      </c>
      <c r="F258" s="36" t="s">
        <v>5304</v>
      </c>
      <c r="G258" s="36" t="s">
        <v>5305</v>
      </c>
      <c r="H258" s="36" t="s">
        <v>5306</v>
      </c>
      <c r="I258" s="36" t="s">
        <v>5307</v>
      </c>
      <c r="J258" s="36" t="s">
        <v>5308</v>
      </c>
      <c r="K258" s="36" t="s">
        <v>5309</v>
      </c>
      <c r="L258" s="36" t="s">
        <v>5310</v>
      </c>
      <c r="M258" s="36" t="s">
        <v>5311</v>
      </c>
      <c r="N258" s="36" t="s">
        <v>5312</v>
      </c>
      <c r="O258" s="36" t="s">
        <v>5313</v>
      </c>
      <c r="P258" s="36" t="s">
        <v>5300</v>
      </c>
    </row>
    <row r="259" spans="1:16">
      <c r="A259" s="139">
        <v>258</v>
      </c>
      <c r="B259" s="36" t="s">
        <v>5314</v>
      </c>
      <c r="C259" s="36" t="s">
        <v>5315</v>
      </c>
      <c r="D259" s="36" t="s">
        <v>5316</v>
      </c>
      <c r="E259" s="36" t="s">
        <v>5317</v>
      </c>
      <c r="F259" s="36" t="s">
        <v>5318</v>
      </c>
      <c r="G259" s="36" t="s">
        <v>5319</v>
      </c>
      <c r="H259" s="36" t="s">
        <v>5320</v>
      </c>
      <c r="I259" s="36" t="s">
        <v>5321</v>
      </c>
      <c r="J259" s="36" t="s">
        <v>5322</v>
      </c>
      <c r="K259" s="36" t="s">
        <v>5323</v>
      </c>
      <c r="L259" s="36" t="s">
        <v>5324</v>
      </c>
      <c r="M259" s="36" t="s">
        <v>5325</v>
      </c>
      <c r="N259" s="36" t="s">
        <v>5326</v>
      </c>
      <c r="O259" s="36" t="s">
        <v>5327</v>
      </c>
      <c r="P259" s="36" t="s">
        <v>5314</v>
      </c>
    </row>
    <row r="260" spans="1:16">
      <c r="A260" s="139">
        <v>259</v>
      </c>
      <c r="B260" s="36" t="s">
        <v>5328</v>
      </c>
      <c r="C260" s="36" t="s">
        <v>5329</v>
      </c>
      <c r="D260" s="36" t="s">
        <v>5330</v>
      </c>
      <c r="E260" s="36" t="s">
        <v>5331</v>
      </c>
      <c r="F260" s="36" t="s">
        <v>5332</v>
      </c>
      <c r="G260" s="36" t="s">
        <v>5333</v>
      </c>
      <c r="H260" s="36" t="s">
        <v>5334</v>
      </c>
      <c r="I260" s="36" t="s">
        <v>5335</v>
      </c>
      <c r="J260" s="36" t="s">
        <v>5336</v>
      </c>
      <c r="K260" s="36" t="s">
        <v>5337</v>
      </c>
      <c r="L260" s="36" t="s">
        <v>5338</v>
      </c>
      <c r="M260" s="36" t="s">
        <v>5339</v>
      </c>
      <c r="N260" s="36" t="s">
        <v>5340</v>
      </c>
      <c r="O260" s="36" t="s">
        <v>5341</v>
      </c>
      <c r="P260" s="36" t="s">
        <v>5328</v>
      </c>
    </row>
    <row r="261" spans="1:16">
      <c r="A261" s="139">
        <v>260</v>
      </c>
      <c r="B261" s="36" t="s">
        <v>5342</v>
      </c>
      <c r="C261" s="36" t="s">
        <v>5343</v>
      </c>
      <c r="D261" s="36" t="s">
        <v>5344</v>
      </c>
      <c r="E261" s="36" t="s">
        <v>2385</v>
      </c>
      <c r="F261" s="36" t="s">
        <v>5345</v>
      </c>
      <c r="G261" s="36" t="s">
        <v>5346</v>
      </c>
      <c r="H261" s="36" t="s">
        <v>5347</v>
      </c>
      <c r="I261" s="36" t="s">
        <v>5348</v>
      </c>
      <c r="J261" s="36" t="s">
        <v>5349</v>
      </c>
      <c r="K261" s="36" t="s">
        <v>5350</v>
      </c>
      <c r="L261" s="36" t="s">
        <v>5351</v>
      </c>
      <c r="M261" s="36" t="s">
        <v>5352</v>
      </c>
      <c r="N261" s="36" t="s">
        <v>5351</v>
      </c>
      <c r="O261" s="36" t="s">
        <v>5353</v>
      </c>
      <c r="P261" s="36" t="s">
        <v>5342</v>
      </c>
    </row>
    <row r="262" spans="1:16" ht="13.95" customHeight="1">
      <c r="A262" s="139">
        <v>261</v>
      </c>
      <c r="B262" s="36" t="s">
        <v>5354</v>
      </c>
      <c r="C262" s="36" t="s">
        <v>5355</v>
      </c>
      <c r="D262" s="36" t="s">
        <v>5356</v>
      </c>
      <c r="E262" s="36" t="s">
        <v>5357</v>
      </c>
      <c r="F262" s="36" t="s">
        <v>5358</v>
      </c>
      <c r="G262" s="36" t="s">
        <v>5359</v>
      </c>
      <c r="H262" s="36" t="s">
        <v>5360</v>
      </c>
      <c r="I262" s="36" t="s">
        <v>5361</v>
      </c>
      <c r="J262" s="36" t="s">
        <v>5362</v>
      </c>
      <c r="K262" s="36" t="s">
        <v>5363</v>
      </c>
      <c r="L262" s="36" t="s">
        <v>5364</v>
      </c>
      <c r="M262" s="36" t="s">
        <v>5365</v>
      </c>
      <c r="N262" s="36" t="s">
        <v>5366</v>
      </c>
      <c r="O262" s="36" t="s">
        <v>5367</v>
      </c>
      <c r="P262" s="36" t="s">
        <v>5354</v>
      </c>
    </row>
    <row r="263" spans="1:16">
      <c r="A263" s="139">
        <v>262</v>
      </c>
      <c r="B263" s="36" t="s">
        <v>5368</v>
      </c>
      <c r="C263" s="36" t="s">
        <v>5369</v>
      </c>
      <c r="D263" s="36" t="s">
        <v>5370</v>
      </c>
      <c r="E263" s="36" t="s">
        <v>5371</v>
      </c>
      <c r="F263" s="36" t="s">
        <v>5372</v>
      </c>
      <c r="G263" s="36" t="s">
        <v>5373</v>
      </c>
      <c r="H263" s="36" t="s">
        <v>5374</v>
      </c>
      <c r="I263" s="36" t="s">
        <v>5375</v>
      </c>
      <c r="J263" s="36" t="s">
        <v>5376</v>
      </c>
      <c r="K263" s="36" t="s">
        <v>5377</v>
      </c>
      <c r="L263" s="36" t="s">
        <v>5378</v>
      </c>
      <c r="M263" s="36" t="s">
        <v>5379</v>
      </c>
      <c r="N263" s="36" t="s">
        <v>5380</v>
      </c>
      <c r="O263" s="36" t="s">
        <v>5381</v>
      </c>
      <c r="P263" s="36" t="s">
        <v>5368</v>
      </c>
    </row>
    <row r="264" spans="1:16">
      <c r="A264" s="139">
        <v>263</v>
      </c>
      <c r="B264" s="36" t="s">
        <v>5382</v>
      </c>
      <c r="C264" s="36" t="s">
        <v>5383</v>
      </c>
      <c r="D264" s="36" t="s">
        <v>2383</v>
      </c>
      <c r="E264" s="36" t="s">
        <v>5384</v>
      </c>
      <c r="F264" s="36" t="s">
        <v>5385</v>
      </c>
      <c r="G264" s="36" t="s">
        <v>5386</v>
      </c>
      <c r="H264" s="36" t="s">
        <v>5387</v>
      </c>
      <c r="I264" s="36" t="s">
        <v>5388</v>
      </c>
      <c r="J264" s="36" t="s">
        <v>5389</v>
      </c>
      <c r="K264" s="36" t="s">
        <v>5390</v>
      </c>
      <c r="L264" s="36" t="s">
        <v>5391</v>
      </c>
      <c r="M264" s="36" t="s">
        <v>5392</v>
      </c>
      <c r="N264" s="36" t="s">
        <v>5393</v>
      </c>
      <c r="O264" s="36" t="s">
        <v>5394</v>
      </c>
      <c r="P264" s="36" t="s">
        <v>5382</v>
      </c>
    </row>
    <row r="265" spans="1:16">
      <c r="A265" s="139">
        <v>264</v>
      </c>
      <c r="B265" s="36" t="s">
        <v>5395</v>
      </c>
      <c r="C265" s="36" t="s">
        <v>5396</v>
      </c>
      <c r="D265" s="36" t="s">
        <v>5397</v>
      </c>
      <c r="E265" s="36" t="s">
        <v>5398</v>
      </c>
      <c r="F265" s="36" t="s">
        <v>5399</v>
      </c>
      <c r="G265" s="36" t="s">
        <v>5400</v>
      </c>
      <c r="H265" s="36" t="s">
        <v>5401</v>
      </c>
      <c r="I265" s="36" t="s">
        <v>5402</v>
      </c>
      <c r="J265" s="36" t="s">
        <v>5403</v>
      </c>
      <c r="K265" s="36" t="s">
        <v>5404</v>
      </c>
      <c r="L265" s="36" t="s">
        <v>5405</v>
      </c>
      <c r="M265" s="36" t="s">
        <v>5406</v>
      </c>
      <c r="N265" s="36" t="s">
        <v>5407</v>
      </c>
      <c r="O265" s="36" t="s">
        <v>5408</v>
      </c>
      <c r="P265" s="36" t="s">
        <v>5395</v>
      </c>
    </row>
    <row r="266" spans="1:16">
      <c r="A266" s="139">
        <v>265</v>
      </c>
      <c r="B266" s="36" t="s">
        <v>5409</v>
      </c>
      <c r="C266" s="36" t="s">
        <v>5410</v>
      </c>
      <c r="D266" s="36" t="s">
        <v>5411</v>
      </c>
      <c r="E266" s="36" t="s">
        <v>5412</v>
      </c>
      <c r="F266" s="36" t="s">
        <v>5413</v>
      </c>
      <c r="G266" s="36" t="s">
        <v>5414</v>
      </c>
      <c r="H266" s="36" t="s">
        <v>5415</v>
      </c>
      <c r="I266" s="36" t="s">
        <v>5416</v>
      </c>
      <c r="J266" s="36" t="s">
        <v>5417</v>
      </c>
      <c r="K266" s="36" t="s">
        <v>5418</v>
      </c>
      <c r="L266" s="36" t="s">
        <v>5419</v>
      </c>
      <c r="M266" s="36" t="s">
        <v>5420</v>
      </c>
      <c r="N266" s="36" t="s">
        <v>5421</v>
      </c>
      <c r="O266" s="36" t="s">
        <v>5422</v>
      </c>
      <c r="P266" s="36" t="s">
        <v>5409</v>
      </c>
    </row>
    <row r="267" spans="1:16">
      <c r="A267" s="139">
        <v>266</v>
      </c>
      <c r="B267" s="36" t="s">
        <v>5423</v>
      </c>
      <c r="C267" s="36" t="s">
        <v>5424</v>
      </c>
      <c r="D267" s="36" t="s">
        <v>5425</v>
      </c>
      <c r="E267" s="36" t="s">
        <v>5426</v>
      </c>
      <c r="F267" s="36" t="s">
        <v>5427</v>
      </c>
      <c r="G267" s="36" t="s">
        <v>5428</v>
      </c>
      <c r="H267" s="36" t="s">
        <v>5429</v>
      </c>
      <c r="I267" s="36" t="s">
        <v>5430</v>
      </c>
      <c r="J267" s="36" t="s">
        <v>5431</v>
      </c>
      <c r="K267" s="36" t="s">
        <v>5432</v>
      </c>
      <c r="L267" s="36" t="s">
        <v>5433</v>
      </c>
      <c r="M267" s="36" t="s">
        <v>5434</v>
      </c>
      <c r="N267" s="36" t="s">
        <v>5435</v>
      </c>
      <c r="O267" s="36" t="s">
        <v>5436</v>
      </c>
      <c r="P267" s="36" t="s">
        <v>5423</v>
      </c>
    </row>
    <row r="268" spans="1:16">
      <c r="A268" s="139">
        <v>267</v>
      </c>
      <c r="B268" s="36" t="s">
        <v>5437</v>
      </c>
      <c r="C268" s="36" t="s">
        <v>5438</v>
      </c>
      <c r="D268" s="36" t="s">
        <v>5439</v>
      </c>
      <c r="E268" s="36" t="s">
        <v>5440</v>
      </c>
      <c r="F268" s="36" t="s">
        <v>5441</v>
      </c>
      <c r="G268" s="36" t="s">
        <v>5442</v>
      </c>
      <c r="H268" s="36" t="s">
        <v>5443</v>
      </c>
      <c r="I268" s="36" t="s">
        <v>5444</v>
      </c>
      <c r="J268" s="36" t="s">
        <v>5445</v>
      </c>
      <c r="K268" s="36" t="s">
        <v>5446</v>
      </c>
      <c r="L268" s="36" t="s">
        <v>5447</v>
      </c>
      <c r="M268" s="36" t="s">
        <v>5448</v>
      </c>
      <c r="N268" s="36" t="s">
        <v>5449</v>
      </c>
      <c r="O268" s="36" t="s">
        <v>5450</v>
      </c>
      <c r="P268" s="36" t="s">
        <v>5437</v>
      </c>
    </row>
    <row r="269" spans="1:16">
      <c r="A269" s="139">
        <v>268</v>
      </c>
      <c r="B269" s="36" t="s">
        <v>5451</v>
      </c>
      <c r="C269" s="36" t="s">
        <v>5452</v>
      </c>
      <c r="D269" s="36" t="s">
        <v>5453</v>
      </c>
      <c r="E269" s="36" t="s">
        <v>5454</v>
      </c>
      <c r="F269" s="36" t="s">
        <v>5455</v>
      </c>
      <c r="G269" s="36" t="s">
        <v>5456</v>
      </c>
      <c r="H269" s="36" t="s">
        <v>5457</v>
      </c>
      <c r="I269" s="36" t="s">
        <v>5458</v>
      </c>
      <c r="J269" s="36" t="s">
        <v>5459</v>
      </c>
      <c r="K269" s="36" t="s">
        <v>5460</v>
      </c>
      <c r="L269" s="36" t="s">
        <v>5461</v>
      </c>
      <c r="M269" s="36" t="s">
        <v>5462</v>
      </c>
      <c r="N269" s="36" t="s">
        <v>5463</v>
      </c>
      <c r="O269" s="36" t="s">
        <v>5464</v>
      </c>
      <c r="P269" s="36" t="s">
        <v>5451</v>
      </c>
    </row>
    <row r="270" spans="1:16">
      <c r="A270" s="139">
        <v>269</v>
      </c>
      <c r="B270" s="36" t="s">
        <v>5465</v>
      </c>
      <c r="C270" s="36" t="s">
        <v>5466</v>
      </c>
      <c r="D270" s="36" t="s">
        <v>5467</v>
      </c>
      <c r="E270" s="36" t="s">
        <v>5468</v>
      </c>
      <c r="F270" s="36" t="s">
        <v>5469</v>
      </c>
      <c r="G270" s="36" t="s">
        <v>5470</v>
      </c>
      <c r="H270" s="36" t="s">
        <v>5471</v>
      </c>
      <c r="I270" s="36" t="s">
        <v>5472</v>
      </c>
      <c r="J270" s="36" t="s">
        <v>5473</v>
      </c>
      <c r="K270" s="36" t="s">
        <v>5474</v>
      </c>
      <c r="L270" s="36" t="s">
        <v>5475</v>
      </c>
      <c r="M270" s="36" t="s">
        <v>5476</v>
      </c>
      <c r="N270" s="36" t="s">
        <v>5477</v>
      </c>
      <c r="O270" s="36" t="s">
        <v>5478</v>
      </c>
      <c r="P270" s="36" t="s">
        <v>5465</v>
      </c>
    </row>
    <row r="271" spans="1:16">
      <c r="A271" s="139">
        <v>270</v>
      </c>
      <c r="B271" s="36" t="s">
        <v>5479</v>
      </c>
      <c r="C271" s="36" t="s">
        <v>5480</v>
      </c>
      <c r="D271" s="36" t="s">
        <v>5481</v>
      </c>
      <c r="E271" s="36" t="s">
        <v>5482</v>
      </c>
      <c r="F271" s="36" t="s">
        <v>5483</v>
      </c>
      <c r="G271" s="36" t="s">
        <v>5484</v>
      </c>
      <c r="H271" s="36" t="s">
        <v>5485</v>
      </c>
      <c r="I271" s="36" t="s">
        <v>5486</v>
      </c>
      <c r="J271" s="36" t="s">
        <v>5487</v>
      </c>
      <c r="K271" s="36" t="s">
        <v>5488</v>
      </c>
      <c r="L271" s="36" t="s">
        <v>5489</v>
      </c>
      <c r="M271" s="36" t="s">
        <v>5490</v>
      </c>
      <c r="N271" s="36" t="s">
        <v>5491</v>
      </c>
      <c r="O271" s="36" t="s">
        <v>5492</v>
      </c>
      <c r="P271" s="36" t="s">
        <v>5479</v>
      </c>
    </row>
    <row r="272" spans="1:16">
      <c r="A272" s="139">
        <v>271</v>
      </c>
      <c r="B272" s="36" t="s">
        <v>5493</v>
      </c>
      <c r="C272" s="36" t="s">
        <v>5494</v>
      </c>
      <c r="D272" s="36" t="s">
        <v>5495</v>
      </c>
      <c r="E272" s="36" t="s">
        <v>5496</v>
      </c>
      <c r="F272" s="36" t="s">
        <v>5497</v>
      </c>
      <c r="G272" s="36" t="s">
        <v>5498</v>
      </c>
      <c r="H272" s="36" t="s">
        <v>5499</v>
      </c>
      <c r="I272" s="36" t="s">
        <v>5500</v>
      </c>
      <c r="J272" s="36" t="s">
        <v>5501</v>
      </c>
      <c r="K272" s="36" t="s">
        <v>5502</v>
      </c>
      <c r="L272" s="36" t="s">
        <v>5503</v>
      </c>
      <c r="M272" s="36" t="s">
        <v>5504</v>
      </c>
      <c r="N272" s="36" t="s">
        <v>5505</v>
      </c>
      <c r="O272" s="36" t="s">
        <v>5506</v>
      </c>
      <c r="P272" s="36" t="s">
        <v>5493</v>
      </c>
    </row>
    <row r="273" spans="1:16">
      <c r="A273" s="139">
        <v>272</v>
      </c>
      <c r="B273" s="36" t="s">
        <v>5507</v>
      </c>
      <c r="C273" s="36" t="s">
        <v>5508</v>
      </c>
      <c r="D273" s="36" t="s">
        <v>5509</v>
      </c>
      <c r="E273" s="36" t="s">
        <v>5510</v>
      </c>
      <c r="F273" s="36" t="s">
        <v>5511</v>
      </c>
      <c r="G273" s="36" t="s">
        <v>5512</v>
      </c>
      <c r="H273" s="36" t="s">
        <v>5513</v>
      </c>
      <c r="I273" s="36" t="s">
        <v>5514</v>
      </c>
      <c r="J273" s="36" t="s">
        <v>5515</v>
      </c>
      <c r="K273" s="36" t="s">
        <v>5516</v>
      </c>
      <c r="L273" s="36" t="s">
        <v>5517</v>
      </c>
      <c r="M273" s="36" t="s">
        <v>5518</v>
      </c>
      <c r="N273" s="36" t="s">
        <v>5519</v>
      </c>
      <c r="O273" s="36" t="s">
        <v>5520</v>
      </c>
      <c r="P273" s="36" t="s">
        <v>5507</v>
      </c>
    </row>
    <row r="274" spans="1:16">
      <c r="A274" s="139">
        <v>273</v>
      </c>
      <c r="B274" s="36" t="s">
        <v>5521</v>
      </c>
      <c r="C274" s="36" t="s">
        <v>5522</v>
      </c>
      <c r="D274" s="36" t="s">
        <v>5523</v>
      </c>
      <c r="E274" s="36" t="s">
        <v>5524</v>
      </c>
      <c r="F274" s="36" t="s">
        <v>5525</v>
      </c>
      <c r="G274" s="36" t="s">
        <v>5526</v>
      </c>
      <c r="H274" s="36" t="s">
        <v>5527</v>
      </c>
      <c r="I274" s="36" t="s">
        <v>5528</v>
      </c>
      <c r="J274" s="36" t="s">
        <v>5529</v>
      </c>
      <c r="K274" s="36" t="s">
        <v>5530</v>
      </c>
      <c r="L274" s="36" t="s">
        <v>5531</v>
      </c>
      <c r="M274" s="36" t="s">
        <v>5532</v>
      </c>
      <c r="N274" s="36" t="s">
        <v>5531</v>
      </c>
      <c r="O274" s="36" t="s">
        <v>5533</v>
      </c>
      <c r="P274" s="36" t="s">
        <v>5521</v>
      </c>
    </row>
    <row r="275" spans="1:16">
      <c r="A275" s="139">
        <v>274</v>
      </c>
      <c r="B275" s="36" t="s">
        <v>5534</v>
      </c>
      <c r="C275" s="36" t="s">
        <v>5535</v>
      </c>
      <c r="D275" s="36" t="s">
        <v>5536</v>
      </c>
      <c r="E275" s="36" t="s">
        <v>5537</v>
      </c>
      <c r="F275" s="36" t="s">
        <v>5538</v>
      </c>
      <c r="G275" s="36" t="s">
        <v>5539</v>
      </c>
      <c r="H275" s="36" t="s">
        <v>5540</v>
      </c>
      <c r="I275" s="36" t="s">
        <v>5541</v>
      </c>
      <c r="J275" s="36" t="s">
        <v>5542</v>
      </c>
      <c r="K275" s="36" t="s">
        <v>5543</v>
      </c>
      <c r="L275" s="36" t="s">
        <v>5544</v>
      </c>
      <c r="M275" s="36" t="s">
        <v>5545</v>
      </c>
      <c r="N275" s="36" t="s">
        <v>5546</v>
      </c>
      <c r="O275" s="36" t="s">
        <v>5547</v>
      </c>
      <c r="P275" s="36" t="s">
        <v>5534</v>
      </c>
    </row>
    <row r="276" spans="1:16">
      <c r="A276" s="139">
        <v>275</v>
      </c>
      <c r="B276" s="36" t="s">
        <v>5548</v>
      </c>
      <c r="C276" s="36" t="s">
        <v>5549</v>
      </c>
      <c r="D276" s="36" t="s">
        <v>5550</v>
      </c>
      <c r="E276" s="36" t="s">
        <v>5551</v>
      </c>
      <c r="F276" s="36" t="s">
        <v>5552</v>
      </c>
      <c r="G276" s="36" t="s">
        <v>5553</v>
      </c>
      <c r="H276" s="36" t="s">
        <v>5554</v>
      </c>
      <c r="I276" s="36" t="s">
        <v>5555</v>
      </c>
      <c r="J276" s="36" t="s">
        <v>5556</v>
      </c>
      <c r="K276" s="36" t="s">
        <v>5557</v>
      </c>
      <c r="L276" s="36" t="s">
        <v>5558</v>
      </c>
      <c r="M276" s="36" t="s">
        <v>5559</v>
      </c>
      <c r="N276" s="36" t="s">
        <v>5560</v>
      </c>
      <c r="O276" s="36" t="s">
        <v>5561</v>
      </c>
      <c r="P276" s="36" t="s">
        <v>5548</v>
      </c>
    </row>
    <row r="277" spans="1:16">
      <c r="A277" s="139">
        <v>276</v>
      </c>
      <c r="B277" s="36" t="s">
        <v>5562</v>
      </c>
      <c r="C277" s="36" t="s">
        <v>5563</v>
      </c>
      <c r="D277" s="36" t="s">
        <v>5564</v>
      </c>
      <c r="E277" s="36" t="s">
        <v>5565</v>
      </c>
      <c r="F277" s="36" t="s">
        <v>5566</v>
      </c>
      <c r="G277" s="36" t="s">
        <v>5567</v>
      </c>
      <c r="H277" s="36" t="s">
        <v>5568</v>
      </c>
      <c r="I277" s="36" t="s">
        <v>5569</v>
      </c>
      <c r="J277" s="36" t="s">
        <v>5570</v>
      </c>
      <c r="K277" s="36" t="s">
        <v>5571</v>
      </c>
      <c r="L277" s="36" t="s">
        <v>5572</v>
      </c>
      <c r="M277" s="36" t="s">
        <v>5573</v>
      </c>
      <c r="N277" s="36" t="s">
        <v>5574</v>
      </c>
      <c r="O277" s="36" t="s">
        <v>5575</v>
      </c>
      <c r="P277" s="36" t="s">
        <v>5562</v>
      </c>
    </row>
    <row r="278" spans="1:16">
      <c r="A278" s="139">
        <v>277</v>
      </c>
      <c r="B278" s="36" t="s">
        <v>5576</v>
      </c>
      <c r="C278" s="36" t="s">
        <v>5577</v>
      </c>
      <c r="D278" s="36" t="s">
        <v>5578</v>
      </c>
      <c r="E278" s="36" t="s">
        <v>5579</v>
      </c>
      <c r="F278" s="36" t="s">
        <v>5580</v>
      </c>
      <c r="G278" s="36" t="s">
        <v>5581</v>
      </c>
      <c r="H278" s="36" t="s">
        <v>5582</v>
      </c>
      <c r="I278" s="36" t="s">
        <v>5583</v>
      </c>
      <c r="J278" s="36" t="s">
        <v>5584</v>
      </c>
      <c r="K278" s="36" t="s">
        <v>5585</v>
      </c>
      <c r="L278" s="36" t="s">
        <v>5586</v>
      </c>
      <c r="M278" s="36" t="s">
        <v>5587</v>
      </c>
      <c r="N278" s="36" t="s">
        <v>5588</v>
      </c>
      <c r="O278" s="36" t="s">
        <v>5589</v>
      </c>
      <c r="P278" s="36" t="s">
        <v>5576</v>
      </c>
    </row>
    <row r="279" spans="1:16">
      <c r="A279" s="139">
        <v>278</v>
      </c>
      <c r="B279" s="36" t="s">
        <v>5590</v>
      </c>
      <c r="C279" s="36" t="s">
        <v>5591</v>
      </c>
      <c r="D279" s="36" t="s">
        <v>5592</v>
      </c>
      <c r="E279" s="36" t="s">
        <v>5593</v>
      </c>
      <c r="F279" s="36" t="s">
        <v>5594</v>
      </c>
      <c r="G279" s="36" t="s">
        <v>5595</v>
      </c>
      <c r="H279" s="36" t="s">
        <v>5596</v>
      </c>
      <c r="I279" s="36" t="s">
        <v>5597</v>
      </c>
      <c r="J279" s="36" t="s">
        <v>5598</v>
      </c>
      <c r="K279" s="36" t="s">
        <v>5599</v>
      </c>
      <c r="L279" s="36" t="s">
        <v>5600</v>
      </c>
      <c r="M279" s="36" t="s">
        <v>5601</v>
      </c>
      <c r="N279" s="36" t="s">
        <v>5602</v>
      </c>
      <c r="O279" s="36" t="s">
        <v>5603</v>
      </c>
      <c r="P279" s="36" t="s">
        <v>5590</v>
      </c>
    </row>
    <row r="280" spans="1:16">
      <c r="A280" s="139">
        <v>279</v>
      </c>
      <c r="B280" s="36" t="s">
        <v>5604</v>
      </c>
      <c r="C280" s="36" t="s">
        <v>5605</v>
      </c>
      <c r="D280" s="36" t="s">
        <v>5606</v>
      </c>
      <c r="E280" s="36" t="s">
        <v>5607</v>
      </c>
      <c r="F280" s="36" t="s">
        <v>5608</v>
      </c>
      <c r="G280" s="36" t="s">
        <v>5609</v>
      </c>
      <c r="H280" s="36" t="s">
        <v>5610</v>
      </c>
      <c r="I280" s="36" t="s">
        <v>5611</v>
      </c>
      <c r="J280" s="36" t="s">
        <v>5612</v>
      </c>
      <c r="K280" s="36" t="s">
        <v>5613</v>
      </c>
      <c r="L280" s="36" t="s">
        <v>5614</v>
      </c>
      <c r="M280" s="36" t="s">
        <v>5615</v>
      </c>
      <c r="N280" s="36" t="s">
        <v>5616</v>
      </c>
      <c r="O280" s="36" t="s">
        <v>5617</v>
      </c>
      <c r="P280" s="36" t="s">
        <v>5604</v>
      </c>
    </row>
    <row r="281" spans="1:16">
      <c r="A281" s="139">
        <v>280</v>
      </c>
      <c r="B281" s="36" t="s">
        <v>5618</v>
      </c>
      <c r="C281" s="36" t="s">
        <v>5619</v>
      </c>
      <c r="D281" s="36" t="s">
        <v>5620</v>
      </c>
      <c r="E281" s="36" t="s">
        <v>5621</v>
      </c>
      <c r="F281" s="36" t="s">
        <v>5622</v>
      </c>
      <c r="G281" s="36" t="s">
        <v>5623</v>
      </c>
      <c r="H281" s="36" t="s">
        <v>5624</v>
      </c>
      <c r="I281" s="36" t="s">
        <v>5625</v>
      </c>
      <c r="J281" s="36" t="s">
        <v>5626</v>
      </c>
      <c r="K281" s="36" t="s">
        <v>5627</v>
      </c>
      <c r="L281" s="36" t="s">
        <v>5628</v>
      </c>
      <c r="M281" s="36" t="s">
        <v>5629</v>
      </c>
      <c r="N281" s="36" t="s">
        <v>5630</v>
      </c>
      <c r="O281" s="36" t="s">
        <v>5631</v>
      </c>
      <c r="P281" s="36" t="s">
        <v>5632</v>
      </c>
    </row>
    <row r="282" spans="1:16" ht="13.95" customHeight="1">
      <c r="A282" s="139">
        <v>281</v>
      </c>
      <c r="B282" s="36" t="s">
        <v>5633</v>
      </c>
      <c r="C282" s="36" t="s">
        <v>5634</v>
      </c>
      <c r="D282" s="36" t="s">
        <v>5635</v>
      </c>
      <c r="E282" s="36" t="s">
        <v>5636</v>
      </c>
      <c r="F282" s="36" t="s">
        <v>5637</v>
      </c>
      <c r="G282" s="36" t="s">
        <v>5638</v>
      </c>
      <c r="H282" s="36" t="s">
        <v>5639</v>
      </c>
      <c r="I282" s="36" t="s">
        <v>5640</v>
      </c>
      <c r="J282" s="36" t="s">
        <v>5641</v>
      </c>
      <c r="K282" s="36" t="s">
        <v>5642</v>
      </c>
      <c r="L282" s="36" t="s">
        <v>5643</v>
      </c>
      <c r="M282" s="36" t="s">
        <v>5644</v>
      </c>
      <c r="N282" s="36" t="s">
        <v>5645</v>
      </c>
      <c r="O282" s="36" t="s">
        <v>5646</v>
      </c>
      <c r="P282" s="36" t="s">
        <v>5647</v>
      </c>
    </row>
    <row r="283" spans="1:16">
      <c r="A283" s="139">
        <v>282</v>
      </c>
      <c r="B283" s="36" t="s">
        <v>5648</v>
      </c>
      <c r="C283" s="36" t="s">
        <v>5649</v>
      </c>
      <c r="D283" s="36" t="s">
        <v>5650</v>
      </c>
      <c r="E283" s="36" t="s">
        <v>5651</v>
      </c>
      <c r="F283" s="36" t="s">
        <v>5652</v>
      </c>
      <c r="G283" s="36" t="s">
        <v>5653</v>
      </c>
      <c r="H283" s="36" t="s">
        <v>5654</v>
      </c>
      <c r="I283" s="36" t="s">
        <v>5655</v>
      </c>
      <c r="J283" s="36" t="s">
        <v>5656</v>
      </c>
      <c r="K283" s="36" t="s">
        <v>5657</v>
      </c>
      <c r="L283" s="36" t="s">
        <v>5658</v>
      </c>
      <c r="M283" s="36" t="s">
        <v>5659</v>
      </c>
      <c r="N283" s="36" t="s">
        <v>5660</v>
      </c>
      <c r="O283" s="36" t="s">
        <v>5661</v>
      </c>
      <c r="P283" s="36" t="s">
        <v>5662</v>
      </c>
    </row>
    <row r="284" spans="1:16">
      <c r="A284" s="139">
        <v>283</v>
      </c>
      <c r="B284" s="36" t="s">
        <v>5663</v>
      </c>
      <c r="C284" s="36" t="s">
        <v>5664</v>
      </c>
      <c r="D284" s="36" t="s">
        <v>5665</v>
      </c>
      <c r="E284" s="36" t="s">
        <v>5666</v>
      </c>
      <c r="F284" s="36" t="s">
        <v>5667</v>
      </c>
      <c r="G284" s="36" t="s">
        <v>5668</v>
      </c>
      <c r="H284" s="36" t="s">
        <v>5669</v>
      </c>
      <c r="I284" s="36" t="s">
        <v>5670</v>
      </c>
      <c r="J284" s="36" t="s">
        <v>5671</v>
      </c>
      <c r="K284" s="36" t="s">
        <v>5672</v>
      </c>
      <c r="L284" s="36" t="s">
        <v>5673</v>
      </c>
      <c r="M284" s="36" t="s">
        <v>5674</v>
      </c>
      <c r="N284" s="36" t="s">
        <v>5675</v>
      </c>
      <c r="O284" s="36" t="s">
        <v>5676</v>
      </c>
      <c r="P284" s="36" t="s">
        <v>5677</v>
      </c>
    </row>
    <row r="285" spans="1:16">
      <c r="A285" s="139">
        <v>284</v>
      </c>
      <c r="B285" s="36" t="s">
        <v>5678</v>
      </c>
      <c r="C285" s="36" t="s">
        <v>5679</v>
      </c>
      <c r="D285" s="36" t="s">
        <v>5680</v>
      </c>
      <c r="E285" s="36" t="s">
        <v>5681</v>
      </c>
      <c r="F285" s="36" t="s">
        <v>5682</v>
      </c>
      <c r="G285" s="36" t="s">
        <v>5683</v>
      </c>
      <c r="H285" s="36" t="s">
        <v>5684</v>
      </c>
      <c r="I285" s="36" t="s">
        <v>5685</v>
      </c>
      <c r="J285" s="36" t="s">
        <v>5686</v>
      </c>
      <c r="K285" s="36" t="s">
        <v>5687</v>
      </c>
      <c r="L285" s="36" t="s">
        <v>5688</v>
      </c>
      <c r="M285" s="36" t="s">
        <v>5689</v>
      </c>
      <c r="N285" s="36" t="s">
        <v>5690</v>
      </c>
      <c r="O285" s="36" t="s">
        <v>5691</v>
      </c>
      <c r="P285" s="36" t="s">
        <v>5678</v>
      </c>
    </row>
    <row r="286" spans="1:16">
      <c r="A286" s="139">
        <v>285</v>
      </c>
      <c r="B286" s="36" t="s">
        <v>5692</v>
      </c>
      <c r="C286" s="36" t="s">
        <v>5693</v>
      </c>
      <c r="D286" s="36" t="s">
        <v>5694</v>
      </c>
      <c r="E286" s="36" t="s">
        <v>5695</v>
      </c>
      <c r="F286" s="36" t="s">
        <v>5696</v>
      </c>
      <c r="G286" s="36" t="s">
        <v>5697</v>
      </c>
      <c r="H286" s="36" t="s">
        <v>5698</v>
      </c>
      <c r="I286" s="36" t="s">
        <v>5699</v>
      </c>
      <c r="J286" s="36" t="s">
        <v>5700</v>
      </c>
      <c r="K286" s="36" t="s">
        <v>5701</v>
      </c>
      <c r="L286" s="36" t="s">
        <v>5702</v>
      </c>
      <c r="M286" s="36" t="s">
        <v>5703</v>
      </c>
      <c r="N286" s="36" t="s">
        <v>5704</v>
      </c>
      <c r="O286" s="36" t="s">
        <v>5701</v>
      </c>
      <c r="P286" s="36" t="s">
        <v>5692</v>
      </c>
    </row>
    <row r="287" spans="1:16">
      <c r="A287" s="139">
        <v>286</v>
      </c>
      <c r="B287" s="36" t="s">
        <v>2156</v>
      </c>
      <c r="C287" s="36" t="s">
        <v>5705</v>
      </c>
      <c r="D287" s="36" t="s">
        <v>5706</v>
      </c>
      <c r="E287" s="36" t="s">
        <v>5707</v>
      </c>
      <c r="F287" s="36" t="s">
        <v>2156</v>
      </c>
      <c r="G287" s="36" t="s">
        <v>5707</v>
      </c>
      <c r="H287" s="36" t="s">
        <v>5708</v>
      </c>
      <c r="I287" s="36" t="s">
        <v>5708</v>
      </c>
      <c r="J287" s="36" t="s">
        <v>2156</v>
      </c>
      <c r="K287" s="36" t="s">
        <v>5709</v>
      </c>
      <c r="L287" s="36" t="s">
        <v>2156</v>
      </c>
      <c r="M287" s="36" t="s">
        <v>5710</v>
      </c>
      <c r="N287" s="36" t="s">
        <v>5710</v>
      </c>
      <c r="O287" s="36" t="s">
        <v>2156</v>
      </c>
      <c r="P287" s="36" t="s">
        <v>2156</v>
      </c>
    </row>
    <row r="288" spans="1:16">
      <c r="A288" s="139">
        <v>287</v>
      </c>
      <c r="B288" s="36" t="s">
        <v>5711</v>
      </c>
      <c r="C288" s="36" t="s">
        <v>5712</v>
      </c>
      <c r="D288" s="36" t="s">
        <v>5713</v>
      </c>
      <c r="E288" s="36" t="s">
        <v>5714</v>
      </c>
      <c r="F288" s="36" t="s">
        <v>5715</v>
      </c>
      <c r="G288" s="36" t="s">
        <v>5716</v>
      </c>
      <c r="H288" s="36" t="s">
        <v>5717</v>
      </c>
      <c r="I288" s="36" t="s">
        <v>5718</v>
      </c>
      <c r="J288" s="36" t="s">
        <v>5719</v>
      </c>
      <c r="K288" s="36" t="s">
        <v>5720</v>
      </c>
      <c r="L288" s="36" t="s">
        <v>5721</v>
      </c>
      <c r="M288" s="36" t="s">
        <v>5722</v>
      </c>
      <c r="N288" s="36" t="s">
        <v>5722</v>
      </c>
      <c r="O288" s="36" t="s">
        <v>5723</v>
      </c>
      <c r="P288" s="36" t="s">
        <v>5711</v>
      </c>
    </row>
    <row r="289" spans="1:16" ht="13.95" customHeight="1">
      <c r="A289" s="139">
        <v>288</v>
      </c>
      <c r="B289" s="36" t="s">
        <v>5724</v>
      </c>
      <c r="C289" s="36" t="s">
        <v>5725</v>
      </c>
      <c r="D289" s="36" t="s">
        <v>5726</v>
      </c>
      <c r="E289" s="36" t="s">
        <v>5727</v>
      </c>
      <c r="F289" s="36" t="s">
        <v>5728</v>
      </c>
      <c r="G289" s="36" t="s">
        <v>5729</v>
      </c>
      <c r="H289" s="36" t="s">
        <v>5730</v>
      </c>
      <c r="I289" s="36" t="s">
        <v>5731</v>
      </c>
      <c r="J289" s="36" t="s">
        <v>5732</v>
      </c>
      <c r="K289" s="36" t="s">
        <v>5733</v>
      </c>
      <c r="L289" s="36" t="s">
        <v>5734</v>
      </c>
      <c r="M289" s="36" t="s">
        <v>5735</v>
      </c>
      <c r="N289" s="36" t="s">
        <v>5736</v>
      </c>
      <c r="O289" s="36" t="s">
        <v>5737</v>
      </c>
      <c r="P289" s="36" t="s">
        <v>5724</v>
      </c>
    </row>
    <row r="290" spans="1:16">
      <c r="A290" s="139">
        <v>289</v>
      </c>
      <c r="B290" s="36" t="s">
        <v>5738</v>
      </c>
      <c r="C290" s="36" t="s">
        <v>5739</v>
      </c>
      <c r="D290" s="36" t="s">
        <v>5740</v>
      </c>
      <c r="E290" s="36" t="s">
        <v>5741</v>
      </c>
      <c r="F290" s="36" t="s">
        <v>5742</v>
      </c>
      <c r="G290" s="36" t="s">
        <v>5743</v>
      </c>
      <c r="H290" s="36" t="s">
        <v>5744</v>
      </c>
      <c r="I290" s="36" t="s">
        <v>5745</v>
      </c>
      <c r="J290" s="36" t="s">
        <v>5746</v>
      </c>
      <c r="K290" s="36" t="s">
        <v>5747</v>
      </c>
      <c r="L290" s="36" t="s">
        <v>5748</v>
      </c>
      <c r="M290" s="36" t="s">
        <v>5749</v>
      </c>
      <c r="N290" s="36" t="s">
        <v>5750</v>
      </c>
      <c r="O290" s="36" t="s">
        <v>5751</v>
      </c>
      <c r="P290" s="36" t="s">
        <v>5738</v>
      </c>
    </row>
    <row r="291" spans="1:16">
      <c r="A291" s="139">
        <v>290</v>
      </c>
      <c r="B291" s="36" t="s">
        <v>5752</v>
      </c>
      <c r="C291" s="36" t="s">
        <v>5753</v>
      </c>
      <c r="D291" s="36" t="s">
        <v>5754</v>
      </c>
      <c r="E291" s="36" t="s">
        <v>5755</v>
      </c>
      <c r="F291" s="36" t="s">
        <v>5756</v>
      </c>
      <c r="G291" s="36" t="s">
        <v>5757</v>
      </c>
      <c r="H291" s="36" t="s">
        <v>5758</v>
      </c>
      <c r="I291" s="36" t="s">
        <v>5759</v>
      </c>
      <c r="J291" s="36" t="s">
        <v>5760</v>
      </c>
      <c r="K291" s="36" t="s">
        <v>5761</v>
      </c>
      <c r="L291" s="36" t="s">
        <v>5762</v>
      </c>
      <c r="M291" s="36" t="s">
        <v>5763</v>
      </c>
      <c r="N291" s="36" t="s">
        <v>5764</v>
      </c>
      <c r="O291" s="36" t="s">
        <v>5765</v>
      </c>
      <c r="P291" s="36" t="s">
        <v>5752</v>
      </c>
    </row>
    <row r="292" spans="1:16">
      <c r="A292" s="139">
        <v>291</v>
      </c>
      <c r="B292" s="36" t="s">
        <v>5766</v>
      </c>
      <c r="C292" s="36" t="s">
        <v>5767</v>
      </c>
      <c r="D292" s="36" t="s">
        <v>5754</v>
      </c>
      <c r="E292" s="36" t="s">
        <v>5768</v>
      </c>
      <c r="F292" s="36" t="s">
        <v>5769</v>
      </c>
      <c r="G292" s="36" t="s">
        <v>5770</v>
      </c>
      <c r="H292" s="36" t="s">
        <v>5771</v>
      </c>
      <c r="I292" s="36" t="s">
        <v>5772</v>
      </c>
      <c r="J292" s="36" t="s">
        <v>5773</v>
      </c>
      <c r="K292" s="36" t="s">
        <v>5774</v>
      </c>
      <c r="L292" s="36" t="s">
        <v>5775</v>
      </c>
      <c r="M292" s="36" t="s">
        <v>5776</v>
      </c>
      <c r="N292" s="36" t="s">
        <v>5777</v>
      </c>
      <c r="O292" s="36" t="s">
        <v>5778</v>
      </c>
      <c r="P292" s="36" t="s">
        <v>5766</v>
      </c>
    </row>
    <row r="293" spans="1:16">
      <c r="A293" s="139">
        <v>292</v>
      </c>
      <c r="B293" s="36" t="s">
        <v>5779</v>
      </c>
      <c r="C293" s="36" t="s">
        <v>5780</v>
      </c>
      <c r="D293" s="36" t="s">
        <v>5781</v>
      </c>
      <c r="E293" s="36" t="s">
        <v>5782</v>
      </c>
      <c r="F293" s="36" t="s">
        <v>5783</v>
      </c>
      <c r="G293" s="36" t="s">
        <v>5784</v>
      </c>
      <c r="H293" s="36" t="s">
        <v>5785</v>
      </c>
      <c r="I293" s="36" t="s">
        <v>5786</v>
      </c>
      <c r="J293" s="36" t="s">
        <v>5787</v>
      </c>
      <c r="K293" s="36" t="s">
        <v>5788</v>
      </c>
      <c r="L293" s="36" t="s">
        <v>5789</v>
      </c>
      <c r="M293" s="36" t="s">
        <v>5790</v>
      </c>
      <c r="N293" s="36" t="s">
        <v>5791</v>
      </c>
      <c r="O293" s="36" t="s">
        <v>5792</v>
      </c>
      <c r="P293" s="36" t="s">
        <v>5779</v>
      </c>
    </row>
    <row r="294" spans="1:16">
      <c r="A294" s="139">
        <v>293</v>
      </c>
      <c r="B294" s="36" t="s">
        <v>5793</v>
      </c>
      <c r="C294" s="36" t="s">
        <v>5794</v>
      </c>
      <c r="D294" s="36" t="s">
        <v>5795</v>
      </c>
      <c r="E294" s="36" t="s">
        <v>5796</v>
      </c>
      <c r="F294" s="36" t="s">
        <v>5797</v>
      </c>
      <c r="G294" s="36" t="s">
        <v>5798</v>
      </c>
      <c r="H294" s="36" t="s">
        <v>5799</v>
      </c>
      <c r="I294" s="36" t="s">
        <v>5800</v>
      </c>
      <c r="J294" s="36" t="s">
        <v>5801</v>
      </c>
      <c r="K294" s="36" t="s">
        <v>5802</v>
      </c>
      <c r="L294" s="36" t="s">
        <v>5803</v>
      </c>
      <c r="M294" s="36" t="s">
        <v>5804</v>
      </c>
      <c r="N294" s="36" t="s">
        <v>5805</v>
      </c>
      <c r="O294" s="36" t="s">
        <v>5806</v>
      </c>
      <c r="P294" s="36" t="s">
        <v>5793</v>
      </c>
    </row>
    <row r="295" spans="1:16">
      <c r="A295" s="139">
        <v>294</v>
      </c>
      <c r="B295" s="36" t="s">
        <v>5807</v>
      </c>
      <c r="C295" s="36" t="s">
        <v>5808</v>
      </c>
      <c r="D295" s="36" t="s">
        <v>5809</v>
      </c>
      <c r="E295" s="36" t="s">
        <v>5810</v>
      </c>
      <c r="F295" s="36" t="s">
        <v>5811</v>
      </c>
      <c r="G295" s="36" t="s">
        <v>5812</v>
      </c>
      <c r="H295" s="36" t="s">
        <v>5813</v>
      </c>
      <c r="I295" s="36" t="s">
        <v>5814</v>
      </c>
      <c r="J295" s="36" t="s">
        <v>5815</v>
      </c>
      <c r="K295" s="36" t="s">
        <v>5816</v>
      </c>
      <c r="L295" s="36" t="s">
        <v>5817</v>
      </c>
      <c r="M295" s="36" t="s">
        <v>5818</v>
      </c>
      <c r="N295" s="36" t="s">
        <v>5819</v>
      </c>
      <c r="O295" s="36" t="s">
        <v>5820</v>
      </c>
      <c r="P295" s="36" t="s">
        <v>5807</v>
      </c>
    </row>
    <row r="296" spans="1:16">
      <c r="A296" s="139">
        <v>295</v>
      </c>
      <c r="B296" s="36" t="s">
        <v>5821</v>
      </c>
      <c r="C296" s="36" t="s">
        <v>5822</v>
      </c>
      <c r="D296" s="36" t="s">
        <v>5823</v>
      </c>
      <c r="E296" s="36" t="s">
        <v>5824</v>
      </c>
      <c r="F296" s="36" t="s">
        <v>5825</v>
      </c>
      <c r="G296" s="36" t="s">
        <v>5826</v>
      </c>
      <c r="H296" s="36" t="s">
        <v>5827</v>
      </c>
      <c r="I296" s="36" t="s">
        <v>5828</v>
      </c>
      <c r="J296" s="36" t="s">
        <v>5829</v>
      </c>
      <c r="K296" s="36" t="s">
        <v>5830</v>
      </c>
      <c r="L296" s="36" t="s">
        <v>5831</v>
      </c>
      <c r="M296" s="36" t="s">
        <v>5832</v>
      </c>
      <c r="N296" s="36" t="s">
        <v>5833</v>
      </c>
      <c r="O296" s="36" t="s">
        <v>5834</v>
      </c>
      <c r="P296" s="36" t="s">
        <v>5821</v>
      </c>
    </row>
    <row r="297" spans="1:16">
      <c r="A297" s="139">
        <v>296</v>
      </c>
      <c r="B297" s="36" t="s">
        <v>5835</v>
      </c>
      <c r="C297" s="36" t="s">
        <v>5836</v>
      </c>
      <c r="D297" s="36" t="s">
        <v>5837</v>
      </c>
      <c r="E297" s="36" t="s">
        <v>5838</v>
      </c>
      <c r="F297" s="36" t="s">
        <v>5839</v>
      </c>
      <c r="G297" s="36" t="s">
        <v>5840</v>
      </c>
      <c r="H297" s="36" t="s">
        <v>5841</v>
      </c>
      <c r="I297" s="36" t="s">
        <v>5842</v>
      </c>
      <c r="J297" s="36" t="s">
        <v>5843</v>
      </c>
      <c r="K297" s="36" t="s">
        <v>5844</v>
      </c>
      <c r="L297" s="36" t="s">
        <v>5845</v>
      </c>
      <c r="M297" s="36" t="s">
        <v>5846</v>
      </c>
      <c r="N297" s="36" t="s">
        <v>5847</v>
      </c>
      <c r="O297" s="36" t="s">
        <v>5848</v>
      </c>
      <c r="P297" s="36" t="s">
        <v>5835</v>
      </c>
    </row>
    <row r="298" spans="1:16">
      <c r="A298" s="139">
        <v>297</v>
      </c>
      <c r="B298" s="36" t="s">
        <v>5849</v>
      </c>
      <c r="C298" s="36" t="s">
        <v>5850</v>
      </c>
      <c r="D298" s="36" t="s">
        <v>5851</v>
      </c>
      <c r="E298" s="36" t="s">
        <v>5852</v>
      </c>
      <c r="F298" s="36" t="s">
        <v>5853</v>
      </c>
      <c r="G298" s="36" t="s">
        <v>5854</v>
      </c>
      <c r="H298" s="36" t="s">
        <v>5855</v>
      </c>
      <c r="I298" s="36" t="s">
        <v>5856</v>
      </c>
      <c r="J298" s="36" t="s">
        <v>5857</v>
      </c>
      <c r="K298" s="36" t="s">
        <v>5858</v>
      </c>
      <c r="L298" s="36" t="s">
        <v>5859</v>
      </c>
      <c r="M298" s="36" t="s">
        <v>5860</v>
      </c>
      <c r="N298" s="36" t="s">
        <v>5861</v>
      </c>
      <c r="O298" s="36" t="s">
        <v>5862</v>
      </c>
      <c r="P298" s="36" t="s">
        <v>5849</v>
      </c>
    </row>
    <row r="299" spans="1:16">
      <c r="A299" s="139">
        <v>298</v>
      </c>
      <c r="B299" s="36" t="s">
        <v>5863</v>
      </c>
      <c r="C299" s="36" t="s">
        <v>5864</v>
      </c>
      <c r="D299" s="36" t="s">
        <v>5865</v>
      </c>
      <c r="E299" s="36" t="s">
        <v>5866</v>
      </c>
      <c r="F299" s="36" t="s">
        <v>5867</v>
      </c>
      <c r="G299" s="36" t="s">
        <v>5868</v>
      </c>
      <c r="H299" s="36" t="s">
        <v>5869</v>
      </c>
      <c r="I299" s="36" t="s">
        <v>5870</v>
      </c>
      <c r="J299" s="36" t="s">
        <v>5871</v>
      </c>
      <c r="K299" s="36" t="s">
        <v>5872</v>
      </c>
      <c r="L299" s="36" t="s">
        <v>5873</v>
      </c>
      <c r="M299" s="36" t="s">
        <v>5874</v>
      </c>
      <c r="N299" s="36" t="s">
        <v>5875</v>
      </c>
      <c r="O299" s="36" t="s">
        <v>5876</v>
      </c>
      <c r="P299" s="36" t="s">
        <v>5863</v>
      </c>
    </row>
    <row r="300" spans="1:16">
      <c r="A300" s="139">
        <v>299</v>
      </c>
      <c r="B300" s="36" t="s">
        <v>5877</v>
      </c>
      <c r="C300" s="36" t="s">
        <v>5878</v>
      </c>
      <c r="D300" s="36" t="s">
        <v>5879</v>
      </c>
      <c r="E300" s="36" t="s">
        <v>5880</v>
      </c>
      <c r="F300" s="36" t="s">
        <v>5881</v>
      </c>
      <c r="G300" s="36" t="s">
        <v>5882</v>
      </c>
      <c r="H300" s="36" t="s">
        <v>5883</v>
      </c>
      <c r="I300" s="36" t="s">
        <v>5884</v>
      </c>
      <c r="J300" s="36" t="s">
        <v>5885</v>
      </c>
      <c r="K300" s="36" t="s">
        <v>5886</v>
      </c>
      <c r="L300" s="36" t="s">
        <v>5887</v>
      </c>
      <c r="M300" s="36" t="s">
        <v>5888</v>
      </c>
      <c r="N300" s="36" t="s">
        <v>5889</v>
      </c>
      <c r="O300" s="36" t="s">
        <v>5890</v>
      </c>
      <c r="P300" s="36" t="s">
        <v>5877</v>
      </c>
    </row>
    <row r="301" spans="1:16">
      <c r="A301" s="139">
        <v>300</v>
      </c>
      <c r="B301" s="36" t="s">
        <v>5891</v>
      </c>
      <c r="C301" s="36" t="s">
        <v>5892</v>
      </c>
      <c r="D301" s="36" t="s">
        <v>5893</v>
      </c>
      <c r="E301" s="36" t="s">
        <v>5894</v>
      </c>
      <c r="F301" s="36" t="s">
        <v>5895</v>
      </c>
      <c r="G301" s="36" t="s">
        <v>5896</v>
      </c>
      <c r="H301" s="36" t="s">
        <v>5897</v>
      </c>
      <c r="I301" s="36" t="s">
        <v>5898</v>
      </c>
      <c r="J301" s="36" t="s">
        <v>5899</v>
      </c>
      <c r="K301" s="36" t="s">
        <v>5900</v>
      </c>
      <c r="L301" s="36" t="s">
        <v>5901</v>
      </c>
      <c r="M301" s="36" t="s">
        <v>5902</v>
      </c>
      <c r="N301" s="36" t="s">
        <v>5903</v>
      </c>
      <c r="O301" s="36" t="s">
        <v>5904</v>
      </c>
      <c r="P301" s="36" t="s">
        <v>5891</v>
      </c>
    </row>
    <row r="302" spans="1:16">
      <c r="A302" s="139">
        <v>301</v>
      </c>
      <c r="B302" s="36" t="s">
        <v>5905</v>
      </c>
      <c r="C302" s="36" t="s">
        <v>5906</v>
      </c>
      <c r="D302" s="36" t="s">
        <v>5907</v>
      </c>
      <c r="E302" s="36" t="s">
        <v>5908</v>
      </c>
      <c r="F302" s="36" t="s">
        <v>5909</v>
      </c>
      <c r="G302" s="36" t="s">
        <v>5910</v>
      </c>
      <c r="H302" s="36" t="s">
        <v>5911</v>
      </c>
      <c r="I302" s="36" t="s">
        <v>5912</v>
      </c>
      <c r="J302" s="36" t="s">
        <v>5913</v>
      </c>
      <c r="K302" s="36" t="s">
        <v>5914</v>
      </c>
      <c r="L302" s="36" t="s">
        <v>5915</v>
      </c>
      <c r="M302" s="36" t="s">
        <v>5916</v>
      </c>
      <c r="N302" s="36" t="s">
        <v>5917</v>
      </c>
      <c r="O302" s="36" t="s">
        <v>5918</v>
      </c>
      <c r="P302" s="36" t="s">
        <v>5905</v>
      </c>
    </row>
    <row r="303" spans="1:16">
      <c r="A303" s="139">
        <v>302</v>
      </c>
      <c r="B303" s="36" t="s">
        <v>5919</v>
      </c>
      <c r="C303" s="36" t="s">
        <v>5920</v>
      </c>
      <c r="D303" s="36" t="s">
        <v>5919</v>
      </c>
      <c r="E303" s="36" t="s">
        <v>5921</v>
      </c>
      <c r="F303" s="36" t="s">
        <v>5922</v>
      </c>
      <c r="G303" s="36" t="s">
        <v>5923</v>
      </c>
      <c r="H303" s="36" t="s">
        <v>5924</v>
      </c>
      <c r="I303" s="36" t="s">
        <v>5925</v>
      </c>
      <c r="J303" s="36" t="s">
        <v>5926</v>
      </c>
      <c r="K303" s="36" t="s">
        <v>5927</v>
      </c>
      <c r="L303" s="36" t="s">
        <v>5928</v>
      </c>
      <c r="M303" s="36" t="s">
        <v>5929</v>
      </c>
      <c r="N303" s="36" t="s">
        <v>5930</v>
      </c>
      <c r="O303" s="36" t="s">
        <v>5931</v>
      </c>
      <c r="P303" s="36" t="s">
        <v>5919</v>
      </c>
    </row>
    <row r="304" spans="1:16">
      <c r="A304" s="139">
        <v>303</v>
      </c>
      <c r="B304" s="36" t="s">
        <v>5932</v>
      </c>
      <c r="C304" s="36" t="s">
        <v>5933</v>
      </c>
      <c r="D304" s="36" t="s">
        <v>5934</v>
      </c>
      <c r="E304" s="36" t="s">
        <v>5935</v>
      </c>
      <c r="F304" s="36" t="s">
        <v>5936</v>
      </c>
      <c r="G304" s="36" t="s">
        <v>5937</v>
      </c>
      <c r="H304" s="36" t="s">
        <v>5938</v>
      </c>
      <c r="I304" s="36" t="s">
        <v>5939</v>
      </c>
      <c r="J304" s="36" t="s">
        <v>5940</v>
      </c>
      <c r="K304" s="36" t="s">
        <v>5941</v>
      </c>
      <c r="L304" s="36" t="s">
        <v>5942</v>
      </c>
      <c r="M304" s="36" t="s">
        <v>5943</v>
      </c>
      <c r="N304" s="36" t="s">
        <v>5944</v>
      </c>
      <c r="O304" s="36" t="s">
        <v>5945</v>
      </c>
      <c r="P304" s="36" t="s">
        <v>5932</v>
      </c>
    </row>
    <row r="305" spans="1:16">
      <c r="A305" s="139">
        <v>304</v>
      </c>
      <c r="B305" s="36" t="s">
        <v>5946</v>
      </c>
      <c r="C305" s="36" t="s">
        <v>5947</v>
      </c>
      <c r="D305" s="36" t="s">
        <v>5948</v>
      </c>
      <c r="E305" s="36" t="s">
        <v>5949</v>
      </c>
      <c r="F305" s="36" t="s">
        <v>5950</v>
      </c>
      <c r="G305" s="36" t="s">
        <v>5951</v>
      </c>
      <c r="H305" s="36" t="s">
        <v>5952</v>
      </c>
      <c r="I305" s="36" t="s">
        <v>5953</v>
      </c>
      <c r="J305" s="36" t="s">
        <v>5946</v>
      </c>
      <c r="K305" s="36" t="s">
        <v>5954</v>
      </c>
      <c r="L305" s="36" t="s">
        <v>5955</v>
      </c>
      <c r="M305" s="36" t="s">
        <v>5956</v>
      </c>
      <c r="N305" s="36" t="s">
        <v>5957</v>
      </c>
      <c r="O305" s="36" t="s">
        <v>5958</v>
      </c>
      <c r="P305" s="36" t="s">
        <v>5946</v>
      </c>
    </row>
    <row r="306" spans="1:16">
      <c r="A306" s="139">
        <v>305</v>
      </c>
      <c r="B306" s="36" t="s">
        <v>5959</v>
      </c>
      <c r="C306" s="36" t="s">
        <v>5960</v>
      </c>
      <c r="D306" s="36" t="s">
        <v>5961</v>
      </c>
      <c r="E306" s="36" t="s">
        <v>5962</v>
      </c>
      <c r="F306" s="36" t="s">
        <v>5963</v>
      </c>
      <c r="G306" s="36" t="s">
        <v>5964</v>
      </c>
      <c r="H306" s="36" t="s">
        <v>5965</v>
      </c>
      <c r="I306" s="36" t="s">
        <v>5966</v>
      </c>
      <c r="J306" s="36" t="s">
        <v>5967</v>
      </c>
      <c r="K306" s="36" t="s">
        <v>5968</v>
      </c>
      <c r="L306" s="36" t="s">
        <v>5969</v>
      </c>
      <c r="M306" s="36" t="s">
        <v>5970</v>
      </c>
      <c r="N306" s="36" t="s">
        <v>5971</v>
      </c>
      <c r="O306" s="36" t="s">
        <v>5972</v>
      </c>
      <c r="P306" s="36" t="s">
        <v>5959</v>
      </c>
    </row>
    <row r="307" spans="1:16">
      <c r="A307" s="139">
        <v>306</v>
      </c>
      <c r="B307" s="36" t="s">
        <v>5973</v>
      </c>
      <c r="C307" s="36" t="s">
        <v>5974</v>
      </c>
      <c r="D307" s="36" t="s">
        <v>5975</v>
      </c>
      <c r="E307" s="36" t="s">
        <v>5976</v>
      </c>
      <c r="F307" s="36" t="s">
        <v>5977</v>
      </c>
      <c r="G307" s="36" t="s">
        <v>5978</v>
      </c>
      <c r="H307" s="36" t="s">
        <v>5979</v>
      </c>
      <c r="I307" s="36" t="s">
        <v>5980</v>
      </c>
      <c r="J307" s="36" t="s">
        <v>5981</v>
      </c>
      <c r="K307" s="36" t="s">
        <v>5982</v>
      </c>
      <c r="L307" s="36" t="s">
        <v>5983</v>
      </c>
      <c r="M307" s="36" t="s">
        <v>5984</v>
      </c>
      <c r="N307" s="36" t="s">
        <v>5985</v>
      </c>
      <c r="O307" s="36" t="s">
        <v>5986</v>
      </c>
      <c r="P307" s="36" t="s">
        <v>5973</v>
      </c>
    </row>
    <row r="308" spans="1:16">
      <c r="A308" s="139">
        <v>307</v>
      </c>
      <c r="B308" s="36" t="s">
        <v>5987</v>
      </c>
      <c r="C308" s="36" t="s">
        <v>5987</v>
      </c>
      <c r="D308" s="36" t="s">
        <v>5988</v>
      </c>
      <c r="E308" s="36" t="s">
        <v>5989</v>
      </c>
      <c r="F308" s="36" t="s">
        <v>5990</v>
      </c>
      <c r="G308" s="36" t="s">
        <v>5991</v>
      </c>
      <c r="H308" s="36" t="s">
        <v>5992</v>
      </c>
      <c r="I308" s="36" t="s">
        <v>5993</v>
      </c>
      <c r="J308" s="36" t="s">
        <v>5994</v>
      </c>
      <c r="K308" s="36" t="s">
        <v>5995</v>
      </c>
      <c r="L308" s="36" t="s">
        <v>5996</v>
      </c>
      <c r="M308" s="36" t="s">
        <v>5987</v>
      </c>
      <c r="N308" s="36" t="s">
        <v>5997</v>
      </c>
      <c r="O308" s="36" t="s">
        <v>5995</v>
      </c>
      <c r="P308" s="36" t="s">
        <v>5987</v>
      </c>
    </row>
    <row r="309" spans="1:16">
      <c r="A309" s="139">
        <v>308</v>
      </c>
      <c r="B309" s="36" t="s">
        <v>5998</v>
      </c>
      <c r="C309" s="36" t="s">
        <v>5999</v>
      </c>
      <c r="D309" s="36" t="s">
        <v>6000</v>
      </c>
      <c r="E309" s="36" t="s">
        <v>6001</v>
      </c>
      <c r="F309" s="36" t="s">
        <v>6002</v>
      </c>
      <c r="G309" s="36" t="s">
        <v>6003</v>
      </c>
      <c r="H309" s="36" t="s">
        <v>6004</v>
      </c>
      <c r="I309" s="36" t="s">
        <v>6005</v>
      </c>
      <c r="J309" s="36" t="s">
        <v>6006</v>
      </c>
      <c r="K309" s="36" t="s">
        <v>6007</v>
      </c>
      <c r="L309" s="36" t="s">
        <v>6008</v>
      </c>
      <c r="M309" s="36" t="s">
        <v>6009</v>
      </c>
      <c r="N309" s="36" t="s">
        <v>6010</v>
      </c>
      <c r="O309" s="36" t="s">
        <v>6011</v>
      </c>
      <c r="P309" s="36" t="s">
        <v>5998</v>
      </c>
    </row>
    <row r="310" spans="1:16">
      <c r="A310" s="139">
        <v>309</v>
      </c>
      <c r="B310" s="36" t="s">
        <v>6012</v>
      </c>
      <c r="C310" s="36" t="s">
        <v>6013</v>
      </c>
      <c r="D310" s="36" t="s">
        <v>6014</v>
      </c>
      <c r="E310" s="36" t="s">
        <v>6015</v>
      </c>
      <c r="F310" s="36" t="s">
        <v>6016</v>
      </c>
      <c r="G310" s="36" t="s">
        <v>6017</v>
      </c>
      <c r="H310" s="36" t="s">
        <v>6018</v>
      </c>
      <c r="I310" s="36" t="s">
        <v>6019</v>
      </c>
      <c r="J310" s="36" t="s">
        <v>6020</v>
      </c>
      <c r="K310" s="36" t="s">
        <v>6021</v>
      </c>
      <c r="L310" s="36" t="s">
        <v>6022</v>
      </c>
      <c r="M310" s="36" t="s">
        <v>6023</v>
      </c>
      <c r="N310" s="36" t="s">
        <v>6024</v>
      </c>
      <c r="O310" s="36" t="s">
        <v>6025</v>
      </c>
      <c r="P310" s="36" t="s">
        <v>6012</v>
      </c>
    </row>
    <row r="311" spans="1:16">
      <c r="A311" s="139">
        <v>310</v>
      </c>
      <c r="B311" s="36" t="s">
        <v>6026</v>
      </c>
      <c r="C311" s="36" t="s">
        <v>6027</v>
      </c>
      <c r="D311" s="36" t="s">
        <v>6028</v>
      </c>
      <c r="E311" s="36" t="s">
        <v>6029</v>
      </c>
      <c r="F311" s="36" t="s">
        <v>6030</v>
      </c>
      <c r="G311" s="36" t="s">
        <v>6031</v>
      </c>
      <c r="H311" s="36" t="s">
        <v>6032</v>
      </c>
      <c r="I311" s="36" t="s">
        <v>6033</v>
      </c>
      <c r="J311" s="36" t="s">
        <v>6034</v>
      </c>
      <c r="K311" s="36" t="s">
        <v>6035</v>
      </c>
      <c r="L311" s="36" t="s">
        <v>6036</v>
      </c>
      <c r="M311" s="36" t="s">
        <v>6037</v>
      </c>
      <c r="N311" s="36" t="s">
        <v>6038</v>
      </c>
      <c r="O311" s="36" t="s">
        <v>6039</v>
      </c>
      <c r="P311" s="36" t="s">
        <v>6040</v>
      </c>
    </row>
    <row r="312" spans="1:16">
      <c r="A312" s="139">
        <v>311</v>
      </c>
      <c r="B312" s="36" t="s">
        <v>6041</v>
      </c>
      <c r="C312" s="36" t="s">
        <v>6042</v>
      </c>
      <c r="D312" s="36" t="s">
        <v>6043</v>
      </c>
      <c r="E312" s="36" t="s">
        <v>6044</v>
      </c>
      <c r="F312" s="36" t="s">
        <v>6045</v>
      </c>
      <c r="G312" s="36" t="s">
        <v>6046</v>
      </c>
      <c r="H312" s="36" t="s">
        <v>6047</v>
      </c>
      <c r="I312" s="36" t="s">
        <v>6048</v>
      </c>
      <c r="J312" s="36" t="s">
        <v>6049</v>
      </c>
      <c r="K312" s="36" t="s">
        <v>6050</v>
      </c>
      <c r="L312" s="36" t="s">
        <v>6051</v>
      </c>
      <c r="M312" s="36" t="s">
        <v>6052</v>
      </c>
      <c r="N312" s="36" t="s">
        <v>6053</v>
      </c>
      <c r="O312" s="36" t="s">
        <v>6054</v>
      </c>
      <c r="P312" s="36" t="s">
        <v>6041</v>
      </c>
    </row>
    <row r="313" spans="1:16">
      <c r="A313" s="139">
        <v>312</v>
      </c>
      <c r="B313" s="36" t="s">
        <v>6055</v>
      </c>
      <c r="C313" s="36" t="s">
        <v>6056</v>
      </c>
      <c r="D313" s="36" t="s">
        <v>6057</v>
      </c>
      <c r="E313" s="36" t="s">
        <v>6058</v>
      </c>
      <c r="F313" s="36" t="s">
        <v>6059</v>
      </c>
      <c r="G313" s="36" t="s">
        <v>6060</v>
      </c>
      <c r="H313" s="36" t="s">
        <v>6061</v>
      </c>
      <c r="I313" s="36" t="s">
        <v>6062</v>
      </c>
      <c r="J313" s="36" t="s">
        <v>6063</v>
      </c>
      <c r="K313" s="36" t="s">
        <v>6064</v>
      </c>
      <c r="L313" s="36" t="s">
        <v>6065</v>
      </c>
      <c r="M313" s="36" t="s">
        <v>6066</v>
      </c>
      <c r="N313" s="36" t="s">
        <v>6067</v>
      </c>
      <c r="O313" s="36" t="s">
        <v>6068</v>
      </c>
      <c r="P313" s="36" t="s">
        <v>6055</v>
      </c>
    </row>
    <row r="314" spans="1:16">
      <c r="A314" s="139">
        <v>313</v>
      </c>
      <c r="B314" s="36" t="s">
        <v>6069</v>
      </c>
      <c r="C314" s="36" t="s">
        <v>6070</v>
      </c>
      <c r="D314" s="36" t="s">
        <v>6071</v>
      </c>
      <c r="E314" s="36" t="s">
        <v>6072</v>
      </c>
      <c r="F314" s="36" t="s">
        <v>6073</v>
      </c>
      <c r="G314" s="36" t="s">
        <v>6074</v>
      </c>
      <c r="H314" s="36" t="s">
        <v>6075</v>
      </c>
      <c r="I314" s="36" t="s">
        <v>6076</v>
      </c>
      <c r="J314" s="36" t="s">
        <v>6077</v>
      </c>
      <c r="K314" s="36" t="s">
        <v>6078</v>
      </c>
      <c r="L314" s="36" t="s">
        <v>6079</v>
      </c>
      <c r="M314" s="36" t="s">
        <v>6080</v>
      </c>
      <c r="N314" s="36" t="s">
        <v>6081</v>
      </c>
      <c r="O314" s="36" t="s">
        <v>6082</v>
      </c>
      <c r="P314" s="36" t="s">
        <v>6069</v>
      </c>
    </row>
    <row r="315" spans="1:16" ht="13.95" customHeight="1">
      <c r="A315" s="139">
        <v>314</v>
      </c>
      <c r="B315" s="36" t="s">
        <v>6083</v>
      </c>
      <c r="C315" s="36" t="s">
        <v>6084</v>
      </c>
      <c r="D315" s="36" t="s">
        <v>6085</v>
      </c>
      <c r="E315" s="36" t="s">
        <v>6086</v>
      </c>
      <c r="F315" s="36" t="s">
        <v>6087</v>
      </c>
      <c r="G315" s="36" t="s">
        <v>6088</v>
      </c>
      <c r="H315" s="36" t="s">
        <v>6089</v>
      </c>
      <c r="I315" s="36" t="s">
        <v>6090</v>
      </c>
      <c r="J315" s="36" t="s">
        <v>6091</v>
      </c>
      <c r="K315" s="36" t="s">
        <v>6092</v>
      </c>
      <c r="L315" s="36" t="s">
        <v>6093</v>
      </c>
      <c r="M315" s="36" t="s">
        <v>6094</v>
      </c>
      <c r="N315" s="36" t="s">
        <v>6095</v>
      </c>
      <c r="O315" s="36" t="s">
        <v>6096</v>
      </c>
      <c r="P315" s="36" t="s">
        <v>6083</v>
      </c>
    </row>
    <row r="316" spans="1:16" ht="13.95" customHeight="1">
      <c r="A316" s="139">
        <v>315</v>
      </c>
      <c r="B316" s="36" t="s">
        <v>6097</v>
      </c>
      <c r="C316" s="36" t="s">
        <v>6098</v>
      </c>
      <c r="D316" s="36" t="s">
        <v>6099</v>
      </c>
      <c r="E316" s="36" t="s">
        <v>6100</v>
      </c>
      <c r="F316" s="36" t="s">
        <v>6101</v>
      </c>
      <c r="G316" s="36" t="s">
        <v>6102</v>
      </c>
      <c r="H316" s="36" t="s">
        <v>6103</v>
      </c>
      <c r="I316" s="36" t="s">
        <v>6104</v>
      </c>
      <c r="J316" s="36" t="s">
        <v>6105</v>
      </c>
      <c r="K316" s="36" t="s">
        <v>6106</v>
      </c>
      <c r="L316" s="36" t="s">
        <v>6107</v>
      </c>
      <c r="M316" s="36" t="s">
        <v>6108</v>
      </c>
      <c r="N316" s="36" t="s">
        <v>6109</v>
      </c>
      <c r="O316" s="36" t="s">
        <v>6110</v>
      </c>
      <c r="P316" s="36" t="s">
        <v>6097</v>
      </c>
    </row>
    <row r="317" spans="1:16">
      <c r="A317" s="139">
        <v>316</v>
      </c>
      <c r="B317" s="36" t="s">
        <v>6111</v>
      </c>
      <c r="C317" s="36" t="s">
        <v>6112</v>
      </c>
      <c r="D317" s="36" t="s">
        <v>6113</v>
      </c>
      <c r="E317" s="36" t="s">
        <v>6114</v>
      </c>
      <c r="F317" s="36" t="s">
        <v>6115</v>
      </c>
      <c r="G317" s="36" t="s">
        <v>6116</v>
      </c>
      <c r="H317" s="36" t="s">
        <v>6117</v>
      </c>
      <c r="I317" s="36" t="s">
        <v>6118</v>
      </c>
      <c r="J317" s="36" t="s">
        <v>6119</v>
      </c>
      <c r="K317" s="36" t="s">
        <v>6120</v>
      </c>
      <c r="L317" s="36" t="s">
        <v>6121</v>
      </c>
      <c r="M317" s="36" t="s">
        <v>6122</v>
      </c>
      <c r="N317" s="36" t="s">
        <v>6123</v>
      </c>
      <c r="O317" s="36" t="s">
        <v>6124</v>
      </c>
      <c r="P317" s="36" t="s">
        <v>6111</v>
      </c>
    </row>
    <row r="318" spans="1:16">
      <c r="A318" s="139">
        <v>317</v>
      </c>
      <c r="B318" s="36" t="s">
        <v>6125</v>
      </c>
      <c r="C318" s="36" t="s">
        <v>6126</v>
      </c>
      <c r="D318" s="36" t="s">
        <v>6127</v>
      </c>
      <c r="E318" s="36" t="s">
        <v>6128</v>
      </c>
      <c r="F318" s="36" t="s">
        <v>6129</v>
      </c>
      <c r="G318" s="36" t="s">
        <v>6130</v>
      </c>
      <c r="H318" s="36" t="s">
        <v>6131</v>
      </c>
      <c r="I318" s="36" t="s">
        <v>6132</v>
      </c>
      <c r="J318" s="36" t="s">
        <v>6133</v>
      </c>
      <c r="K318" s="36" t="s">
        <v>6134</v>
      </c>
      <c r="L318" s="36" t="s">
        <v>6135</v>
      </c>
      <c r="M318" s="36" t="s">
        <v>6136</v>
      </c>
      <c r="N318" s="36" t="s">
        <v>6137</v>
      </c>
      <c r="O318" s="36" t="s">
        <v>6138</v>
      </c>
      <c r="P318" s="36" t="s">
        <v>6125</v>
      </c>
    </row>
    <row r="319" spans="1:16">
      <c r="A319" s="139">
        <v>318</v>
      </c>
      <c r="B319" s="36" t="s">
        <v>6139</v>
      </c>
      <c r="C319" s="36" t="s">
        <v>6140</v>
      </c>
      <c r="D319" s="36" t="s">
        <v>6141</v>
      </c>
      <c r="E319" s="36" t="s">
        <v>6142</v>
      </c>
      <c r="F319" s="36" t="s">
        <v>6143</v>
      </c>
      <c r="G319" s="36" t="s">
        <v>6144</v>
      </c>
      <c r="H319" s="36" t="s">
        <v>6145</v>
      </c>
      <c r="I319" s="36" t="s">
        <v>6146</v>
      </c>
      <c r="J319" s="36" t="s">
        <v>6147</v>
      </c>
      <c r="K319" s="36" t="s">
        <v>6148</v>
      </c>
      <c r="L319" s="36" t="s">
        <v>6149</v>
      </c>
      <c r="M319" s="36" t="s">
        <v>6150</v>
      </c>
      <c r="N319" s="36" t="s">
        <v>6151</v>
      </c>
      <c r="O319" s="36" t="s">
        <v>6152</v>
      </c>
      <c r="P319" s="36" t="s">
        <v>6139</v>
      </c>
    </row>
    <row r="320" spans="1:16">
      <c r="A320" s="139">
        <v>319</v>
      </c>
      <c r="B320" s="36" t="s">
        <v>6153</v>
      </c>
      <c r="C320" s="36" t="s">
        <v>6154</v>
      </c>
      <c r="D320" s="36" t="s">
        <v>6155</v>
      </c>
      <c r="E320" s="36" t="s">
        <v>6156</v>
      </c>
      <c r="F320" s="36" t="s">
        <v>6157</v>
      </c>
      <c r="G320" s="36" t="s">
        <v>6158</v>
      </c>
      <c r="H320" s="36" t="s">
        <v>6159</v>
      </c>
      <c r="I320" s="36" t="s">
        <v>6160</v>
      </c>
      <c r="J320" s="36" t="s">
        <v>6161</v>
      </c>
      <c r="K320" s="36" t="s">
        <v>6162</v>
      </c>
      <c r="L320" s="36" t="s">
        <v>6163</v>
      </c>
      <c r="M320" s="36" t="s">
        <v>6164</v>
      </c>
      <c r="N320" s="36" t="s">
        <v>6165</v>
      </c>
      <c r="O320" s="36" t="s">
        <v>6166</v>
      </c>
      <c r="P320" s="36" t="s">
        <v>6153</v>
      </c>
    </row>
    <row r="321" spans="1:16">
      <c r="A321" s="139">
        <v>320</v>
      </c>
      <c r="B321" s="36" t="s">
        <v>6167</v>
      </c>
      <c r="C321" s="36" t="s">
        <v>6168</v>
      </c>
      <c r="D321" s="36" t="s">
        <v>6169</v>
      </c>
      <c r="E321" s="36" t="s">
        <v>6170</v>
      </c>
      <c r="F321" s="36" t="s">
        <v>6171</v>
      </c>
      <c r="G321" s="36" t="s">
        <v>6172</v>
      </c>
      <c r="H321" s="36" t="s">
        <v>6173</v>
      </c>
      <c r="I321" s="36" t="s">
        <v>6174</v>
      </c>
      <c r="J321" s="36" t="s">
        <v>6175</v>
      </c>
      <c r="K321" s="36" t="s">
        <v>6176</v>
      </c>
      <c r="L321" s="36" t="s">
        <v>6177</v>
      </c>
      <c r="M321" s="36" t="s">
        <v>6178</v>
      </c>
      <c r="N321" s="36" t="s">
        <v>6179</v>
      </c>
      <c r="O321" s="36" t="s">
        <v>6180</v>
      </c>
      <c r="P321" s="36" t="s">
        <v>6167</v>
      </c>
    </row>
    <row r="322" spans="1:16" ht="13.95" customHeight="1">
      <c r="A322" s="139">
        <v>321</v>
      </c>
      <c r="B322" s="36" t="s">
        <v>6181</v>
      </c>
      <c r="C322" s="36" t="s">
        <v>6168</v>
      </c>
      <c r="D322" s="36" t="s">
        <v>6182</v>
      </c>
      <c r="E322" s="36" t="s">
        <v>6170</v>
      </c>
      <c r="F322" s="36" t="s">
        <v>6171</v>
      </c>
      <c r="G322" s="36" t="s">
        <v>6172</v>
      </c>
      <c r="H322" s="36" t="s">
        <v>6173</v>
      </c>
      <c r="I322" s="36" t="s">
        <v>6183</v>
      </c>
      <c r="J322" s="36" t="s">
        <v>6184</v>
      </c>
      <c r="K322" s="36" t="s">
        <v>6185</v>
      </c>
      <c r="L322" s="36" t="s">
        <v>6176</v>
      </c>
      <c r="M322" s="36" t="s">
        <v>6186</v>
      </c>
      <c r="N322" s="36" t="s">
        <v>6187</v>
      </c>
      <c r="O322" s="36" t="s">
        <v>6188</v>
      </c>
      <c r="P322" s="36" t="s">
        <v>6181</v>
      </c>
    </row>
    <row r="323" spans="1:16">
      <c r="A323" s="139">
        <v>322</v>
      </c>
      <c r="B323" s="36" t="s">
        <v>6189</v>
      </c>
      <c r="C323" s="36" t="s">
        <v>6190</v>
      </c>
      <c r="D323" s="36" t="s">
        <v>6191</v>
      </c>
      <c r="E323" s="36" t="s">
        <v>6192</v>
      </c>
      <c r="F323" s="36" t="s">
        <v>6193</v>
      </c>
      <c r="G323" s="36" t="s">
        <v>6194</v>
      </c>
      <c r="H323" s="36" t="s">
        <v>6195</v>
      </c>
      <c r="I323" s="36" t="s">
        <v>6196</v>
      </c>
      <c r="J323" s="36" t="s">
        <v>6197</v>
      </c>
      <c r="K323" s="36" t="s">
        <v>6198</v>
      </c>
      <c r="L323" s="36" t="s">
        <v>6199</v>
      </c>
      <c r="M323" s="36" t="s">
        <v>6200</v>
      </c>
      <c r="N323" s="36" t="s">
        <v>6201</v>
      </c>
      <c r="O323" s="36" t="s">
        <v>6202</v>
      </c>
      <c r="P323" s="36" t="s">
        <v>6189</v>
      </c>
    </row>
    <row r="324" spans="1:16">
      <c r="A324" s="139">
        <v>323</v>
      </c>
      <c r="B324" s="36" t="s">
        <v>6203</v>
      </c>
      <c r="C324" s="36" t="s">
        <v>6204</v>
      </c>
      <c r="D324" s="36" t="s">
        <v>6205</v>
      </c>
      <c r="E324" s="36" t="s">
        <v>6206</v>
      </c>
      <c r="F324" s="36" t="s">
        <v>6207</v>
      </c>
      <c r="G324" s="36" t="s">
        <v>6208</v>
      </c>
      <c r="H324" s="36" t="s">
        <v>6209</v>
      </c>
      <c r="I324" s="36" t="s">
        <v>6210</v>
      </c>
      <c r="J324" s="36" t="s">
        <v>6211</v>
      </c>
      <c r="K324" s="36" t="s">
        <v>6212</v>
      </c>
      <c r="L324" s="36" t="s">
        <v>6213</v>
      </c>
      <c r="M324" s="36" t="s">
        <v>6214</v>
      </c>
      <c r="N324" s="36" t="s">
        <v>6215</v>
      </c>
      <c r="O324" s="36" t="s">
        <v>6216</v>
      </c>
      <c r="P324" s="36" t="s">
        <v>6203</v>
      </c>
    </row>
    <row r="325" spans="1:16" ht="13.95" customHeight="1">
      <c r="A325" s="139">
        <v>324</v>
      </c>
      <c r="B325" s="36" t="s">
        <v>6217</v>
      </c>
      <c r="C325" s="36" t="s">
        <v>6204</v>
      </c>
      <c r="D325" s="36" t="s">
        <v>6218</v>
      </c>
      <c r="E325" s="36" t="s">
        <v>6206</v>
      </c>
      <c r="F325" s="36" t="s">
        <v>6207</v>
      </c>
      <c r="G325" s="36" t="s">
        <v>6208</v>
      </c>
      <c r="H325" s="36" t="s">
        <v>6209</v>
      </c>
      <c r="I325" s="36" t="s">
        <v>6219</v>
      </c>
      <c r="J325" s="36" t="s">
        <v>6220</v>
      </c>
      <c r="K325" s="36" t="s">
        <v>6221</v>
      </c>
      <c r="L325" s="36" t="s">
        <v>6212</v>
      </c>
      <c r="M325" s="36" t="s">
        <v>6222</v>
      </c>
      <c r="N325" s="36" t="s">
        <v>6223</v>
      </c>
      <c r="O325" s="36" t="s">
        <v>6224</v>
      </c>
      <c r="P325" s="36" t="s">
        <v>6217</v>
      </c>
    </row>
    <row r="326" spans="1:16" ht="13.95" customHeight="1">
      <c r="A326" s="139">
        <v>325</v>
      </c>
      <c r="B326" s="36" t="s">
        <v>6225</v>
      </c>
      <c r="C326" s="36" t="s">
        <v>6226</v>
      </c>
      <c r="D326" s="36" t="s">
        <v>6227</v>
      </c>
      <c r="E326" s="36" t="s">
        <v>6228</v>
      </c>
      <c r="F326" s="36" t="s">
        <v>6229</v>
      </c>
      <c r="G326" s="36" t="s">
        <v>6230</v>
      </c>
      <c r="H326" s="36" t="s">
        <v>6231</v>
      </c>
      <c r="I326" s="36" t="s">
        <v>6232</v>
      </c>
      <c r="J326" s="36" t="s">
        <v>6233</v>
      </c>
      <c r="K326" s="36" t="s">
        <v>6234</v>
      </c>
      <c r="L326" s="36" t="s">
        <v>6235</v>
      </c>
      <c r="M326" s="36" t="s">
        <v>6236</v>
      </c>
      <c r="N326" s="36" t="s">
        <v>6237</v>
      </c>
      <c r="O326" s="36" t="s">
        <v>6238</v>
      </c>
      <c r="P326" s="36" t="s">
        <v>6225</v>
      </c>
    </row>
    <row r="327" spans="1:16" ht="13.95" customHeight="1">
      <c r="A327" s="139">
        <v>326</v>
      </c>
      <c r="B327" s="36" t="s">
        <v>6239</v>
      </c>
      <c r="C327" s="36" t="s">
        <v>6240</v>
      </c>
      <c r="D327" s="36" t="s">
        <v>6241</v>
      </c>
      <c r="E327" s="36" t="s">
        <v>6242</v>
      </c>
      <c r="F327" s="36" t="s">
        <v>6243</v>
      </c>
      <c r="G327" s="36" t="s">
        <v>6244</v>
      </c>
      <c r="H327" s="36" t="s">
        <v>6245</v>
      </c>
      <c r="I327" s="36" t="s">
        <v>6246</v>
      </c>
      <c r="J327" s="36" t="s">
        <v>6247</v>
      </c>
      <c r="K327" s="36" t="s">
        <v>6248</v>
      </c>
      <c r="L327" s="36" t="s">
        <v>6249</v>
      </c>
      <c r="M327" s="36" t="s">
        <v>6250</v>
      </c>
      <c r="N327" s="36" t="s">
        <v>6251</v>
      </c>
      <c r="O327" s="36" t="s">
        <v>6252</v>
      </c>
      <c r="P327" s="36" t="s">
        <v>6239</v>
      </c>
    </row>
    <row r="328" spans="1:16" ht="13.95" customHeight="1">
      <c r="A328" s="139">
        <v>327</v>
      </c>
      <c r="B328" s="36" t="s">
        <v>6253</v>
      </c>
      <c r="C328" s="36" t="s">
        <v>6254</v>
      </c>
      <c r="D328" s="36" t="s">
        <v>6255</v>
      </c>
      <c r="E328" s="36" t="s">
        <v>6256</v>
      </c>
      <c r="F328" s="36" t="s">
        <v>6257</v>
      </c>
      <c r="G328" s="36" t="s">
        <v>6258</v>
      </c>
      <c r="H328" s="36" t="s">
        <v>6259</v>
      </c>
      <c r="I328" s="36" t="s">
        <v>6260</v>
      </c>
      <c r="J328" s="36" t="s">
        <v>6261</v>
      </c>
      <c r="K328" s="36" t="s">
        <v>6262</v>
      </c>
      <c r="L328" s="36" t="s">
        <v>6263</v>
      </c>
      <c r="M328" s="36" t="s">
        <v>6264</v>
      </c>
      <c r="N328" s="36" t="s">
        <v>6265</v>
      </c>
      <c r="O328" s="36" t="s">
        <v>6266</v>
      </c>
      <c r="P328" s="36" t="s">
        <v>6253</v>
      </c>
    </row>
    <row r="329" spans="1:16" ht="13.95" customHeight="1">
      <c r="A329" s="139">
        <v>328</v>
      </c>
      <c r="B329" s="36" t="s">
        <v>6267</v>
      </c>
      <c r="C329" s="36" t="s">
        <v>6268</v>
      </c>
      <c r="D329" s="36" t="s">
        <v>6269</v>
      </c>
      <c r="E329" s="36" t="s">
        <v>6270</v>
      </c>
      <c r="F329" s="36" t="s">
        <v>6271</v>
      </c>
      <c r="G329" s="36" t="s">
        <v>6272</v>
      </c>
      <c r="H329" s="36" t="s">
        <v>6273</v>
      </c>
      <c r="I329" s="36" t="s">
        <v>6274</v>
      </c>
      <c r="J329" s="36" t="s">
        <v>6275</v>
      </c>
      <c r="K329" s="36" t="s">
        <v>6276</v>
      </c>
      <c r="L329" s="36" t="s">
        <v>6277</v>
      </c>
      <c r="M329" s="36" t="s">
        <v>6278</v>
      </c>
      <c r="N329" s="36" t="s">
        <v>6279</v>
      </c>
      <c r="O329" s="36" t="s">
        <v>6280</v>
      </c>
      <c r="P329" s="36" t="s">
        <v>6267</v>
      </c>
    </row>
    <row r="330" spans="1:16" ht="13.95" customHeight="1">
      <c r="A330" s="139">
        <v>329</v>
      </c>
      <c r="B330" s="36" t="s">
        <v>6281</v>
      </c>
      <c r="C330" s="36" t="s">
        <v>6282</v>
      </c>
      <c r="D330" s="36" t="s">
        <v>6283</v>
      </c>
      <c r="E330" s="36" t="s">
        <v>6284</v>
      </c>
      <c r="F330" s="36" t="s">
        <v>6285</v>
      </c>
      <c r="G330" s="36" t="s">
        <v>6286</v>
      </c>
      <c r="H330" s="36" t="s">
        <v>6287</v>
      </c>
      <c r="I330" s="36" t="s">
        <v>6288</v>
      </c>
      <c r="J330" s="36" t="s">
        <v>6289</v>
      </c>
      <c r="K330" s="36" t="s">
        <v>6290</v>
      </c>
      <c r="L330" s="36" t="s">
        <v>6291</v>
      </c>
      <c r="M330" s="36" t="s">
        <v>6292</v>
      </c>
      <c r="N330" s="36" t="s">
        <v>6293</v>
      </c>
      <c r="O330" s="36" t="s">
        <v>6294</v>
      </c>
      <c r="P330" s="36" t="s">
        <v>6281</v>
      </c>
    </row>
    <row r="331" spans="1:16" ht="13.95" customHeight="1">
      <c r="A331" s="139">
        <v>330</v>
      </c>
      <c r="B331" s="36" t="s">
        <v>6295</v>
      </c>
      <c r="C331" s="36" t="s">
        <v>6296</v>
      </c>
      <c r="D331" s="36" t="s">
        <v>6297</v>
      </c>
      <c r="E331" s="36" t="s">
        <v>6298</v>
      </c>
      <c r="F331" s="36" t="s">
        <v>6299</v>
      </c>
      <c r="G331" s="36" t="s">
        <v>6300</v>
      </c>
      <c r="H331" s="36" t="s">
        <v>6301</v>
      </c>
      <c r="I331" s="36" t="s">
        <v>6302</v>
      </c>
      <c r="J331" s="36" t="s">
        <v>6303</v>
      </c>
      <c r="K331" s="36" t="s">
        <v>6304</v>
      </c>
      <c r="L331" s="36" t="s">
        <v>6305</v>
      </c>
      <c r="M331" s="36" t="s">
        <v>6306</v>
      </c>
      <c r="N331" s="36" t="s">
        <v>6307</v>
      </c>
      <c r="O331" s="36" t="s">
        <v>6308</v>
      </c>
      <c r="P331" s="36" t="s">
        <v>6295</v>
      </c>
    </row>
    <row r="332" spans="1:16" ht="13.95" customHeight="1">
      <c r="A332" s="139">
        <v>331</v>
      </c>
      <c r="B332" s="36" t="s">
        <v>6309</v>
      </c>
      <c r="C332" s="36" t="s">
        <v>6310</v>
      </c>
      <c r="D332" s="36" t="s">
        <v>6311</v>
      </c>
      <c r="E332" s="36" t="s">
        <v>6312</v>
      </c>
      <c r="F332" s="36" t="s">
        <v>6313</v>
      </c>
      <c r="G332" s="36" t="s">
        <v>6314</v>
      </c>
      <c r="H332" s="36" t="s">
        <v>6315</v>
      </c>
      <c r="I332" s="36" t="s">
        <v>6316</v>
      </c>
      <c r="J332" s="36" t="s">
        <v>6317</v>
      </c>
      <c r="K332" s="36" t="s">
        <v>6318</v>
      </c>
      <c r="L332" s="36" t="s">
        <v>6319</v>
      </c>
      <c r="M332" s="36" t="s">
        <v>6320</v>
      </c>
      <c r="N332" s="36" t="s">
        <v>6321</v>
      </c>
      <c r="O332" s="36" t="s">
        <v>6322</v>
      </c>
      <c r="P332" s="36" t="s">
        <v>6309</v>
      </c>
    </row>
    <row r="333" spans="1:16" ht="13.95" customHeight="1">
      <c r="A333" s="139">
        <v>332</v>
      </c>
      <c r="B333" s="36" t="s">
        <v>6323</v>
      </c>
      <c r="C333" s="36" t="s">
        <v>6324</v>
      </c>
      <c r="D333" s="36" t="s">
        <v>6325</v>
      </c>
      <c r="E333" s="36" t="s">
        <v>6326</v>
      </c>
      <c r="F333" s="36" t="s">
        <v>6327</v>
      </c>
      <c r="G333" s="36" t="s">
        <v>6324</v>
      </c>
      <c r="H333" s="36" t="s">
        <v>6328</v>
      </c>
      <c r="I333" s="36" t="s">
        <v>6327</v>
      </c>
      <c r="J333" s="36" t="s">
        <v>6329</v>
      </c>
      <c r="K333" s="36" t="s">
        <v>6330</v>
      </c>
      <c r="L333" s="36" t="s">
        <v>6331</v>
      </c>
      <c r="M333" s="36" t="s">
        <v>6332</v>
      </c>
      <c r="N333" s="36" t="s">
        <v>6331</v>
      </c>
      <c r="O333" s="36" t="s">
        <v>6333</v>
      </c>
      <c r="P333" s="36" t="s">
        <v>6323</v>
      </c>
    </row>
    <row r="334" spans="1:16" ht="13.95" customHeight="1">
      <c r="A334" s="139">
        <v>333</v>
      </c>
      <c r="B334" s="36" t="s">
        <v>6334</v>
      </c>
      <c r="C334" s="36" t="s">
        <v>6335</v>
      </c>
      <c r="D334" s="36" t="s">
        <v>6336</v>
      </c>
      <c r="E334" s="36" t="s">
        <v>6337</v>
      </c>
      <c r="F334" s="36" t="s">
        <v>6338</v>
      </c>
      <c r="G334" s="36" t="s">
        <v>6339</v>
      </c>
      <c r="H334" s="36" t="s">
        <v>6340</v>
      </c>
      <c r="I334" s="36" t="s">
        <v>6341</v>
      </c>
      <c r="J334" s="36" t="s">
        <v>6342</v>
      </c>
      <c r="K334" s="36" t="s">
        <v>6343</v>
      </c>
      <c r="L334" s="36" t="s">
        <v>6344</v>
      </c>
      <c r="M334" s="36" t="s">
        <v>6345</v>
      </c>
      <c r="N334" s="36" t="s">
        <v>6346</v>
      </c>
      <c r="O334" s="36" t="s">
        <v>6347</v>
      </c>
      <c r="P334" s="36" t="s">
        <v>6334</v>
      </c>
    </row>
    <row r="335" spans="1:16">
      <c r="A335" s="139">
        <v>334</v>
      </c>
      <c r="B335" s="36" t="s">
        <v>6348</v>
      </c>
      <c r="C335" s="36" t="s">
        <v>6349</v>
      </c>
      <c r="D335" s="36" t="s">
        <v>6350</v>
      </c>
      <c r="E335" s="36" t="s">
        <v>6351</v>
      </c>
      <c r="F335" s="36" t="s">
        <v>6352</v>
      </c>
      <c r="G335" s="36" t="s">
        <v>6353</v>
      </c>
      <c r="H335" s="36" t="s">
        <v>6354</v>
      </c>
      <c r="I335" s="36" t="s">
        <v>6355</v>
      </c>
      <c r="J335" s="36" t="s">
        <v>6356</v>
      </c>
      <c r="K335" s="36" t="s">
        <v>6357</v>
      </c>
      <c r="L335" s="36" t="s">
        <v>6358</v>
      </c>
      <c r="M335" s="36" t="s">
        <v>6359</v>
      </c>
      <c r="N335" s="36" t="s">
        <v>6360</v>
      </c>
      <c r="O335" s="36" t="s">
        <v>6361</v>
      </c>
      <c r="P335" s="36" t="s">
        <v>6348</v>
      </c>
    </row>
    <row r="336" spans="1:16">
      <c r="A336" s="139">
        <v>335</v>
      </c>
      <c r="B336" s="36" t="s">
        <v>6362</v>
      </c>
      <c r="C336" s="36" t="s">
        <v>6363</v>
      </c>
      <c r="D336" s="36" t="s">
        <v>6364</v>
      </c>
      <c r="E336" s="36" t="s">
        <v>6365</v>
      </c>
      <c r="F336" s="36" t="s">
        <v>6366</v>
      </c>
      <c r="G336" s="36" t="s">
        <v>6367</v>
      </c>
      <c r="H336" s="36" t="s">
        <v>6368</v>
      </c>
      <c r="I336" s="36" t="s">
        <v>6369</v>
      </c>
      <c r="J336" s="36" t="s">
        <v>6370</v>
      </c>
      <c r="K336" s="36" t="s">
        <v>6371</v>
      </c>
      <c r="L336" s="36" t="s">
        <v>6372</v>
      </c>
      <c r="M336" s="36" t="s">
        <v>6373</v>
      </c>
      <c r="N336" s="36" t="s">
        <v>6374</v>
      </c>
      <c r="O336" s="36" t="s">
        <v>6375</v>
      </c>
      <c r="P336" s="36" t="s">
        <v>6376</v>
      </c>
    </row>
    <row r="337" spans="1:16">
      <c r="A337" s="139">
        <v>336</v>
      </c>
      <c r="B337" s="36" t="s">
        <v>6377</v>
      </c>
      <c r="C337" s="36" t="s">
        <v>6378</v>
      </c>
      <c r="D337" s="36" t="s">
        <v>6379</v>
      </c>
      <c r="E337" s="36" t="s">
        <v>6380</v>
      </c>
      <c r="F337" s="36" t="s">
        <v>6381</v>
      </c>
      <c r="G337" s="36" t="s">
        <v>6382</v>
      </c>
      <c r="H337" s="36" t="s">
        <v>6383</v>
      </c>
      <c r="I337" s="36" t="s">
        <v>6384</v>
      </c>
      <c r="J337" s="36" t="s">
        <v>6385</v>
      </c>
      <c r="K337" s="36" t="s">
        <v>6371</v>
      </c>
      <c r="L337" s="36" t="s">
        <v>6386</v>
      </c>
      <c r="M337" s="36" t="s">
        <v>6387</v>
      </c>
      <c r="N337" s="36" t="s">
        <v>6388</v>
      </c>
      <c r="O337" s="36" t="s">
        <v>6389</v>
      </c>
      <c r="P337" s="36" t="s">
        <v>6390</v>
      </c>
    </row>
    <row r="338" spans="1:16">
      <c r="A338" s="139">
        <v>337</v>
      </c>
      <c r="B338" s="36" t="s">
        <v>6391</v>
      </c>
      <c r="C338" s="36" t="s">
        <v>6392</v>
      </c>
      <c r="D338" s="36" t="s">
        <v>6393</v>
      </c>
      <c r="E338" s="36" t="s">
        <v>6394</v>
      </c>
      <c r="F338" s="36" t="s">
        <v>6395</v>
      </c>
      <c r="G338" s="36" t="s">
        <v>6396</v>
      </c>
      <c r="H338" s="36" t="s">
        <v>6397</v>
      </c>
      <c r="I338" s="36" t="s">
        <v>6398</v>
      </c>
      <c r="J338" s="36" t="s">
        <v>6399</v>
      </c>
      <c r="K338" s="36" t="s">
        <v>6400</v>
      </c>
      <c r="L338" s="36" t="s">
        <v>6401</v>
      </c>
      <c r="M338" s="36" t="s">
        <v>6402</v>
      </c>
      <c r="N338" s="36" t="s">
        <v>6403</v>
      </c>
      <c r="O338" s="36" t="s">
        <v>6404</v>
      </c>
      <c r="P338" s="36" t="s">
        <v>6391</v>
      </c>
    </row>
    <row r="339" spans="1:16">
      <c r="A339" s="139">
        <v>338</v>
      </c>
      <c r="B339" s="36" t="s">
        <v>6405</v>
      </c>
      <c r="C339" s="36" t="s">
        <v>6406</v>
      </c>
      <c r="D339" s="36" t="s">
        <v>6407</v>
      </c>
      <c r="E339" s="36" t="s">
        <v>6408</v>
      </c>
      <c r="F339" s="36" t="s">
        <v>6409</v>
      </c>
      <c r="G339" s="36" t="s">
        <v>6410</v>
      </c>
      <c r="H339" s="36" t="s">
        <v>6411</v>
      </c>
      <c r="I339" s="36" t="s">
        <v>6412</v>
      </c>
      <c r="J339" s="36" t="s">
        <v>6413</v>
      </c>
      <c r="K339" s="36" t="s">
        <v>6414</v>
      </c>
      <c r="L339" s="36" t="s">
        <v>6415</v>
      </c>
      <c r="M339" s="36" t="s">
        <v>6416</v>
      </c>
      <c r="N339" s="36" t="s">
        <v>6417</v>
      </c>
      <c r="O339" s="36" t="s">
        <v>6418</v>
      </c>
      <c r="P339" s="36" t="s">
        <v>6405</v>
      </c>
    </row>
    <row r="340" spans="1:16">
      <c r="A340" s="139">
        <v>339</v>
      </c>
      <c r="B340" s="36" t="s">
        <v>6419</v>
      </c>
      <c r="C340" s="36" t="s">
        <v>6420</v>
      </c>
      <c r="D340" s="36" t="s">
        <v>6421</v>
      </c>
      <c r="E340" s="36" t="s">
        <v>6422</v>
      </c>
      <c r="F340" s="36" t="s">
        <v>6423</v>
      </c>
      <c r="G340" s="36" t="s">
        <v>6424</v>
      </c>
      <c r="H340" s="36" t="s">
        <v>6425</v>
      </c>
      <c r="I340" s="36" t="s">
        <v>6426</v>
      </c>
      <c r="J340" s="36" t="s">
        <v>6427</v>
      </c>
      <c r="K340" s="36" t="s">
        <v>6428</v>
      </c>
      <c r="L340" s="36" t="s">
        <v>6429</v>
      </c>
      <c r="M340" s="36" t="s">
        <v>6430</v>
      </c>
      <c r="N340" s="36" t="s">
        <v>6431</v>
      </c>
      <c r="O340" s="36" t="s">
        <v>6432</v>
      </c>
      <c r="P340" s="36" t="s">
        <v>6419</v>
      </c>
    </row>
    <row r="341" spans="1:16">
      <c r="A341" s="139">
        <v>340</v>
      </c>
      <c r="B341" s="36" t="s">
        <v>6433</v>
      </c>
      <c r="C341" s="36" t="s">
        <v>6434</v>
      </c>
      <c r="D341" s="36" t="s">
        <v>6435</v>
      </c>
      <c r="E341" s="36" t="s">
        <v>6436</v>
      </c>
      <c r="F341" s="36" t="s">
        <v>6437</v>
      </c>
      <c r="G341" s="36" t="s">
        <v>6438</v>
      </c>
      <c r="H341" s="36" t="s">
        <v>6439</v>
      </c>
      <c r="I341" s="36" t="s">
        <v>4265</v>
      </c>
      <c r="J341" s="36" t="s">
        <v>6440</v>
      </c>
      <c r="K341" s="36" t="s">
        <v>6441</v>
      </c>
      <c r="L341" s="36" t="s">
        <v>6442</v>
      </c>
      <c r="M341" s="36" t="s">
        <v>6443</v>
      </c>
      <c r="N341" s="36" t="s">
        <v>6444</v>
      </c>
      <c r="O341" s="36" t="s">
        <v>6445</v>
      </c>
      <c r="P341" s="36" t="s">
        <v>6433</v>
      </c>
    </row>
    <row r="342" spans="1:16">
      <c r="A342" s="139">
        <v>341</v>
      </c>
      <c r="B342" s="36" t="s">
        <v>6446</v>
      </c>
      <c r="C342" s="36" t="s">
        <v>6447</v>
      </c>
      <c r="D342" s="36" t="s">
        <v>6448</v>
      </c>
      <c r="E342" s="36" t="s">
        <v>6449</v>
      </c>
      <c r="F342" s="36" t="s">
        <v>4262</v>
      </c>
      <c r="G342" s="36" t="s">
        <v>6450</v>
      </c>
      <c r="H342" s="36" t="s">
        <v>6451</v>
      </c>
      <c r="I342" s="36" t="s">
        <v>6452</v>
      </c>
      <c r="J342" s="36" t="s">
        <v>6453</v>
      </c>
      <c r="K342" s="36" t="s">
        <v>6454</v>
      </c>
      <c r="L342" s="36" t="s">
        <v>6455</v>
      </c>
      <c r="M342" s="36" t="s">
        <v>6456</v>
      </c>
      <c r="N342" s="36" t="s">
        <v>6457</v>
      </c>
      <c r="O342" s="36" t="s">
        <v>6458</v>
      </c>
      <c r="P342" s="36" t="s">
        <v>6446</v>
      </c>
    </row>
    <row r="343" spans="1:16">
      <c r="A343" s="139">
        <v>342</v>
      </c>
      <c r="B343" s="36" t="s">
        <v>6459</v>
      </c>
      <c r="C343" s="36" t="s">
        <v>6460</v>
      </c>
      <c r="D343" s="36" t="s">
        <v>6461</v>
      </c>
      <c r="E343" s="36" t="s">
        <v>6462</v>
      </c>
      <c r="F343" s="36" t="s">
        <v>6463</v>
      </c>
      <c r="G343" s="36" t="s">
        <v>6464</v>
      </c>
      <c r="H343" s="36" t="s">
        <v>6465</v>
      </c>
      <c r="I343" s="36" t="s">
        <v>6466</v>
      </c>
      <c r="J343" s="36" t="s">
        <v>6467</v>
      </c>
      <c r="K343" s="36" t="s">
        <v>6468</v>
      </c>
      <c r="L343" s="36" t="s">
        <v>6469</v>
      </c>
      <c r="M343" s="36" t="s">
        <v>6470</v>
      </c>
      <c r="N343" s="36" t="s">
        <v>6471</v>
      </c>
      <c r="O343" s="36" t="s">
        <v>6472</v>
      </c>
      <c r="P343" s="36" t="s">
        <v>6459</v>
      </c>
    </row>
    <row r="344" spans="1:16">
      <c r="A344" s="139">
        <v>343</v>
      </c>
      <c r="B344" s="36" t="s">
        <v>6473</v>
      </c>
      <c r="C344" s="36" t="s">
        <v>6474</v>
      </c>
      <c r="D344" s="36" t="s">
        <v>6475</v>
      </c>
      <c r="E344" s="36" t="s">
        <v>6476</v>
      </c>
      <c r="F344" s="36" t="s">
        <v>6477</v>
      </c>
      <c r="G344" s="36" t="s">
        <v>6478</v>
      </c>
      <c r="H344" s="36" t="s">
        <v>6479</v>
      </c>
      <c r="I344" s="36" t="s">
        <v>6480</v>
      </c>
      <c r="J344" s="36" t="s">
        <v>6481</v>
      </c>
      <c r="K344" s="36" t="s">
        <v>6482</v>
      </c>
      <c r="L344" s="36" t="s">
        <v>6483</v>
      </c>
      <c r="M344" s="36" t="s">
        <v>6484</v>
      </c>
      <c r="N344" s="36" t="s">
        <v>6485</v>
      </c>
      <c r="O344" s="36" t="s">
        <v>6486</v>
      </c>
      <c r="P344" s="36" t="s">
        <v>6473</v>
      </c>
    </row>
    <row r="345" spans="1:16">
      <c r="A345" s="139">
        <v>344</v>
      </c>
      <c r="B345" s="36" t="s">
        <v>6487</v>
      </c>
      <c r="C345" s="36" t="s">
        <v>6488</v>
      </c>
      <c r="D345" s="36" t="s">
        <v>6489</v>
      </c>
      <c r="E345" s="36" t="s">
        <v>6490</v>
      </c>
      <c r="F345" s="36" t="s">
        <v>6491</v>
      </c>
      <c r="G345" s="36" t="s">
        <v>6492</v>
      </c>
      <c r="H345" s="36" t="s">
        <v>6493</v>
      </c>
      <c r="I345" s="36" t="s">
        <v>6494</v>
      </c>
      <c r="J345" s="36" t="s">
        <v>6495</v>
      </c>
      <c r="K345" s="36" t="s">
        <v>6496</v>
      </c>
      <c r="L345" s="36" t="s">
        <v>6497</v>
      </c>
      <c r="M345" s="36" t="s">
        <v>6498</v>
      </c>
      <c r="N345" s="36" t="s">
        <v>6499</v>
      </c>
      <c r="O345" s="36" t="s">
        <v>6500</v>
      </c>
      <c r="P345" s="36" t="s">
        <v>6487</v>
      </c>
    </row>
    <row r="346" spans="1:16">
      <c r="A346" s="139">
        <v>345</v>
      </c>
      <c r="B346" s="36" t="s">
        <v>6501</v>
      </c>
      <c r="C346" s="36" t="s">
        <v>6502</v>
      </c>
      <c r="D346" s="36" t="s">
        <v>6503</v>
      </c>
      <c r="E346" s="36" t="s">
        <v>6504</v>
      </c>
      <c r="F346" s="36" t="s">
        <v>6505</v>
      </c>
      <c r="G346" s="36" t="s">
        <v>6506</v>
      </c>
      <c r="H346" s="36" t="s">
        <v>6507</v>
      </c>
      <c r="I346" s="36" t="s">
        <v>6494</v>
      </c>
      <c r="J346" s="36" t="s">
        <v>6508</v>
      </c>
      <c r="K346" s="36" t="s">
        <v>6509</v>
      </c>
      <c r="L346" s="36" t="s">
        <v>6510</v>
      </c>
      <c r="M346" s="36" t="s">
        <v>6511</v>
      </c>
      <c r="N346" s="36" t="s">
        <v>6512</v>
      </c>
      <c r="O346" s="36" t="s">
        <v>6513</v>
      </c>
      <c r="P346" s="36" t="s">
        <v>6501</v>
      </c>
    </row>
    <row r="347" spans="1:16">
      <c r="A347" s="139">
        <v>346</v>
      </c>
      <c r="B347" s="36" t="s">
        <v>6514</v>
      </c>
      <c r="C347" s="36" t="s">
        <v>6515</v>
      </c>
      <c r="D347" s="36" t="s">
        <v>6516</v>
      </c>
      <c r="E347" s="36" t="s">
        <v>6517</v>
      </c>
      <c r="F347" s="36" t="s">
        <v>6518</v>
      </c>
      <c r="G347" s="36" t="s">
        <v>6519</v>
      </c>
      <c r="H347" s="36" t="s">
        <v>6520</v>
      </c>
      <c r="I347" s="36" t="s">
        <v>6521</v>
      </c>
      <c r="J347" s="36" t="s">
        <v>6522</v>
      </c>
      <c r="K347" s="36" t="s">
        <v>6523</v>
      </c>
      <c r="L347" s="36" t="s">
        <v>6524</v>
      </c>
      <c r="M347" s="36" t="s">
        <v>6525</v>
      </c>
      <c r="N347" s="36" t="s">
        <v>6525</v>
      </c>
      <c r="O347" s="36" t="s">
        <v>6526</v>
      </c>
      <c r="P347" s="36" t="s">
        <v>6514</v>
      </c>
    </row>
    <row r="348" spans="1:16">
      <c r="A348" s="139">
        <v>347</v>
      </c>
      <c r="B348" s="36" t="s">
        <v>6527</v>
      </c>
      <c r="C348" s="36" t="s">
        <v>6528</v>
      </c>
      <c r="D348" s="36" t="s">
        <v>6336</v>
      </c>
      <c r="E348" s="36" t="s">
        <v>6529</v>
      </c>
      <c r="F348" s="36" t="s">
        <v>6338</v>
      </c>
      <c r="G348" s="36" t="s">
        <v>6530</v>
      </c>
      <c r="H348" s="36" t="s">
        <v>6531</v>
      </c>
      <c r="I348" s="36" t="s">
        <v>6532</v>
      </c>
      <c r="J348" s="36" t="s">
        <v>6533</v>
      </c>
      <c r="K348" s="36" t="s">
        <v>6534</v>
      </c>
      <c r="L348" s="36" t="s">
        <v>6535</v>
      </c>
      <c r="M348" s="36" t="s">
        <v>6536</v>
      </c>
      <c r="N348" s="36" t="s">
        <v>6537</v>
      </c>
      <c r="O348" s="36" t="s">
        <v>6538</v>
      </c>
      <c r="P348" s="36" t="s">
        <v>6527</v>
      </c>
    </row>
    <row r="349" spans="1:16">
      <c r="A349" s="139">
        <v>348</v>
      </c>
      <c r="B349" s="36" t="s">
        <v>6539</v>
      </c>
      <c r="C349" s="36" t="s">
        <v>6540</v>
      </c>
      <c r="D349" s="36" t="s">
        <v>6541</v>
      </c>
      <c r="E349" s="36" t="s">
        <v>6542</v>
      </c>
      <c r="F349" s="36" t="s">
        <v>6543</v>
      </c>
      <c r="G349" s="36" t="s">
        <v>6544</v>
      </c>
      <c r="H349" s="36" t="s">
        <v>6545</v>
      </c>
      <c r="I349" s="36" t="s">
        <v>6546</v>
      </c>
      <c r="J349" s="36" t="s">
        <v>6547</v>
      </c>
      <c r="K349" s="36" t="s">
        <v>6548</v>
      </c>
      <c r="L349" s="36" t="s">
        <v>6549</v>
      </c>
      <c r="M349" s="36" t="s">
        <v>6550</v>
      </c>
      <c r="N349" s="36" t="s">
        <v>6551</v>
      </c>
      <c r="O349" s="36" t="s">
        <v>6552</v>
      </c>
      <c r="P349" s="36" t="s">
        <v>6539</v>
      </c>
    </row>
    <row r="350" spans="1:16">
      <c r="A350" s="139">
        <v>349</v>
      </c>
      <c r="B350" s="36" t="s">
        <v>6553</v>
      </c>
      <c r="C350" s="36" t="s">
        <v>6554</v>
      </c>
      <c r="D350" s="36" t="s">
        <v>6555</v>
      </c>
      <c r="E350" s="36" t="s">
        <v>6556</v>
      </c>
      <c r="F350" s="36" t="s">
        <v>6557</v>
      </c>
      <c r="G350" s="36" t="s">
        <v>6554</v>
      </c>
      <c r="H350" s="36" t="s">
        <v>6554</v>
      </c>
      <c r="I350" s="36" t="s">
        <v>6557</v>
      </c>
      <c r="J350" s="36" t="s">
        <v>6558</v>
      </c>
      <c r="K350" s="36" t="s">
        <v>6559</v>
      </c>
      <c r="L350" s="36" t="s">
        <v>6560</v>
      </c>
      <c r="M350" s="36" t="s">
        <v>6558</v>
      </c>
      <c r="N350" s="36" t="s">
        <v>6560</v>
      </c>
      <c r="O350" s="36" t="s">
        <v>6561</v>
      </c>
      <c r="P350" s="36" t="s">
        <v>6553</v>
      </c>
    </row>
    <row r="351" spans="1:16">
      <c r="A351" s="139">
        <v>350</v>
      </c>
      <c r="B351" s="36" t="s">
        <v>6562</v>
      </c>
      <c r="C351" s="36" t="s">
        <v>6563</v>
      </c>
      <c r="D351" s="36" t="s">
        <v>6564</v>
      </c>
      <c r="E351" s="36" t="s">
        <v>6565</v>
      </c>
      <c r="F351" s="36" t="s">
        <v>6566</v>
      </c>
      <c r="G351" s="36" t="s">
        <v>6567</v>
      </c>
      <c r="H351" s="36" t="s">
        <v>6568</v>
      </c>
      <c r="I351" s="36" t="s">
        <v>6569</v>
      </c>
      <c r="J351" s="36" t="s">
        <v>6570</v>
      </c>
      <c r="K351" s="36" t="s">
        <v>6571</v>
      </c>
      <c r="L351" s="36" t="s">
        <v>6572</v>
      </c>
      <c r="M351" s="36" t="s">
        <v>6573</v>
      </c>
      <c r="N351" s="36" t="s">
        <v>6573</v>
      </c>
      <c r="O351" s="36" t="s">
        <v>6574</v>
      </c>
      <c r="P351" s="36" t="s">
        <v>6562</v>
      </c>
    </row>
    <row r="352" spans="1:16">
      <c r="A352" s="139">
        <v>351</v>
      </c>
      <c r="B352" s="36" t="s">
        <v>6575</v>
      </c>
      <c r="C352" s="36" t="s">
        <v>6576</v>
      </c>
      <c r="D352" s="36" t="s">
        <v>6577</v>
      </c>
      <c r="E352" s="36" t="s">
        <v>6578</v>
      </c>
      <c r="F352" s="36" t="s">
        <v>6579</v>
      </c>
      <c r="G352" s="36" t="s">
        <v>6580</v>
      </c>
      <c r="H352" s="36" t="s">
        <v>6581</v>
      </c>
      <c r="I352" s="36" t="s">
        <v>6582</v>
      </c>
      <c r="J352" s="36" t="s">
        <v>6583</v>
      </c>
      <c r="K352" s="36" t="s">
        <v>6584</v>
      </c>
      <c r="L352" s="36" t="s">
        <v>6585</v>
      </c>
      <c r="M352" s="36" t="s">
        <v>6586</v>
      </c>
      <c r="N352" s="36" t="s">
        <v>6587</v>
      </c>
      <c r="O352" s="36" t="s">
        <v>6588</v>
      </c>
      <c r="P352" s="36" t="s">
        <v>6575</v>
      </c>
    </row>
    <row r="353" spans="1:16">
      <c r="A353" s="139">
        <v>352</v>
      </c>
      <c r="B353" s="36" t="s">
        <v>6589</v>
      </c>
      <c r="C353" s="36" t="s">
        <v>6590</v>
      </c>
      <c r="D353" s="36" t="s">
        <v>6591</v>
      </c>
      <c r="E353" s="36" t="s">
        <v>6592</v>
      </c>
      <c r="F353" s="36" t="s">
        <v>6593</v>
      </c>
      <c r="G353" s="36" t="s">
        <v>6594</v>
      </c>
      <c r="H353" s="36" t="s">
        <v>6595</v>
      </c>
      <c r="I353" s="36" t="s">
        <v>6596</v>
      </c>
      <c r="J353" s="36" t="s">
        <v>6597</v>
      </c>
      <c r="K353" s="36" t="s">
        <v>6598</v>
      </c>
      <c r="L353" s="36" t="s">
        <v>6599</v>
      </c>
      <c r="M353" s="36" t="s">
        <v>6600</v>
      </c>
      <c r="N353" s="36" t="s">
        <v>6601</v>
      </c>
      <c r="O353" s="36" t="s">
        <v>6602</v>
      </c>
      <c r="P353" s="36" t="s">
        <v>6589</v>
      </c>
    </row>
    <row r="354" spans="1:16">
      <c r="A354" s="139">
        <v>353</v>
      </c>
      <c r="B354" s="36" t="s">
        <v>6603</v>
      </c>
      <c r="C354" s="36" t="s">
        <v>6604</v>
      </c>
      <c r="D354" s="36" t="s">
        <v>6605</v>
      </c>
      <c r="E354" s="36" t="s">
        <v>6606</v>
      </c>
      <c r="F354" s="36" t="s">
        <v>6607</v>
      </c>
      <c r="G354" s="36" t="s">
        <v>6608</v>
      </c>
      <c r="H354" s="36" t="s">
        <v>6609</v>
      </c>
      <c r="I354" s="36" t="s">
        <v>6610</v>
      </c>
      <c r="J354" s="36" t="s">
        <v>6611</v>
      </c>
      <c r="K354" s="36" t="s">
        <v>6612</v>
      </c>
      <c r="L354" s="36" t="s">
        <v>6613</v>
      </c>
      <c r="M354" s="36" t="s">
        <v>6614</v>
      </c>
      <c r="N354" s="36" t="s">
        <v>6615</v>
      </c>
      <c r="O354" s="36" t="s">
        <v>6616</v>
      </c>
      <c r="P354" s="36" t="s">
        <v>6603</v>
      </c>
    </row>
    <row r="355" spans="1:16">
      <c r="A355" s="139">
        <v>354</v>
      </c>
      <c r="B355" s="36" t="s">
        <v>6617</v>
      </c>
      <c r="C355" s="36" t="s">
        <v>6618</v>
      </c>
      <c r="D355" s="36" t="s">
        <v>6619</v>
      </c>
      <c r="E355" s="36" t="s">
        <v>6620</v>
      </c>
      <c r="F355" s="36" t="s">
        <v>6621</v>
      </c>
      <c r="G355" s="36" t="s">
        <v>6622</v>
      </c>
      <c r="H355" s="36" t="s">
        <v>6623</v>
      </c>
      <c r="I355" s="36" t="s">
        <v>6624</v>
      </c>
      <c r="J355" s="36" t="s">
        <v>6625</v>
      </c>
      <c r="K355" s="36" t="s">
        <v>6626</v>
      </c>
      <c r="L355" s="36" t="s">
        <v>6627</v>
      </c>
      <c r="M355" s="36" t="s">
        <v>6628</v>
      </c>
      <c r="N355" s="36" t="s">
        <v>6629</v>
      </c>
      <c r="O355" s="36" t="s">
        <v>6630</v>
      </c>
      <c r="P355" s="36" t="s">
        <v>6617</v>
      </c>
    </row>
    <row r="356" spans="1:16">
      <c r="A356" s="139">
        <v>355</v>
      </c>
      <c r="B356" s="36" t="s">
        <v>6631</v>
      </c>
      <c r="C356" s="36" t="s">
        <v>6632</v>
      </c>
      <c r="D356" s="36" t="s">
        <v>6633</v>
      </c>
      <c r="E356" s="36" t="s">
        <v>6634</v>
      </c>
      <c r="F356" s="36" t="s">
        <v>6566</v>
      </c>
      <c r="G356" s="36" t="s">
        <v>6635</v>
      </c>
      <c r="H356" s="36" t="s">
        <v>6636</v>
      </c>
      <c r="I356" s="36" t="s">
        <v>6637</v>
      </c>
      <c r="J356" s="36" t="s">
        <v>6638</v>
      </c>
      <c r="K356" s="36" t="s">
        <v>6639</v>
      </c>
      <c r="L356" s="36" t="s">
        <v>6640</v>
      </c>
      <c r="M356" s="36" t="s">
        <v>6641</v>
      </c>
      <c r="N356" s="36" t="s">
        <v>6642</v>
      </c>
      <c r="O356" s="36" t="s">
        <v>6643</v>
      </c>
      <c r="P356" s="36" t="s">
        <v>6631</v>
      </c>
    </row>
    <row r="357" spans="1:16">
      <c r="A357" s="139">
        <v>356</v>
      </c>
      <c r="B357" s="36" t="s">
        <v>6644</v>
      </c>
      <c r="C357" s="36" t="s">
        <v>6645</v>
      </c>
      <c r="D357" s="36" t="s">
        <v>6646</v>
      </c>
      <c r="E357" s="36" t="s">
        <v>6647</v>
      </c>
      <c r="F357" s="36" t="s">
        <v>6648</v>
      </c>
      <c r="G357" s="36" t="s">
        <v>6649</v>
      </c>
      <c r="H357" s="36" t="s">
        <v>6650</v>
      </c>
      <c r="I357" s="36" t="s">
        <v>6651</v>
      </c>
      <c r="J357" s="36" t="s">
        <v>6652</v>
      </c>
      <c r="K357" s="36" t="s">
        <v>6653</v>
      </c>
      <c r="L357" s="36" t="s">
        <v>6654</v>
      </c>
      <c r="M357" s="36" t="s">
        <v>6655</v>
      </c>
      <c r="N357" s="36" t="s">
        <v>6656</v>
      </c>
      <c r="O357" s="36" t="s">
        <v>6657</v>
      </c>
      <c r="P357" s="36" t="s">
        <v>6644</v>
      </c>
    </row>
    <row r="358" spans="1:16">
      <c r="A358" s="139">
        <v>357</v>
      </c>
      <c r="B358" s="36" t="s">
        <v>6658</v>
      </c>
      <c r="C358" s="36" t="s">
        <v>6659</v>
      </c>
      <c r="D358" s="36" t="s">
        <v>6660</v>
      </c>
      <c r="E358" s="36" t="s">
        <v>6661</v>
      </c>
      <c r="F358" s="36" t="s">
        <v>6662</v>
      </c>
      <c r="G358" s="36" t="s">
        <v>6663</v>
      </c>
      <c r="H358" s="36" t="s">
        <v>6664</v>
      </c>
      <c r="I358" s="36" t="s">
        <v>6665</v>
      </c>
      <c r="J358" s="36" t="s">
        <v>6666</v>
      </c>
      <c r="K358" s="36" t="s">
        <v>6667</v>
      </c>
      <c r="L358" s="36" t="s">
        <v>6668</v>
      </c>
      <c r="M358" s="36" t="s">
        <v>6669</v>
      </c>
      <c r="N358" s="36" t="s">
        <v>6670</v>
      </c>
      <c r="O358" s="36" t="s">
        <v>6671</v>
      </c>
      <c r="P358" s="36" t="s">
        <v>6658</v>
      </c>
    </row>
    <row r="359" spans="1:16">
      <c r="A359" s="139">
        <v>358</v>
      </c>
      <c r="B359" s="36" t="s">
        <v>6672</v>
      </c>
      <c r="C359" s="36" t="s">
        <v>6673</v>
      </c>
      <c r="D359" s="36" t="s">
        <v>6673</v>
      </c>
      <c r="E359" s="36" t="s">
        <v>6674</v>
      </c>
      <c r="F359" s="36" t="s">
        <v>3877</v>
      </c>
      <c r="G359" s="36" t="s">
        <v>6675</v>
      </c>
      <c r="H359" s="36" t="s">
        <v>6676</v>
      </c>
      <c r="I359" s="36" t="s">
        <v>6677</v>
      </c>
      <c r="J359" s="36" t="s">
        <v>6678</v>
      </c>
      <c r="K359" s="36" t="s">
        <v>6679</v>
      </c>
      <c r="L359" s="36" t="s">
        <v>6673</v>
      </c>
      <c r="M359" s="36" t="s">
        <v>6680</v>
      </c>
      <c r="N359" s="36" t="s">
        <v>6681</v>
      </c>
      <c r="O359" s="36" t="s">
        <v>6682</v>
      </c>
      <c r="P359" s="36" t="s">
        <v>6672</v>
      </c>
    </row>
    <row r="360" spans="1:16">
      <c r="A360" s="139">
        <v>359</v>
      </c>
      <c r="B360" s="36" t="s">
        <v>6683</v>
      </c>
      <c r="C360" s="36" t="s">
        <v>6684</v>
      </c>
      <c r="D360" s="36" t="s">
        <v>6685</v>
      </c>
      <c r="E360" s="36" t="s">
        <v>6686</v>
      </c>
      <c r="F360" s="36" t="s">
        <v>6687</v>
      </c>
      <c r="G360" s="36" t="s">
        <v>6688</v>
      </c>
      <c r="H360" s="36" t="s">
        <v>6689</v>
      </c>
      <c r="I360" s="36" t="s">
        <v>6690</v>
      </c>
      <c r="J360" s="36" t="s">
        <v>6691</v>
      </c>
      <c r="K360" s="36" t="s">
        <v>6692</v>
      </c>
      <c r="L360" s="36" t="s">
        <v>6693</v>
      </c>
      <c r="M360" s="36" t="s">
        <v>6694</v>
      </c>
      <c r="N360" s="36" t="s">
        <v>6695</v>
      </c>
      <c r="O360" s="36" t="s">
        <v>6696</v>
      </c>
      <c r="P360" s="36" t="s">
        <v>6683</v>
      </c>
    </row>
    <row r="361" spans="1:16">
      <c r="A361" s="139">
        <v>360</v>
      </c>
      <c r="B361" s="36" t="s">
        <v>6697</v>
      </c>
      <c r="C361" s="36" t="s">
        <v>6698</v>
      </c>
      <c r="D361" s="36" t="s">
        <v>6699</v>
      </c>
      <c r="E361" s="36" t="s">
        <v>6700</v>
      </c>
      <c r="F361" s="36" t="s">
        <v>6701</v>
      </c>
      <c r="G361" s="36" t="s">
        <v>6702</v>
      </c>
      <c r="H361" s="36" t="s">
        <v>6703</v>
      </c>
      <c r="I361" s="36" t="s">
        <v>6704</v>
      </c>
      <c r="J361" s="36" t="s">
        <v>6705</v>
      </c>
      <c r="K361" s="36" t="s">
        <v>6706</v>
      </c>
      <c r="L361" s="36" t="s">
        <v>6707</v>
      </c>
      <c r="M361" s="36" t="s">
        <v>6708</v>
      </c>
      <c r="N361" s="36" t="s">
        <v>6709</v>
      </c>
      <c r="O361" s="36" t="s">
        <v>6710</v>
      </c>
      <c r="P361" s="36" t="s">
        <v>6697</v>
      </c>
    </row>
    <row r="362" spans="1:16">
      <c r="A362" s="139">
        <v>361</v>
      </c>
      <c r="B362" s="36" t="s">
        <v>6711</v>
      </c>
      <c r="C362" s="36" t="s">
        <v>6712</v>
      </c>
      <c r="D362" s="36" t="s">
        <v>6713</v>
      </c>
      <c r="E362" s="36" t="s">
        <v>6714</v>
      </c>
      <c r="F362" s="36" t="s">
        <v>6715</v>
      </c>
      <c r="G362" s="36" t="s">
        <v>6716</v>
      </c>
      <c r="H362" s="36" t="s">
        <v>6717</v>
      </c>
      <c r="I362" s="36" t="s">
        <v>6718</v>
      </c>
      <c r="J362" s="36" t="s">
        <v>6719</v>
      </c>
      <c r="K362" s="36" t="s">
        <v>6720</v>
      </c>
      <c r="L362" s="36" t="s">
        <v>6721</v>
      </c>
      <c r="M362" s="36" t="s">
        <v>6722</v>
      </c>
      <c r="N362" s="36" t="s">
        <v>6723</v>
      </c>
      <c r="O362" s="36" t="s">
        <v>6724</v>
      </c>
      <c r="P362" s="36" t="s">
        <v>6711</v>
      </c>
    </row>
    <row r="363" spans="1:16">
      <c r="A363" s="139">
        <v>362</v>
      </c>
      <c r="B363" s="36" t="s">
        <v>6725</v>
      </c>
      <c r="C363" s="36" t="s">
        <v>6726</v>
      </c>
      <c r="D363" s="36" t="s">
        <v>6727</v>
      </c>
      <c r="E363" s="36" t="s">
        <v>6728</v>
      </c>
      <c r="F363" s="36" t="s">
        <v>6729</v>
      </c>
      <c r="G363" s="36" t="s">
        <v>6730</v>
      </c>
      <c r="H363" s="36" t="s">
        <v>6731</v>
      </c>
      <c r="I363" s="36" t="s">
        <v>6732</v>
      </c>
      <c r="J363" s="36" t="s">
        <v>6733</v>
      </c>
      <c r="K363" s="36" t="s">
        <v>6734</v>
      </c>
      <c r="L363" s="36" t="s">
        <v>6735</v>
      </c>
      <c r="M363" s="36" t="s">
        <v>6736</v>
      </c>
      <c r="N363" s="36" t="s">
        <v>6737</v>
      </c>
      <c r="O363" s="36" t="s">
        <v>6738</v>
      </c>
      <c r="P363" s="36" t="s">
        <v>6725</v>
      </c>
    </row>
    <row r="364" spans="1:16">
      <c r="A364" s="139">
        <v>363</v>
      </c>
      <c r="B364" s="36" t="s">
        <v>6739</v>
      </c>
      <c r="C364" s="36" t="s">
        <v>6740</v>
      </c>
      <c r="D364" s="36" t="s">
        <v>6741</v>
      </c>
      <c r="E364" s="36" t="s">
        <v>6742</v>
      </c>
      <c r="F364" s="36" t="s">
        <v>6743</v>
      </c>
      <c r="G364" s="36" t="s">
        <v>6744</v>
      </c>
      <c r="H364" s="36" t="s">
        <v>6745</v>
      </c>
      <c r="I364" s="36" t="s">
        <v>6746</v>
      </c>
      <c r="J364" s="36" t="s">
        <v>6747</v>
      </c>
      <c r="K364" s="36" t="s">
        <v>6748</v>
      </c>
      <c r="L364" s="36" t="s">
        <v>6749</v>
      </c>
      <c r="M364" s="36" t="s">
        <v>6750</v>
      </c>
      <c r="N364" s="36" t="s">
        <v>6751</v>
      </c>
      <c r="O364" s="36" t="s">
        <v>6752</v>
      </c>
      <c r="P364" s="36" t="s">
        <v>6739</v>
      </c>
    </row>
    <row r="365" spans="1:16">
      <c r="A365" s="139">
        <v>364</v>
      </c>
      <c r="B365" s="36" t="s">
        <v>6753</v>
      </c>
      <c r="C365" s="36" t="s">
        <v>6754</v>
      </c>
      <c r="D365" s="36" t="s">
        <v>6755</v>
      </c>
      <c r="E365" s="36" t="s">
        <v>6756</v>
      </c>
      <c r="F365" s="36" t="s">
        <v>6757</v>
      </c>
      <c r="G365" s="36" t="s">
        <v>6758</v>
      </c>
      <c r="H365" s="36" t="s">
        <v>6759</v>
      </c>
      <c r="I365" s="36" t="s">
        <v>6760</v>
      </c>
      <c r="J365" s="36" t="s">
        <v>6761</v>
      </c>
      <c r="K365" s="36" t="s">
        <v>6762</v>
      </c>
      <c r="L365" s="36" t="s">
        <v>6763</v>
      </c>
      <c r="M365" s="36" t="s">
        <v>6764</v>
      </c>
      <c r="N365" s="36" t="s">
        <v>6765</v>
      </c>
      <c r="O365" s="36" t="s">
        <v>6766</v>
      </c>
      <c r="P365" s="36" t="s">
        <v>6753</v>
      </c>
    </row>
    <row r="366" spans="1:16">
      <c r="A366" s="139">
        <v>365</v>
      </c>
      <c r="B366" s="36" t="s">
        <v>6767</v>
      </c>
      <c r="C366" s="36" t="s">
        <v>6768</v>
      </c>
      <c r="D366" s="36" t="s">
        <v>6769</v>
      </c>
      <c r="E366" s="36" t="s">
        <v>6770</v>
      </c>
      <c r="F366" s="36" t="s">
        <v>6771</v>
      </c>
      <c r="G366" s="36" t="s">
        <v>6772</v>
      </c>
      <c r="H366" s="36" t="s">
        <v>6773</v>
      </c>
      <c r="I366" s="36" t="s">
        <v>6774</v>
      </c>
      <c r="J366" s="36" t="s">
        <v>6775</v>
      </c>
      <c r="K366" s="36" t="s">
        <v>6776</v>
      </c>
      <c r="L366" s="36" t="s">
        <v>6777</v>
      </c>
      <c r="M366" s="36" t="s">
        <v>6778</v>
      </c>
      <c r="N366" s="36" t="s">
        <v>6779</v>
      </c>
      <c r="O366" s="36" t="s">
        <v>6780</v>
      </c>
      <c r="P366" s="36" t="s">
        <v>6767</v>
      </c>
    </row>
    <row r="367" spans="1:16">
      <c r="A367" s="139">
        <v>366</v>
      </c>
      <c r="B367" s="36" t="s">
        <v>6781</v>
      </c>
      <c r="C367" s="36" t="s">
        <v>6782</v>
      </c>
      <c r="D367" s="36" t="s">
        <v>6783</v>
      </c>
      <c r="E367" s="36" t="s">
        <v>6784</v>
      </c>
      <c r="F367" s="36" t="s">
        <v>6785</v>
      </c>
      <c r="G367" s="36" t="s">
        <v>6786</v>
      </c>
      <c r="H367" s="36" t="s">
        <v>6787</v>
      </c>
      <c r="I367" s="36" t="s">
        <v>6788</v>
      </c>
      <c r="J367" s="36" t="s">
        <v>6789</v>
      </c>
      <c r="K367" s="36" t="s">
        <v>6790</v>
      </c>
      <c r="L367" s="36" t="s">
        <v>6791</v>
      </c>
      <c r="M367" s="36" t="s">
        <v>6792</v>
      </c>
      <c r="N367" s="36" t="s">
        <v>6793</v>
      </c>
      <c r="O367" s="36" t="s">
        <v>6794</v>
      </c>
      <c r="P367" s="36" t="s">
        <v>6781</v>
      </c>
    </row>
    <row r="368" spans="1:16">
      <c r="A368" s="139">
        <v>367</v>
      </c>
      <c r="B368" s="36" t="s">
        <v>6795</v>
      </c>
      <c r="C368" s="36" t="s">
        <v>6796</v>
      </c>
      <c r="D368" s="36" t="s">
        <v>6797</v>
      </c>
      <c r="E368" s="36" t="s">
        <v>6798</v>
      </c>
      <c r="F368" s="36" t="s">
        <v>6799</v>
      </c>
      <c r="G368" s="36" t="s">
        <v>6800</v>
      </c>
      <c r="H368" s="36" t="s">
        <v>6801</v>
      </c>
      <c r="I368" s="36" t="s">
        <v>6802</v>
      </c>
      <c r="J368" s="36" t="s">
        <v>6803</v>
      </c>
      <c r="K368" s="36" t="s">
        <v>6804</v>
      </c>
      <c r="L368" s="36" t="s">
        <v>6805</v>
      </c>
      <c r="M368" s="36" t="s">
        <v>6806</v>
      </c>
      <c r="N368" s="36" t="s">
        <v>6807</v>
      </c>
      <c r="O368" s="36" t="s">
        <v>6808</v>
      </c>
      <c r="P368" s="36" t="s">
        <v>6795</v>
      </c>
    </row>
    <row r="369" spans="1:16">
      <c r="A369" s="139">
        <v>368</v>
      </c>
      <c r="B369" s="36" t="s">
        <v>6809</v>
      </c>
      <c r="C369" s="36" t="s">
        <v>6810</v>
      </c>
      <c r="D369" s="36" t="s">
        <v>6811</v>
      </c>
      <c r="E369" s="36" t="s">
        <v>6812</v>
      </c>
      <c r="F369" s="36" t="s">
        <v>6813</v>
      </c>
      <c r="G369" s="36" t="s">
        <v>6814</v>
      </c>
      <c r="H369" s="36" t="s">
        <v>6815</v>
      </c>
      <c r="I369" s="36" t="s">
        <v>6816</v>
      </c>
      <c r="J369" s="36" t="s">
        <v>6817</v>
      </c>
      <c r="K369" s="36" t="s">
        <v>6818</v>
      </c>
      <c r="L369" s="36" t="s">
        <v>6819</v>
      </c>
      <c r="M369" s="36" t="s">
        <v>6820</v>
      </c>
      <c r="N369" s="36" t="s">
        <v>6821</v>
      </c>
      <c r="O369" s="36" t="s">
        <v>6822</v>
      </c>
      <c r="P369" s="36" t="s">
        <v>6809</v>
      </c>
    </row>
    <row r="370" spans="1:16">
      <c r="A370" s="139">
        <v>369</v>
      </c>
      <c r="B370" s="36" t="s">
        <v>6823</v>
      </c>
      <c r="C370" s="36" t="s">
        <v>6824</v>
      </c>
      <c r="D370" s="36" t="s">
        <v>6825</v>
      </c>
      <c r="E370" s="36" t="s">
        <v>6826</v>
      </c>
      <c r="F370" s="36" t="s">
        <v>6827</v>
      </c>
      <c r="G370" s="36" t="s">
        <v>6828</v>
      </c>
      <c r="H370" s="36" t="s">
        <v>6829</v>
      </c>
      <c r="I370" s="36" t="s">
        <v>6830</v>
      </c>
      <c r="J370" s="36" t="s">
        <v>6831</v>
      </c>
      <c r="K370" s="36" t="s">
        <v>6832</v>
      </c>
      <c r="L370" s="36" t="s">
        <v>6833</v>
      </c>
      <c r="M370" s="36" t="s">
        <v>6834</v>
      </c>
      <c r="N370" s="36" t="s">
        <v>6834</v>
      </c>
      <c r="O370" s="36" t="s">
        <v>6835</v>
      </c>
      <c r="P370" s="36" t="s">
        <v>6823</v>
      </c>
    </row>
    <row r="371" spans="1:16">
      <c r="A371" s="139">
        <v>370</v>
      </c>
      <c r="B371" s="36" t="s">
        <v>6836</v>
      </c>
      <c r="C371" s="36" t="s">
        <v>6837</v>
      </c>
      <c r="D371" s="36" t="s">
        <v>6838</v>
      </c>
      <c r="E371" s="36" t="s">
        <v>6839</v>
      </c>
      <c r="F371" s="36" t="s">
        <v>6840</v>
      </c>
      <c r="G371" s="36" t="s">
        <v>6841</v>
      </c>
      <c r="H371" s="36" t="s">
        <v>6842</v>
      </c>
      <c r="I371" s="36" t="s">
        <v>6843</v>
      </c>
      <c r="J371" s="36" t="s">
        <v>6844</v>
      </c>
      <c r="K371" s="36" t="s">
        <v>6845</v>
      </c>
      <c r="L371" s="36" t="s">
        <v>6846</v>
      </c>
      <c r="M371" s="36" t="s">
        <v>6847</v>
      </c>
      <c r="N371" s="36" t="s">
        <v>6847</v>
      </c>
      <c r="O371" s="36" t="s">
        <v>6848</v>
      </c>
      <c r="P371" s="36" t="s">
        <v>6836</v>
      </c>
    </row>
    <row r="372" spans="1:16">
      <c r="A372" s="139">
        <v>371</v>
      </c>
      <c r="B372" s="36" t="s">
        <v>6849</v>
      </c>
      <c r="C372" s="36" t="s">
        <v>6850</v>
      </c>
      <c r="D372" s="36" t="s">
        <v>6851</v>
      </c>
      <c r="E372" s="36" t="s">
        <v>6852</v>
      </c>
      <c r="F372" s="36" t="s">
        <v>6853</v>
      </c>
      <c r="G372" s="36" t="s">
        <v>6854</v>
      </c>
      <c r="H372" s="36" t="s">
        <v>6855</v>
      </c>
      <c r="I372" s="36" t="s">
        <v>6856</v>
      </c>
      <c r="J372" s="36" t="s">
        <v>6857</v>
      </c>
      <c r="K372" s="36" t="s">
        <v>6858</v>
      </c>
      <c r="L372" s="36" t="s">
        <v>6859</v>
      </c>
      <c r="M372" s="36" t="s">
        <v>6860</v>
      </c>
      <c r="N372" s="36" t="s">
        <v>6861</v>
      </c>
      <c r="O372" s="36" t="s">
        <v>6862</v>
      </c>
      <c r="P372" s="36" t="s">
        <v>6849</v>
      </c>
    </row>
    <row r="373" spans="1:16">
      <c r="A373" s="139">
        <v>372</v>
      </c>
      <c r="B373" s="36" t="s">
        <v>6863</v>
      </c>
      <c r="C373" s="36" t="s">
        <v>6864</v>
      </c>
      <c r="D373" s="36" t="s">
        <v>6865</v>
      </c>
      <c r="E373" s="36" t="s">
        <v>6866</v>
      </c>
      <c r="F373" s="36" t="s">
        <v>6867</v>
      </c>
      <c r="G373" s="36" t="s">
        <v>6868</v>
      </c>
      <c r="H373" s="36" t="s">
        <v>6869</v>
      </c>
      <c r="I373" s="36" t="s">
        <v>6870</v>
      </c>
      <c r="J373" s="36" t="s">
        <v>6871</v>
      </c>
      <c r="K373" s="36" t="s">
        <v>6872</v>
      </c>
      <c r="L373" s="36" t="s">
        <v>6873</v>
      </c>
      <c r="M373" s="36" t="s">
        <v>6874</v>
      </c>
      <c r="N373" s="36" t="s">
        <v>6875</v>
      </c>
      <c r="O373" s="36" t="s">
        <v>6876</v>
      </c>
      <c r="P373" s="36" t="s">
        <v>6863</v>
      </c>
    </row>
    <row r="374" spans="1:16">
      <c r="A374" s="139">
        <v>373</v>
      </c>
      <c r="B374" s="36" t="s">
        <v>6877</v>
      </c>
      <c r="C374" s="36" t="s">
        <v>6878</v>
      </c>
      <c r="D374" s="36" t="s">
        <v>6879</v>
      </c>
      <c r="E374" s="36" t="s">
        <v>6880</v>
      </c>
      <c r="F374" s="36" t="s">
        <v>6881</v>
      </c>
      <c r="G374" s="36" t="s">
        <v>6882</v>
      </c>
      <c r="H374" s="36" t="s">
        <v>6883</v>
      </c>
      <c r="I374" s="36" t="s">
        <v>6884</v>
      </c>
      <c r="J374" s="36" t="s">
        <v>6885</v>
      </c>
      <c r="K374" s="36" t="s">
        <v>6886</v>
      </c>
      <c r="L374" s="36" t="s">
        <v>6887</v>
      </c>
      <c r="M374" s="36" t="s">
        <v>6888</v>
      </c>
      <c r="N374" s="36" t="s">
        <v>6889</v>
      </c>
      <c r="O374" s="36" t="s">
        <v>6890</v>
      </c>
      <c r="P374" s="36" t="s">
        <v>6877</v>
      </c>
    </row>
    <row r="375" spans="1:16">
      <c r="A375" s="139">
        <v>374</v>
      </c>
      <c r="B375" s="36" t="s">
        <v>6891</v>
      </c>
      <c r="C375" s="36" t="s">
        <v>6892</v>
      </c>
      <c r="D375" s="36" t="s">
        <v>6893</v>
      </c>
      <c r="E375" s="36" t="s">
        <v>6894</v>
      </c>
      <c r="F375" s="36" t="s">
        <v>6895</v>
      </c>
      <c r="G375" s="36" t="s">
        <v>6896</v>
      </c>
      <c r="H375" s="36" t="s">
        <v>6897</v>
      </c>
      <c r="I375" s="36" t="s">
        <v>6898</v>
      </c>
      <c r="J375" s="36" t="s">
        <v>6891</v>
      </c>
      <c r="K375" s="36" t="s">
        <v>6899</v>
      </c>
      <c r="L375" s="36" t="s">
        <v>6900</v>
      </c>
      <c r="M375" s="36" t="s">
        <v>6901</v>
      </c>
      <c r="N375" s="36" t="s">
        <v>6902</v>
      </c>
      <c r="O375" s="36" t="s">
        <v>6903</v>
      </c>
      <c r="P375" s="36" t="s">
        <v>6891</v>
      </c>
    </row>
    <row r="376" spans="1:16">
      <c r="A376" s="139">
        <v>375</v>
      </c>
      <c r="B376" s="36" t="s">
        <v>6904</v>
      </c>
      <c r="C376" s="36" t="s">
        <v>6905</v>
      </c>
      <c r="D376" s="36" t="s">
        <v>6906</v>
      </c>
      <c r="E376" s="36" t="s">
        <v>6907</v>
      </c>
      <c r="F376" s="36" t="s">
        <v>6908</v>
      </c>
      <c r="G376" s="36" t="s">
        <v>6909</v>
      </c>
      <c r="H376" s="36" t="s">
        <v>6910</v>
      </c>
      <c r="I376" s="36" t="s">
        <v>6911</v>
      </c>
      <c r="J376" s="36" t="s">
        <v>6912</v>
      </c>
      <c r="K376" s="36" t="s">
        <v>6913</v>
      </c>
      <c r="L376" s="36" t="s">
        <v>6914</v>
      </c>
      <c r="M376" s="36" t="s">
        <v>6915</v>
      </c>
      <c r="N376" s="36" t="s">
        <v>6916</v>
      </c>
      <c r="O376" s="36" t="s">
        <v>6917</v>
      </c>
      <c r="P376" s="36" t="s">
        <v>6904</v>
      </c>
    </row>
    <row r="377" spans="1:16">
      <c r="A377" s="139">
        <v>376</v>
      </c>
      <c r="B377" s="36" t="s">
        <v>6918</v>
      </c>
      <c r="C377" s="36" t="s">
        <v>6919</v>
      </c>
      <c r="D377" s="36" t="s">
        <v>6920</v>
      </c>
      <c r="E377" s="36" t="s">
        <v>6921</v>
      </c>
      <c r="F377" s="36" t="s">
        <v>6922</v>
      </c>
      <c r="G377" s="36" t="s">
        <v>6923</v>
      </c>
      <c r="H377" s="36" t="s">
        <v>6924</v>
      </c>
      <c r="I377" s="36" t="s">
        <v>6925</v>
      </c>
      <c r="J377" s="36" t="s">
        <v>6926</v>
      </c>
      <c r="K377" s="36" t="s">
        <v>6927</v>
      </c>
      <c r="L377" s="36" t="s">
        <v>6928</v>
      </c>
      <c r="M377" s="36" t="s">
        <v>6929</v>
      </c>
      <c r="N377" s="36" t="s">
        <v>6930</v>
      </c>
      <c r="O377" s="36" t="s">
        <v>6931</v>
      </c>
      <c r="P377" s="36" t="s">
        <v>6918</v>
      </c>
    </row>
    <row r="378" spans="1:16">
      <c r="A378" s="139">
        <v>377</v>
      </c>
      <c r="B378" s="36" t="s">
        <v>6932</v>
      </c>
      <c r="C378" s="36" t="s">
        <v>6933</v>
      </c>
      <c r="D378" s="36" t="s">
        <v>6934</v>
      </c>
      <c r="E378" s="36" t="s">
        <v>6935</v>
      </c>
      <c r="F378" s="36" t="s">
        <v>6936</v>
      </c>
      <c r="G378" s="36" t="s">
        <v>6937</v>
      </c>
      <c r="H378" s="36" t="s">
        <v>6938</v>
      </c>
      <c r="I378" s="36" t="s">
        <v>6939</v>
      </c>
      <c r="J378" s="36" t="s">
        <v>6940</v>
      </c>
      <c r="K378" s="36" t="s">
        <v>6941</v>
      </c>
      <c r="L378" s="36" t="s">
        <v>6942</v>
      </c>
      <c r="M378" s="36" t="s">
        <v>6932</v>
      </c>
      <c r="N378" s="36" t="s">
        <v>6943</v>
      </c>
      <c r="O378" s="36" t="s">
        <v>6944</v>
      </c>
      <c r="P378" s="36" t="s">
        <v>6932</v>
      </c>
    </row>
    <row r="379" spans="1:16">
      <c r="A379" s="139">
        <v>378</v>
      </c>
      <c r="B379" s="36" t="s">
        <v>6945</v>
      </c>
      <c r="C379" s="36" t="s">
        <v>6946</v>
      </c>
      <c r="D379" s="36" t="s">
        <v>3790</v>
      </c>
      <c r="E379" s="36" t="s">
        <v>6947</v>
      </c>
      <c r="F379" s="36" t="s">
        <v>6948</v>
      </c>
      <c r="G379" s="36" t="s">
        <v>6949</v>
      </c>
      <c r="H379" s="36" t="s">
        <v>6950</v>
      </c>
      <c r="I379" s="36" t="s">
        <v>6951</v>
      </c>
      <c r="J379" s="36" t="s">
        <v>6952</v>
      </c>
      <c r="K379" s="36" t="s">
        <v>6953</v>
      </c>
      <c r="L379" s="36" t="s">
        <v>6954</v>
      </c>
      <c r="M379" s="36" t="s">
        <v>6955</v>
      </c>
      <c r="N379" s="36" t="s">
        <v>6956</v>
      </c>
      <c r="O379" s="36" t="s">
        <v>6957</v>
      </c>
      <c r="P379" s="36" t="s">
        <v>6945</v>
      </c>
    </row>
    <row r="380" spans="1:16">
      <c r="A380" s="139">
        <v>379</v>
      </c>
      <c r="B380" s="36" t="s">
        <v>6958</v>
      </c>
      <c r="C380" s="36" t="s">
        <v>6959</v>
      </c>
      <c r="D380" s="36" t="s">
        <v>6960</v>
      </c>
      <c r="E380" s="36" t="s">
        <v>6961</v>
      </c>
      <c r="F380" s="36" t="s">
        <v>6962</v>
      </c>
      <c r="G380" s="36" t="s">
        <v>6963</v>
      </c>
      <c r="H380" s="36" t="s">
        <v>6964</v>
      </c>
      <c r="I380" s="36" t="s">
        <v>6965</v>
      </c>
      <c r="J380" s="36" t="s">
        <v>6966</v>
      </c>
      <c r="K380" s="36" t="s">
        <v>6967</v>
      </c>
      <c r="L380" s="36" t="s">
        <v>6968</v>
      </c>
      <c r="M380" s="36" t="s">
        <v>6969</v>
      </c>
      <c r="N380" s="36" t="s">
        <v>6970</v>
      </c>
      <c r="O380" s="36" t="s">
        <v>6971</v>
      </c>
      <c r="P380" s="36" t="s">
        <v>6958</v>
      </c>
    </row>
    <row r="381" spans="1:16">
      <c r="A381" s="139">
        <v>380</v>
      </c>
      <c r="B381" s="36" t="s">
        <v>6972</v>
      </c>
      <c r="C381" s="36" t="s">
        <v>6973</v>
      </c>
      <c r="D381" s="36" t="s">
        <v>6974</v>
      </c>
      <c r="E381" s="36" t="s">
        <v>6975</v>
      </c>
      <c r="F381" s="36" t="s">
        <v>6976</v>
      </c>
      <c r="G381" s="36" t="s">
        <v>6977</v>
      </c>
      <c r="H381" s="36" t="s">
        <v>6978</v>
      </c>
      <c r="I381" s="36" t="s">
        <v>6979</v>
      </c>
      <c r="J381" s="36" t="s">
        <v>6980</v>
      </c>
      <c r="K381" s="36" t="s">
        <v>6981</v>
      </c>
      <c r="L381" s="36" t="s">
        <v>6982</v>
      </c>
      <c r="M381" s="36" t="s">
        <v>6983</v>
      </c>
      <c r="N381" s="36" t="s">
        <v>6984</v>
      </c>
      <c r="O381" s="36" t="s">
        <v>6985</v>
      </c>
      <c r="P381" s="36" t="s">
        <v>6972</v>
      </c>
    </row>
    <row r="382" spans="1:16">
      <c r="A382" s="139">
        <v>381</v>
      </c>
      <c r="B382" s="36" t="s">
        <v>6986</v>
      </c>
      <c r="C382" s="36" t="s">
        <v>6987</v>
      </c>
      <c r="D382" s="36" t="s">
        <v>6988</v>
      </c>
      <c r="E382" s="36" t="s">
        <v>6989</v>
      </c>
      <c r="F382" s="36" t="s">
        <v>6989</v>
      </c>
      <c r="G382" s="36" t="s">
        <v>6990</v>
      </c>
      <c r="H382" s="36" t="s">
        <v>6991</v>
      </c>
      <c r="I382" s="36" t="s">
        <v>6992</v>
      </c>
      <c r="J382" s="36" t="s">
        <v>6993</v>
      </c>
      <c r="K382" s="36" t="s">
        <v>6994</v>
      </c>
      <c r="L382" s="36" t="s">
        <v>6995</v>
      </c>
      <c r="M382" s="36" t="s">
        <v>6995</v>
      </c>
      <c r="N382" s="36" t="s">
        <v>6996</v>
      </c>
      <c r="O382" s="36" t="s">
        <v>6997</v>
      </c>
      <c r="P382" s="36" t="s">
        <v>6986</v>
      </c>
    </row>
    <row r="383" spans="1:16">
      <c r="A383" s="139">
        <v>382</v>
      </c>
      <c r="B383" s="36" t="s">
        <v>6998</v>
      </c>
      <c r="C383" s="36" t="s">
        <v>6999</v>
      </c>
      <c r="D383" s="36" t="s">
        <v>7000</v>
      </c>
      <c r="E383" s="36" t="s">
        <v>7001</v>
      </c>
      <c r="F383" s="36" t="s">
        <v>7002</v>
      </c>
      <c r="G383" s="36" t="s">
        <v>7003</v>
      </c>
      <c r="H383" s="36" t="s">
        <v>7004</v>
      </c>
      <c r="I383" s="36" t="s">
        <v>7005</v>
      </c>
      <c r="J383" s="36" t="s">
        <v>7006</v>
      </c>
      <c r="K383" s="36" t="s">
        <v>7007</v>
      </c>
      <c r="L383" s="36" t="s">
        <v>7008</v>
      </c>
      <c r="M383" s="36" t="s">
        <v>7009</v>
      </c>
      <c r="N383" s="36" t="s">
        <v>7010</v>
      </c>
      <c r="O383" s="36" t="s">
        <v>7011</v>
      </c>
      <c r="P383" s="36" t="s">
        <v>7012</v>
      </c>
    </row>
    <row r="384" spans="1:16">
      <c r="A384" s="139">
        <v>383</v>
      </c>
      <c r="B384" s="36" t="s">
        <v>2378</v>
      </c>
      <c r="C384" s="36" t="s">
        <v>7013</v>
      </c>
      <c r="D384" s="36" t="s">
        <v>7014</v>
      </c>
      <c r="E384" s="36" t="s">
        <v>7015</v>
      </c>
      <c r="F384" s="36" t="s">
        <v>7016</v>
      </c>
      <c r="G384" s="36" t="s">
        <v>7017</v>
      </c>
      <c r="H384" s="36" t="s">
        <v>7018</v>
      </c>
      <c r="I384" s="36" t="s">
        <v>7019</v>
      </c>
      <c r="J384" s="36" t="s">
        <v>7020</v>
      </c>
      <c r="K384" s="36" t="s">
        <v>7021</v>
      </c>
      <c r="L384" s="36" t="s">
        <v>7022</v>
      </c>
      <c r="M384" s="36" t="s">
        <v>7023</v>
      </c>
      <c r="N384" s="36" t="s">
        <v>7024</v>
      </c>
      <c r="O384" s="36" t="s">
        <v>7025</v>
      </c>
      <c r="P384" s="36" t="s">
        <v>2378</v>
      </c>
    </row>
    <row r="385" spans="1:16">
      <c r="A385" s="139">
        <v>384</v>
      </c>
      <c r="B385" s="36" t="s">
        <v>7026</v>
      </c>
      <c r="C385" s="36" t="s">
        <v>7027</v>
      </c>
      <c r="D385" s="36" t="s">
        <v>7028</v>
      </c>
      <c r="E385" s="36" t="s">
        <v>7029</v>
      </c>
      <c r="F385" s="36" t="s">
        <v>7030</v>
      </c>
      <c r="G385" s="36" t="s">
        <v>7031</v>
      </c>
      <c r="H385" s="36" t="s">
        <v>7032</v>
      </c>
      <c r="I385" s="36" t="s">
        <v>7033</v>
      </c>
      <c r="J385" s="36" t="s">
        <v>7034</v>
      </c>
      <c r="K385" s="36" t="s">
        <v>7035</v>
      </c>
      <c r="L385" s="36" t="s">
        <v>7036</v>
      </c>
      <c r="M385" s="36" t="s">
        <v>7037</v>
      </c>
      <c r="N385" s="36" t="s">
        <v>7038</v>
      </c>
      <c r="O385" s="36" t="s">
        <v>7039</v>
      </c>
      <c r="P385" s="36" t="s">
        <v>7026</v>
      </c>
    </row>
    <row r="386" spans="1:16">
      <c r="A386" s="139">
        <v>385</v>
      </c>
      <c r="B386" s="36" t="s">
        <v>2376</v>
      </c>
      <c r="C386" s="36" t="s">
        <v>7040</v>
      </c>
      <c r="D386" s="36" t="s">
        <v>7041</v>
      </c>
      <c r="E386" s="36" t="s">
        <v>7042</v>
      </c>
      <c r="F386" s="36" t="s">
        <v>7016</v>
      </c>
      <c r="G386" s="36" t="s">
        <v>7043</v>
      </c>
      <c r="H386" s="36" t="s">
        <v>7018</v>
      </c>
      <c r="I386" s="36" t="s">
        <v>7044</v>
      </c>
      <c r="J386" s="36" t="s">
        <v>7045</v>
      </c>
      <c r="K386" s="36" t="s">
        <v>7021</v>
      </c>
      <c r="L386" s="36" t="s">
        <v>7046</v>
      </c>
      <c r="M386" s="36" t="s">
        <v>7047</v>
      </c>
      <c r="N386" s="36" t="s">
        <v>7048</v>
      </c>
      <c r="O386" s="36" t="s">
        <v>7049</v>
      </c>
      <c r="P386" s="36" t="s">
        <v>2376</v>
      </c>
    </row>
    <row r="387" spans="1:16">
      <c r="A387" s="139">
        <v>386</v>
      </c>
      <c r="B387" s="36" t="s">
        <v>7050</v>
      </c>
      <c r="C387" s="36" t="s">
        <v>7051</v>
      </c>
      <c r="D387" s="36" t="s">
        <v>7052</v>
      </c>
      <c r="E387" s="36" t="s">
        <v>7053</v>
      </c>
      <c r="F387" s="36" t="s">
        <v>7054</v>
      </c>
      <c r="G387" s="36" t="s">
        <v>7055</v>
      </c>
      <c r="H387" s="36" t="s">
        <v>7056</v>
      </c>
      <c r="I387" s="36" t="s">
        <v>7057</v>
      </c>
      <c r="J387" s="36" t="s">
        <v>7058</v>
      </c>
      <c r="K387" s="36" t="s">
        <v>7059</v>
      </c>
      <c r="L387" s="36" t="s">
        <v>7060</v>
      </c>
      <c r="M387" s="36" t="s">
        <v>7061</v>
      </c>
      <c r="N387" s="36" t="s">
        <v>7062</v>
      </c>
      <c r="O387" s="36" t="s">
        <v>7063</v>
      </c>
      <c r="P387" s="36" t="s">
        <v>7050</v>
      </c>
    </row>
    <row r="388" spans="1:16">
      <c r="A388" s="139">
        <v>387</v>
      </c>
      <c r="B388" s="36" t="s">
        <v>7064</v>
      </c>
      <c r="C388" s="36" t="s">
        <v>7065</v>
      </c>
      <c r="D388" s="36" t="s">
        <v>7066</v>
      </c>
      <c r="E388" s="36" t="s">
        <v>7067</v>
      </c>
      <c r="F388" s="36" t="s">
        <v>7068</v>
      </c>
      <c r="G388" s="36" t="s">
        <v>7069</v>
      </c>
      <c r="H388" s="36" t="s">
        <v>7070</v>
      </c>
      <c r="I388" s="36" t="s">
        <v>7071</v>
      </c>
      <c r="J388" s="36" t="s">
        <v>7072</v>
      </c>
      <c r="K388" s="36" t="s">
        <v>7073</v>
      </c>
      <c r="L388" s="36" t="s">
        <v>7074</v>
      </c>
      <c r="M388" s="36" t="s">
        <v>7075</v>
      </c>
      <c r="N388" s="36" t="s">
        <v>7076</v>
      </c>
      <c r="O388" s="36" t="s">
        <v>7077</v>
      </c>
      <c r="P388" s="36" t="s">
        <v>7064</v>
      </c>
    </row>
    <row r="389" spans="1:16">
      <c r="A389" s="139">
        <v>388</v>
      </c>
      <c r="B389" s="36" t="s">
        <v>7078</v>
      </c>
      <c r="C389" s="36" t="s">
        <v>7079</v>
      </c>
      <c r="D389" s="36" t="s">
        <v>7080</v>
      </c>
      <c r="E389" s="36" t="s">
        <v>7081</v>
      </c>
      <c r="F389" s="36" t="s">
        <v>7082</v>
      </c>
      <c r="G389" s="36" t="s">
        <v>7083</v>
      </c>
      <c r="H389" s="36" t="s">
        <v>7084</v>
      </c>
      <c r="I389" s="36" t="s">
        <v>7085</v>
      </c>
      <c r="J389" s="36" t="s">
        <v>7086</v>
      </c>
      <c r="K389" s="36" t="s">
        <v>7087</v>
      </c>
      <c r="L389" s="36" t="s">
        <v>7088</v>
      </c>
      <c r="M389" s="36" t="s">
        <v>7089</v>
      </c>
      <c r="N389" s="36" t="s">
        <v>7090</v>
      </c>
      <c r="O389" s="36" t="s">
        <v>7087</v>
      </c>
      <c r="P389" s="36" t="s">
        <v>7078</v>
      </c>
    </row>
    <row r="390" spans="1:16">
      <c r="A390" s="139">
        <v>389</v>
      </c>
      <c r="B390" s="36" t="s">
        <v>7091</v>
      </c>
      <c r="C390" s="36" t="s">
        <v>7092</v>
      </c>
      <c r="D390" s="36" t="s">
        <v>7093</v>
      </c>
      <c r="E390" s="36" t="s">
        <v>7094</v>
      </c>
      <c r="F390" s="36" t="s">
        <v>7095</v>
      </c>
      <c r="G390" s="36" t="s">
        <v>7096</v>
      </c>
      <c r="H390" s="36" t="s">
        <v>7097</v>
      </c>
      <c r="I390" s="36" t="s">
        <v>7098</v>
      </c>
      <c r="J390" s="36" t="s">
        <v>7099</v>
      </c>
      <c r="K390" s="36" t="s">
        <v>7100</v>
      </c>
      <c r="L390" s="36" t="s">
        <v>7101</v>
      </c>
      <c r="M390" s="36" t="s">
        <v>7102</v>
      </c>
      <c r="N390" s="36" t="s">
        <v>7103</v>
      </c>
      <c r="O390" s="36" t="s">
        <v>7100</v>
      </c>
      <c r="P390" s="36" t="s">
        <v>7091</v>
      </c>
    </row>
    <row r="391" spans="1:16">
      <c r="A391" s="139">
        <v>390</v>
      </c>
      <c r="B391" s="36" t="s">
        <v>7104</v>
      </c>
      <c r="C391" s="36" t="s">
        <v>7105</v>
      </c>
      <c r="D391" s="36" t="s">
        <v>7106</v>
      </c>
      <c r="E391" s="36" t="s">
        <v>7107</v>
      </c>
      <c r="F391" s="36" t="s">
        <v>7108</v>
      </c>
      <c r="G391" s="36" t="s">
        <v>7109</v>
      </c>
      <c r="H391" s="36" t="s">
        <v>7110</v>
      </c>
      <c r="I391" s="36" t="s">
        <v>7111</v>
      </c>
      <c r="J391" s="36" t="s">
        <v>7112</v>
      </c>
      <c r="K391" s="36" t="s">
        <v>7113</v>
      </c>
      <c r="L391" s="36" t="s">
        <v>7114</v>
      </c>
      <c r="M391" s="36" t="s">
        <v>7115</v>
      </c>
      <c r="N391" s="36" t="s">
        <v>7116</v>
      </c>
      <c r="O391" s="36" t="s">
        <v>7113</v>
      </c>
      <c r="P391" s="36" t="s">
        <v>7104</v>
      </c>
    </row>
    <row r="392" spans="1:16">
      <c r="A392" s="139">
        <v>391</v>
      </c>
      <c r="B392" s="36" t="s">
        <v>7117</v>
      </c>
      <c r="C392" s="36" t="s">
        <v>7118</v>
      </c>
      <c r="D392" s="36" t="s">
        <v>7119</v>
      </c>
      <c r="E392" s="36" t="s">
        <v>7120</v>
      </c>
      <c r="F392" s="36" t="s">
        <v>7121</v>
      </c>
      <c r="G392" s="36" t="s">
        <v>7122</v>
      </c>
      <c r="H392" s="36" t="s">
        <v>7123</v>
      </c>
      <c r="I392" s="36" t="s">
        <v>4227</v>
      </c>
      <c r="J392" s="36" t="s">
        <v>7124</v>
      </c>
      <c r="K392" s="36" t="s">
        <v>7125</v>
      </c>
      <c r="L392" s="36" t="s">
        <v>7126</v>
      </c>
      <c r="M392" s="36" t="s">
        <v>7127</v>
      </c>
      <c r="N392" s="36" t="s">
        <v>7128</v>
      </c>
      <c r="O392" s="36" t="s">
        <v>7129</v>
      </c>
      <c r="P392" s="36" t="s">
        <v>7117</v>
      </c>
    </row>
    <row r="393" spans="1:16">
      <c r="A393" s="139">
        <v>392</v>
      </c>
      <c r="B393" s="36" t="s">
        <v>7130</v>
      </c>
      <c r="C393" s="36" t="s">
        <v>7130</v>
      </c>
      <c r="D393" s="36" t="s">
        <v>7131</v>
      </c>
      <c r="E393" s="36" t="s">
        <v>7132</v>
      </c>
      <c r="F393" s="36" t="s">
        <v>7133</v>
      </c>
      <c r="G393" s="36" t="s">
        <v>7133</v>
      </c>
      <c r="H393" s="36" t="s">
        <v>7134</v>
      </c>
      <c r="I393" s="36" t="s">
        <v>7130</v>
      </c>
      <c r="J393" s="36" t="s">
        <v>7130</v>
      </c>
      <c r="K393" s="36" t="s">
        <v>7135</v>
      </c>
      <c r="L393" s="36" t="s">
        <v>7130</v>
      </c>
      <c r="M393" s="36" t="s">
        <v>7130</v>
      </c>
      <c r="N393" s="36" t="s">
        <v>7130</v>
      </c>
      <c r="O393" s="36" t="s">
        <v>7136</v>
      </c>
      <c r="P393" s="36" t="s">
        <v>7130</v>
      </c>
    </row>
    <row r="394" spans="1:16">
      <c r="A394" s="139">
        <v>393</v>
      </c>
      <c r="B394" s="36" t="s">
        <v>7137</v>
      </c>
      <c r="C394" s="36" t="s">
        <v>7138</v>
      </c>
      <c r="D394" s="36" t="s">
        <v>7139</v>
      </c>
      <c r="E394" s="36" t="s">
        <v>7140</v>
      </c>
      <c r="F394" s="36" t="s">
        <v>7141</v>
      </c>
      <c r="G394" s="36" t="s">
        <v>7142</v>
      </c>
      <c r="H394" s="36" t="s">
        <v>7143</v>
      </c>
      <c r="I394" s="36" t="s">
        <v>7144</v>
      </c>
      <c r="J394" s="36" t="s">
        <v>7145</v>
      </c>
      <c r="K394" s="36" t="s">
        <v>7146</v>
      </c>
      <c r="L394" s="36" t="s">
        <v>7147</v>
      </c>
      <c r="M394" s="36" t="s">
        <v>7148</v>
      </c>
      <c r="N394" s="36" t="s">
        <v>7149</v>
      </c>
      <c r="O394" s="36" t="s">
        <v>7150</v>
      </c>
      <c r="P394" s="36" t="s">
        <v>7137</v>
      </c>
    </row>
    <row r="395" spans="1:16">
      <c r="A395" s="139">
        <v>394</v>
      </c>
      <c r="B395" s="36" t="s">
        <v>7151</v>
      </c>
      <c r="C395" s="36" t="s">
        <v>7152</v>
      </c>
      <c r="D395" s="36" t="s">
        <v>7153</v>
      </c>
      <c r="E395" s="36" t="s">
        <v>7154</v>
      </c>
      <c r="F395" s="36" t="s">
        <v>7155</v>
      </c>
      <c r="G395" s="36" t="s">
        <v>7156</v>
      </c>
      <c r="H395" s="36" t="s">
        <v>7157</v>
      </c>
      <c r="I395" s="36" t="s">
        <v>7158</v>
      </c>
      <c r="J395" s="36" t="s">
        <v>7159</v>
      </c>
      <c r="K395" s="36" t="s">
        <v>7160</v>
      </c>
      <c r="L395" s="36" t="s">
        <v>7161</v>
      </c>
      <c r="M395" s="36" t="s">
        <v>7162</v>
      </c>
      <c r="N395" s="36" t="s">
        <v>7163</v>
      </c>
      <c r="O395" s="36" t="s">
        <v>7164</v>
      </c>
      <c r="P395" s="36" t="s">
        <v>7165</v>
      </c>
    </row>
    <row r="396" spans="1:16">
      <c r="A396" s="139">
        <v>395</v>
      </c>
      <c r="B396" s="36" t="s">
        <v>7166</v>
      </c>
      <c r="C396" s="36" t="s">
        <v>7167</v>
      </c>
      <c r="D396" s="36" t="s">
        <v>7168</v>
      </c>
      <c r="E396" s="36" t="s">
        <v>7169</v>
      </c>
      <c r="F396" s="36" t="s">
        <v>7170</v>
      </c>
      <c r="G396" s="36" t="s">
        <v>7171</v>
      </c>
      <c r="H396" s="36" t="s">
        <v>7172</v>
      </c>
      <c r="I396" s="36" t="s">
        <v>7173</v>
      </c>
      <c r="J396" s="36" t="s">
        <v>7174</v>
      </c>
      <c r="K396" s="36" t="s">
        <v>7175</v>
      </c>
      <c r="L396" s="36" t="s">
        <v>7176</v>
      </c>
      <c r="M396" s="36" t="s">
        <v>7177</v>
      </c>
      <c r="N396" s="36" t="s">
        <v>7178</v>
      </c>
      <c r="O396" s="36" t="s">
        <v>7179</v>
      </c>
      <c r="P396" s="36" t="s">
        <v>7166</v>
      </c>
    </row>
    <row r="397" spans="1:16">
      <c r="A397" s="139">
        <v>396</v>
      </c>
      <c r="B397" s="36" t="s">
        <v>7180</v>
      </c>
      <c r="C397" s="36" t="s">
        <v>7181</v>
      </c>
      <c r="D397" s="36" t="s">
        <v>7182</v>
      </c>
      <c r="E397" s="36" t="s">
        <v>7183</v>
      </c>
      <c r="F397" s="36" t="s">
        <v>7184</v>
      </c>
      <c r="G397" s="36" t="s">
        <v>7185</v>
      </c>
      <c r="H397" s="36" t="s">
        <v>7186</v>
      </c>
      <c r="I397" s="36" t="s">
        <v>7187</v>
      </c>
      <c r="J397" s="36" t="s">
        <v>7188</v>
      </c>
      <c r="K397" s="36" t="s">
        <v>7189</v>
      </c>
      <c r="L397" s="36" t="s">
        <v>7190</v>
      </c>
      <c r="M397" s="36" t="s">
        <v>7191</v>
      </c>
      <c r="N397" s="36" t="s">
        <v>7192</v>
      </c>
      <c r="O397" s="36" t="s">
        <v>7193</v>
      </c>
      <c r="P397" s="36" t="s">
        <v>7180</v>
      </c>
    </row>
    <row r="398" spans="1:16">
      <c r="A398" s="139">
        <v>397</v>
      </c>
      <c r="B398" s="36" t="s">
        <v>7194</v>
      </c>
      <c r="C398" s="36" t="s">
        <v>7195</v>
      </c>
      <c r="D398" s="36" t="s">
        <v>7196</v>
      </c>
      <c r="E398" s="36" t="s">
        <v>7197</v>
      </c>
      <c r="F398" s="36" t="s">
        <v>7198</v>
      </c>
      <c r="G398" s="36" t="s">
        <v>7199</v>
      </c>
      <c r="H398" s="36" t="s">
        <v>7200</v>
      </c>
      <c r="I398" s="36" t="s">
        <v>7201</v>
      </c>
      <c r="J398" s="36" t="s">
        <v>7202</v>
      </c>
      <c r="K398" s="36" t="s">
        <v>7203</v>
      </c>
      <c r="L398" s="36" t="s">
        <v>7204</v>
      </c>
      <c r="M398" s="36" t="s">
        <v>7205</v>
      </c>
      <c r="N398" s="36" t="s">
        <v>7206</v>
      </c>
      <c r="O398" s="36" t="s">
        <v>7207</v>
      </c>
      <c r="P398" s="36" t="s">
        <v>7194</v>
      </c>
    </row>
    <row r="399" spans="1:16">
      <c r="A399" s="139">
        <v>398</v>
      </c>
      <c r="B399" s="36" t="s">
        <v>7208</v>
      </c>
      <c r="C399" s="36" t="s">
        <v>7209</v>
      </c>
      <c r="D399" s="36" t="s">
        <v>7210</v>
      </c>
      <c r="E399" s="36" t="s">
        <v>7211</v>
      </c>
      <c r="F399" s="36" t="s">
        <v>7212</v>
      </c>
      <c r="G399" s="36" t="s">
        <v>7213</v>
      </c>
      <c r="H399" s="36" t="s">
        <v>7214</v>
      </c>
      <c r="I399" s="36" t="s">
        <v>7215</v>
      </c>
      <c r="J399" s="36" t="s">
        <v>7216</v>
      </c>
      <c r="K399" s="36" t="s">
        <v>7217</v>
      </c>
      <c r="L399" s="36" t="s">
        <v>7218</v>
      </c>
      <c r="M399" s="36" t="s">
        <v>7219</v>
      </c>
      <c r="N399" s="36" t="s">
        <v>7220</v>
      </c>
      <c r="O399" s="36" t="s">
        <v>7221</v>
      </c>
      <c r="P399" s="36" t="s">
        <v>7208</v>
      </c>
    </row>
    <row r="400" spans="1:16">
      <c r="A400" s="139">
        <v>399</v>
      </c>
      <c r="B400" s="36" t="s">
        <v>7222</v>
      </c>
      <c r="C400" s="36" t="s">
        <v>7223</v>
      </c>
      <c r="D400" s="36" t="s">
        <v>7224</v>
      </c>
      <c r="E400" s="36" t="s">
        <v>7225</v>
      </c>
      <c r="F400" s="36" t="s">
        <v>7226</v>
      </c>
      <c r="G400" s="36" t="s">
        <v>7227</v>
      </c>
      <c r="H400" s="36" t="s">
        <v>7228</v>
      </c>
      <c r="I400" s="36" t="s">
        <v>7229</v>
      </c>
      <c r="J400" s="36" t="s">
        <v>7230</v>
      </c>
      <c r="K400" s="36" t="s">
        <v>7231</v>
      </c>
      <c r="L400" s="36" t="s">
        <v>7232</v>
      </c>
      <c r="M400" s="36" t="s">
        <v>7233</v>
      </c>
      <c r="N400" s="36" t="s">
        <v>7234</v>
      </c>
      <c r="O400" s="36" t="s">
        <v>7235</v>
      </c>
      <c r="P400" s="36" t="s">
        <v>7222</v>
      </c>
    </row>
    <row r="401" spans="1:16">
      <c r="A401" s="139">
        <v>400</v>
      </c>
      <c r="B401" s="36" t="s">
        <v>7236</v>
      </c>
      <c r="C401" s="36" t="s">
        <v>7237</v>
      </c>
      <c r="D401" s="36" t="s">
        <v>7238</v>
      </c>
      <c r="E401" s="36" t="s">
        <v>7239</v>
      </c>
      <c r="F401" s="36" t="s">
        <v>7240</v>
      </c>
      <c r="G401" s="36" t="s">
        <v>7241</v>
      </c>
      <c r="H401" s="36" t="s">
        <v>7242</v>
      </c>
      <c r="I401" s="36" t="s">
        <v>7243</v>
      </c>
      <c r="J401" s="36" t="s">
        <v>7244</v>
      </c>
      <c r="K401" s="36" t="s">
        <v>7245</v>
      </c>
      <c r="L401" s="36" t="s">
        <v>7246</v>
      </c>
      <c r="M401" s="36" t="s">
        <v>7236</v>
      </c>
      <c r="N401" s="36" t="s">
        <v>7247</v>
      </c>
      <c r="O401" s="36" t="s">
        <v>7245</v>
      </c>
      <c r="P401" s="36" t="s">
        <v>7236</v>
      </c>
    </row>
    <row r="402" spans="1:16">
      <c r="A402" s="139">
        <v>401</v>
      </c>
      <c r="B402" s="36" t="s">
        <v>7248</v>
      </c>
      <c r="C402" s="36" t="s">
        <v>7249</v>
      </c>
      <c r="D402" s="36" t="s">
        <v>7250</v>
      </c>
      <c r="E402" s="36" t="s">
        <v>7251</v>
      </c>
      <c r="F402" s="36" t="s">
        <v>7252</v>
      </c>
      <c r="G402" s="36" t="s">
        <v>7253</v>
      </c>
      <c r="H402" s="36" t="s">
        <v>7254</v>
      </c>
      <c r="I402" s="36" t="s">
        <v>7255</v>
      </c>
      <c r="J402" s="36" t="s">
        <v>7256</v>
      </c>
      <c r="K402" s="36" t="s">
        <v>7257</v>
      </c>
      <c r="L402" s="36" t="s">
        <v>7258</v>
      </c>
      <c r="M402" s="36" t="s">
        <v>7259</v>
      </c>
      <c r="N402" s="36" t="s">
        <v>7260</v>
      </c>
      <c r="O402" s="36" t="s">
        <v>7261</v>
      </c>
      <c r="P402" s="36" t="s">
        <v>7248</v>
      </c>
    </row>
    <row r="403" spans="1:16">
      <c r="A403" s="139">
        <v>402</v>
      </c>
      <c r="B403" s="36" t="s">
        <v>7262</v>
      </c>
      <c r="C403" s="36" t="s">
        <v>7263</v>
      </c>
      <c r="D403" s="36" t="s">
        <v>7264</v>
      </c>
      <c r="E403" s="36" t="s">
        <v>7265</v>
      </c>
      <c r="F403" s="36" t="s">
        <v>7266</v>
      </c>
      <c r="G403" s="36" t="s">
        <v>7267</v>
      </c>
      <c r="H403" s="36" t="s">
        <v>7268</v>
      </c>
      <c r="I403" s="36" t="s">
        <v>7269</v>
      </c>
      <c r="J403" s="36" t="s">
        <v>7270</v>
      </c>
      <c r="K403" s="36" t="s">
        <v>7271</v>
      </c>
      <c r="L403" s="36" t="s">
        <v>7272</v>
      </c>
      <c r="M403" s="36" t="s">
        <v>7273</v>
      </c>
      <c r="N403" s="36" t="s">
        <v>7274</v>
      </c>
      <c r="O403" s="36" t="s">
        <v>7275</v>
      </c>
      <c r="P403" s="36" t="s">
        <v>7262</v>
      </c>
    </row>
    <row r="404" spans="1:16">
      <c r="A404" s="139">
        <v>403</v>
      </c>
      <c r="B404" s="36" t="s">
        <v>7276</v>
      </c>
      <c r="C404" s="36" t="s">
        <v>7277</v>
      </c>
      <c r="D404" s="36" t="s">
        <v>7278</v>
      </c>
      <c r="E404" s="36" t="s">
        <v>7279</v>
      </c>
      <c r="F404" s="36" t="s">
        <v>7276</v>
      </c>
      <c r="G404" s="36" t="s">
        <v>7280</v>
      </c>
      <c r="H404" s="36" t="s">
        <v>7281</v>
      </c>
      <c r="I404" s="36" t="s">
        <v>7282</v>
      </c>
      <c r="J404" s="36" t="s">
        <v>7276</v>
      </c>
      <c r="K404" s="36" t="s">
        <v>7283</v>
      </c>
      <c r="L404" s="36" t="s">
        <v>7276</v>
      </c>
      <c r="M404" s="36" t="s">
        <v>7276</v>
      </c>
      <c r="N404" s="36" t="s">
        <v>7276</v>
      </c>
      <c r="O404" s="36" t="s">
        <v>7283</v>
      </c>
      <c r="P404" s="36" t="s">
        <v>7276</v>
      </c>
    </row>
    <row r="405" spans="1:16">
      <c r="A405" s="139">
        <v>404</v>
      </c>
      <c r="B405" s="36" t="s">
        <v>7284</v>
      </c>
      <c r="C405" s="36" t="s">
        <v>7237</v>
      </c>
      <c r="D405" s="36" t="s">
        <v>7285</v>
      </c>
      <c r="E405" s="36" t="s">
        <v>7286</v>
      </c>
      <c r="F405" s="36" t="s">
        <v>7287</v>
      </c>
      <c r="G405" s="36" t="s">
        <v>7288</v>
      </c>
      <c r="H405" s="36" t="s">
        <v>7289</v>
      </c>
      <c r="I405" s="36" t="s">
        <v>7287</v>
      </c>
      <c r="J405" s="36" t="s">
        <v>7290</v>
      </c>
      <c r="K405" s="36" t="s">
        <v>7291</v>
      </c>
      <c r="L405" s="36" t="s">
        <v>7292</v>
      </c>
      <c r="M405" s="36" t="s">
        <v>7284</v>
      </c>
      <c r="N405" s="36" t="s">
        <v>7293</v>
      </c>
      <c r="O405" s="36" t="s">
        <v>7294</v>
      </c>
      <c r="P405" s="36" t="s">
        <v>7284</v>
      </c>
    </row>
    <row r="406" spans="1:16">
      <c r="A406" s="139">
        <v>405</v>
      </c>
      <c r="B406" s="36" t="s">
        <v>7295</v>
      </c>
      <c r="C406" s="36" t="s">
        <v>7296</v>
      </c>
      <c r="D406" s="36" t="s">
        <v>7297</v>
      </c>
      <c r="E406" s="36" t="s">
        <v>7298</v>
      </c>
      <c r="F406" s="36" t="s">
        <v>7299</v>
      </c>
      <c r="G406" s="36" t="s">
        <v>7300</v>
      </c>
      <c r="H406" s="36" t="s">
        <v>7301</v>
      </c>
      <c r="I406" s="36" t="s">
        <v>7302</v>
      </c>
      <c r="J406" s="36" t="s">
        <v>7303</v>
      </c>
      <c r="K406" s="36" t="s">
        <v>7304</v>
      </c>
      <c r="L406" s="36" t="s">
        <v>7305</v>
      </c>
      <c r="M406" s="36" t="s">
        <v>7306</v>
      </c>
      <c r="N406" s="36" t="s">
        <v>7307</v>
      </c>
      <c r="O406" s="36" t="s">
        <v>7308</v>
      </c>
      <c r="P406" s="36" t="s">
        <v>7295</v>
      </c>
    </row>
    <row r="407" spans="1:16">
      <c r="A407" s="139">
        <v>406</v>
      </c>
      <c r="B407" s="36" t="s">
        <v>7309</v>
      </c>
      <c r="C407" s="36" t="s">
        <v>7310</v>
      </c>
      <c r="D407" s="36" t="s">
        <v>7311</v>
      </c>
      <c r="E407" s="36" t="s">
        <v>7312</v>
      </c>
      <c r="F407" s="36" t="s">
        <v>7313</v>
      </c>
      <c r="G407" s="36" t="s">
        <v>7314</v>
      </c>
      <c r="H407" s="36" t="s">
        <v>7315</v>
      </c>
      <c r="I407" s="36" t="s">
        <v>7316</v>
      </c>
      <c r="J407" s="36" t="s">
        <v>7317</v>
      </c>
      <c r="K407" s="36" t="s">
        <v>7318</v>
      </c>
      <c r="L407" s="36" t="s">
        <v>7319</v>
      </c>
      <c r="M407" s="36" t="s">
        <v>7320</v>
      </c>
      <c r="N407" s="36" t="s">
        <v>7321</v>
      </c>
      <c r="O407" s="36" t="s">
        <v>7322</v>
      </c>
      <c r="P407" s="36" t="s">
        <v>7309</v>
      </c>
    </row>
    <row r="408" spans="1:16">
      <c r="A408" s="139">
        <v>407</v>
      </c>
      <c r="B408" s="36" t="s">
        <v>7323</v>
      </c>
      <c r="C408" s="36" t="s">
        <v>7324</v>
      </c>
      <c r="D408" s="36" t="s">
        <v>7325</v>
      </c>
      <c r="E408" s="36" t="s">
        <v>7326</v>
      </c>
      <c r="F408" s="36" t="s">
        <v>7327</v>
      </c>
      <c r="G408" s="36" t="s">
        <v>7328</v>
      </c>
      <c r="H408" s="36" t="s">
        <v>7329</v>
      </c>
      <c r="I408" s="36" t="s">
        <v>7330</v>
      </c>
      <c r="J408" s="36" t="s">
        <v>7331</v>
      </c>
      <c r="K408" s="36" t="s">
        <v>7332</v>
      </c>
      <c r="L408" s="36" t="s">
        <v>7333</v>
      </c>
      <c r="M408" s="36" t="s">
        <v>7334</v>
      </c>
      <c r="N408" s="36" t="s">
        <v>7335</v>
      </c>
      <c r="O408" s="36" t="s">
        <v>7336</v>
      </c>
      <c r="P408" s="36" t="s">
        <v>7337</v>
      </c>
    </row>
    <row r="409" spans="1:16">
      <c r="A409" s="139">
        <v>408</v>
      </c>
      <c r="B409" s="36" t="s">
        <v>7338</v>
      </c>
      <c r="C409" s="36" t="s">
        <v>7339</v>
      </c>
      <c r="D409" s="36" t="s">
        <v>7340</v>
      </c>
      <c r="E409" s="36" t="s">
        <v>7341</v>
      </c>
      <c r="F409" s="36" t="s">
        <v>7342</v>
      </c>
      <c r="G409" s="36" t="s">
        <v>7343</v>
      </c>
      <c r="H409" s="36" t="s">
        <v>7344</v>
      </c>
      <c r="I409" s="36" t="s">
        <v>7345</v>
      </c>
      <c r="J409" s="36" t="s">
        <v>7346</v>
      </c>
      <c r="K409" s="36" t="s">
        <v>7347</v>
      </c>
      <c r="L409" s="36" t="s">
        <v>7348</v>
      </c>
      <c r="M409" s="36" t="s">
        <v>7349</v>
      </c>
      <c r="N409" s="36" t="s">
        <v>7350</v>
      </c>
      <c r="O409" s="36" t="s">
        <v>7351</v>
      </c>
      <c r="P409" s="36" t="s">
        <v>7352</v>
      </c>
    </row>
    <row r="410" spans="1:16">
      <c r="A410" s="139">
        <v>409</v>
      </c>
      <c r="B410" s="36" t="s">
        <v>7353</v>
      </c>
      <c r="C410" s="36" t="s">
        <v>7354</v>
      </c>
      <c r="D410" s="36" t="s">
        <v>7355</v>
      </c>
      <c r="E410" s="36" t="s">
        <v>7312</v>
      </c>
      <c r="F410" s="36" t="s">
        <v>7356</v>
      </c>
      <c r="G410" s="36" t="s">
        <v>7357</v>
      </c>
      <c r="H410" s="36" t="s">
        <v>7358</v>
      </c>
      <c r="I410" s="36" t="s">
        <v>7359</v>
      </c>
      <c r="J410" s="36" t="s">
        <v>7360</v>
      </c>
      <c r="K410" s="36" t="s">
        <v>7361</v>
      </c>
      <c r="L410" s="36" t="s">
        <v>7362</v>
      </c>
      <c r="M410" s="36" t="s">
        <v>7363</v>
      </c>
      <c r="N410" s="36" t="s">
        <v>7364</v>
      </c>
      <c r="O410" s="36" t="s">
        <v>7365</v>
      </c>
      <c r="P410" s="36" t="s">
        <v>7353</v>
      </c>
    </row>
    <row r="411" spans="1:16">
      <c r="A411" s="139">
        <v>410</v>
      </c>
      <c r="B411" s="36" t="s">
        <v>7366</v>
      </c>
      <c r="C411" s="36" t="s">
        <v>7367</v>
      </c>
      <c r="D411" s="36" t="s">
        <v>7368</v>
      </c>
      <c r="E411" s="36" t="s">
        <v>7369</v>
      </c>
      <c r="F411" s="36" t="s">
        <v>7370</v>
      </c>
      <c r="G411" s="36" t="s">
        <v>7371</v>
      </c>
      <c r="H411" s="36" t="s">
        <v>7372</v>
      </c>
      <c r="I411" s="36" t="s">
        <v>7373</v>
      </c>
      <c r="J411" s="36" t="s">
        <v>7374</v>
      </c>
      <c r="K411" s="36" t="s">
        <v>7375</v>
      </c>
      <c r="L411" s="36" t="s">
        <v>7376</v>
      </c>
      <c r="M411" s="36" t="s">
        <v>7377</v>
      </c>
      <c r="N411" s="36" t="s">
        <v>7378</v>
      </c>
      <c r="O411" s="36" t="s">
        <v>7379</v>
      </c>
      <c r="P411" s="36" t="s">
        <v>7366</v>
      </c>
    </row>
    <row r="412" spans="1:16">
      <c r="A412" s="139">
        <v>411</v>
      </c>
      <c r="B412" s="36" t="s">
        <v>7380</v>
      </c>
      <c r="C412" s="36" t="s">
        <v>7381</v>
      </c>
      <c r="D412" s="36" t="s">
        <v>7382</v>
      </c>
      <c r="E412" s="36" t="s">
        <v>7383</v>
      </c>
      <c r="F412" s="36" t="s">
        <v>7384</v>
      </c>
      <c r="G412" s="36" t="s">
        <v>7385</v>
      </c>
      <c r="H412" s="36" t="s">
        <v>7386</v>
      </c>
      <c r="I412" s="36" t="s">
        <v>7387</v>
      </c>
      <c r="J412" s="36" t="s">
        <v>7388</v>
      </c>
      <c r="K412" s="36" t="s">
        <v>7389</v>
      </c>
      <c r="L412" s="36" t="s">
        <v>7390</v>
      </c>
      <c r="M412" s="36" t="s">
        <v>7391</v>
      </c>
      <c r="N412" s="36" t="s">
        <v>7392</v>
      </c>
      <c r="O412" s="36" t="s">
        <v>7393</v>
      </c>
      <c r="P412" s="36" t="s">
        <v>7380</v>
      </c>
    </row>
    <row r="413" spans="1:16">
      <c r="A413" s="139">
        <v>412</v>
      </c>
      <c r="B413" s="36" t="s">
        <v>7394</v>
      </c>
      <c r="C413" s="36" t="s">
        <v>7395</v>
      </c>
      <c r="D413" s="36" t="s">
        <v>7395</v>
      </c>
      <c r="E413" s="36" t="s">
        <v>7396</v>
      </c>
      <c r="F413" s="36" t="s">
        <v>7397</v>
      </c>
      <c r="G413" s="36" t="s">
        <v>7398</v>
      </c>
      <c r="H413" s="36" t="s">
        <v>7396</v>
      </c>
      <c r="I413" s="36" t="s">
        <v>7399</v>
      </c>
      <c r="J413" s="36" t="s">
        <v>7400</v>
      </c>
      <c r="K413" s="36" t="s">
        <v>7398</v>
      </c>
      <c r="L413" s="36" t="s">
        <v>7401</v>
      </c>
      <c r="M413" s="36" t="s">
        <v>7394</v>
      </c>
      <c r="N413" s="36" t="s">
        <v>7394</v>
      </c>
      <c r="O413" s="36" t="s">
        <v>7398</v>
      </c>
      <c r="P413" s="36" t="s">
        <v>7394</v>
      </c>
    </row>
    <row r="414" spans="1:16">
      <c r="A414" s="139">
        <v>413</v>
      </c>
      <c r="B414" s="36" t="s">
        <v>7402</v>
      </c>
      <c r="C414" s="36" t="s">
        <v>7403</v>
      </c>
      <c r="D414" s="36" t="s">
        <v>7403</v>
      </c>
      <c r="E414" s="36" t="s">
        <v>7404</v>
      </c>
      <c r="F414" s="36" t="s">
        <v>7405</v>
      </c>
      <c r="G414" s="36" t="s">
        <v>7406</v>
      </c>
      <c r="H414" s="36" t="s">
        <v>7404</v>
      </c>
      <c r="I414" s="36" t="s">
        <v>7407</v>
      </c>
      <c r="J414" s="36" t="s">
        <v>7408</v>
      </c>
      <c r="K414" s="36" t="s">
        <v>7406</v>
      </c>
      <c r="L414" s="36" t="s">
        <v>7409</v>
      </c>
      <c r="M414" s="36" t="s">
        <v>7402</v>
      </c>
      <c r="N414" s="36" t="s">
        <v>7402</v>
      </c>
      <c r="O414" s="36" t="s">
        <v>7406</v>
      </c>
      <c r="P414" s="36" t="s">
        <v>7402</v>
      </c>
    </row>
    <row r="415" spans="1:16">
      <c r="A415" s="139">
        <v>414</v>
      </c>
      <c r="B415" s="36" t="s">
        <v>7410</v>
      </c>
      <c r="C415" s="36" t="s">
        <v>7411</v>
      </c>
      <c r="D415" s="36" t="s">
        <v>7411</v>
      </c>
      <c r="E415" s="36" t="s">
        <v>7412</v>
      </c>
      <c r="F415" s="36" t="s">
        <v>7413</v>
      </c>
      <c r="G415" s="36" t="s">
        <v>7414</v>
      </c>
      <c r="H415" s="36" t="s">
        <v>7412</v>
      </c>
      <c r="I415" s="36" t="s">
        <v>7415</v>
      </c>
      <c r="J415" s="36" t="s">
        <v>7416</v>
      </c>
      <c r="K415" s="36" t="s">
        <v>7414</v>
      </c>
      <c r="L415" s="36" t="s">
        <v>7417</v>
      </c>
      <c r="M415" s="36" t="s">
        <v>7410</v>
      </c>
      <c r="N415" s="36" t="s">
        <v>7410</v>
      </c>
      <c r="O415" s="36" t="s">
        <v>7414</v>
      </c>
      <c r="P415" s="36" t="s">
        <v>7410</v>
      </c>
    </row>
    <row r="416" spans="1:16">
      <c r="A416" s="139">
        <v>415</v>
      </c>
      <c r="B416" s="36" t="s">
        <v>7418</v>
      </c>
      <c r="C416" s="36" t="s">
        <v>7419</v>
      </c>
      <c r="D416" s="36" t="s">
        <v>7419</v>
      </c>
      <c r="E416" s="36" t="s">
        <v>7420</v>
      </c>
      <c r="F416" s="36" t="s">
        <v>7421</v>
      </c>
      <c r="G416" s="36" t="s">
        <v>7422</v>
      </c>
      <c r="H416" s="36" t="s">
        <v>7420</v>
      </c>
      <c r="I416" s="36" t="s">
        <v>7423</v>
      </c>
      <c r="J416" s="36" t="s">
        <v>7424</v>
      </c>
      <c r="K416" s="36" t="s">
        <v>7422</v>
      </c>
      <c r="L416" s="36" t="s">
        <v>7425</v>
      </c>
      <c r="M416" s="36" t="s">
        <v>7418</v>
      </c>
      <c r="N416" s="36" t="s">
        <v>7418</v>
      </c>
      <c r="O416" s="36" t="s">
        <v>7422</v>
      </c>
      <c r="P416" s="36" t="s">
        <v>7418</v>
      </c>
    </row>
    <row r="417" spans="1:16">
      <c r="A417" s="139">
        <v>416</v>
      </c>
      <c r="B417" s="36" t="s">
        <v>7426</v>
      </c>
      <c r="C417" s="36" t="s">
        <v>7427</v>
      </c>
      <c r="D417" s="36" t="s">
        <v>7428</v>
      </c>
      <c r="E417" s="36" t="s">
        <v>7429</v>
      </c>
      <c r="F417" s="36" t="s">
        <v>7430</v>
      </c>
      <c r="G417" s="36" t="s">
        <v>7431</v>
      </c>
      <c r="H417" s="36" t="s">
        <v>7432</v>
      </c>
      <c r="I417" s="36" t="s">
        <v>7433</v>
      </c>
      <c r="J417" s="36" t="s">
        <v>7434</v>
      </c>
      <c r="K417" s="36" t="s">
        <v>7429</v>
      </c>
      <c r="L417" s="36" t="s">
        <v>7435</v>
      </c>
      <c r="M417" s="36" t="s">
        <v>7426</v>
      </c>
      <c r="N417" s="36" t="s">
        <v>7426</v>
      </c>
      <c r="O417" s="36" t="s">
        <v>7426</v>
      </c>
      <c r="P417" s="36" t="s">
        <v>7426</v>
      </c>
    </row>
    <row r="418" spans="1:16">
      <c r="A418" s="139">
        <v>417</v>
      </c>
      <c r="B418" s="36" t="s">
        <v>7436</v>
      </c>
      <c r="C418" s="36" t="s">
        <v>7437</v>
      </c>
      <c r="D418" s="36" t="s">
        <v>7438</v>
      </c>
      <c r="E418" s="36" t="s">
        <v>7439</v>
      </c>
      <c r="F418" s="36" t="s">
        <v>7440</v>
      </c>
      <c r="G418" s="36" t="s">
        <v>7441</v>
      </c>
      <c r="H418" s="36" t="s">
        <v>7442</v>
      </c>
      <c r="I418" s="36" t="s">
        <v>7443</v>
      </c>
      <c r="J418" s="36" t="s">
        <v>7444</v>
      </c>
      <c r="K418" s="36" t="s">
        <v>7445</v>
      </c>
      <c r="L418" s="36" t="s">
        <v>7446</v>
      </c>
      <c r="M418" s="36" t="s">
        <v>7447</v>
      </c>
      <c r="N418" s="36" t="s">
        <v>7448</v>
      </c>
      <c r="O418" s="36" t="s">
        <v>7449</v>
      </c>
      <c r="P418" s="36" t="s">
        <v>7436</v>
      </c>
    </row>
    <row r="419" spans="1:16">
      <c r="A419" s="139">
        <v>418</v>
      </c>
      <c r="B419" s="36" t="s">
        <v>7450</v>
      </c>
      <c r="C419" s="36" t="s">
        <v>7451</v>
      </c>
      <c r="D419" s="36" t="s">
        <v>7452</v>
      </c>
      <c r="E419" s="36" t="s">
        <v>7453</v>
      </c>
      <c r="F419" s="36" t="s">
        <v>7454</v>
      </c>
      <c r="G419" s="36" t="s">
        <v>7455</v>
      </c>
      <c r="H419" s="36" t="s">
        <v>7456</v>
      </c>
      <c r="I419" s="36" t="s">
        <v>7457</v>
      </c>
      <c r="J419" s="36" t="s">
        <v>7458</v>
      </c>
      <c r="K419" s="36" t="s">
        <v>7459</v>
      </c>
      <c r="L419" s="36" t="s">
        <v>7460</v>
      </c>
      <c r="M419" s="36" t="s">
        <v>7461</v>
      </c>
      <c r="N419" s="36" t="s">
        <v>7462</v>
      </c>
      <c r="O419" s="36" t="s">
        <v>7463</v>
      </c>
      <c r="P419" s="36" t="s">
        <v>7450</v>
      </c>
    </row>
    <row r="420" spans="1:16">
      <c r="A420" s="139">
        <v>419</v>
      </c>
      <c r="B420" s="36" t="s">
        <v>7464</v>
      </c>
      <c r="C420" s="36" t="s">
        <v>7465</v>
      </c>
      <c r="D420" s="36" t="s">
        <v>7466</v>
      </c>
      <c r="E420" s="36" t="s">
        <v>7467</v>
      </c>
      <c r="F420" s="36" t="s">
        <v>7468</v>
      </c>
      <c r="G420" s="36" t="s">
        <v>7469</v>
      </c>
      <c r="H420" s="36" t="s">
        <v>7470</v>
      </c>
      <c r="I420" s="36" t="s">
        <v>7471</v>
      </c>
      <c r="J420" s="36" t="s">
        <v>7472</v>
      </c>
      <c r="K420" s="36" t="s">
        <v>7473</v>
      </c>
      <c r="L420" s="36" t="s">
        <v>7474</v>
      </c>
      <c r="M420" s="36" t="s">
        <v>7475</v>
      </c>
      <c r="N420" s="36" t="s">
        <v>7476</v>
      </c>
      <c r="O420" s="36" t="s">
        <v>7477</v>
      </c>
      <c r="P420" s="36" t="s">
        <v>7464</v>
      </c>
    </row>
    <row r="421" spans="1:16">
      <c r="A421" s="139">
        <v>420</v>
      </c>
      <c r="B421" s="36" t="s">
        <v>7478</v>
      </c>
      <c r="C421" s="36" t="s">
        <v>7479</v>
      </c>
      <c r="D421" s="36" t="s">
        <v>7480</v>
      </c>
      <c r="E421" s="36" t="s">
        <v>7481</v>
      </c>
      <c r="F421" s="36" t="s">
        <v>7482</v>
      </c>
      <c r="G421" s="36" t="s">
        <v>7483</v>
      </c>
      <c r="H421" s="36" t="s">
        <v>7484</v>
      </c>
      <c r="I421" s="36" t="s">
        <v>7485</v>
      </c>
      <c r="J421" s="36" t="s">
        <v>7486</v>
      </c>
      <c r="K421" s="36" t="s">
        <v>7487</v>
      </c>
      <c r="L421" s="36" t="s">
        <v>7488</v>
      </c>
      <c r="M421" s="36" t="s">
        <v>7489</v>
      </c>
      <c r="N421" s="36" t="s">
        <v>7490</v>
      </c>
      <c r="O421" s="36" t="s">
        <v>7491</v>
      </c>
      <c r="P421" s="36" t="s">
        <v>7478</v>
      </c>
    </row>
    <row r="422" spans="1:16">
      <c r="A422" s="139">
        <v>421</v>
      </c>
      <c r="B422" s="36" t="s">
        <v>7492</v>
      </c>
      <c r="C422" s="36" t="s">
        <v>7451</v>
      </c>
      <c r="D422" s="36" t="s">
        <v>7493</v>
      </c>
      <c r="E422" s="36" t="s">
        <v>7494</v>
      </c>
      <c r="F422" s="36" t="s">
        <v>7495</v>
      </c>
      <c r="G422" s="36" t="s">
        <v>7496</v>
      </c>
      <c r="H422" s="36" t="s">
        <v>7497</v>
      </c>
      <c r="I422" s="36" t="s">
        <v>7498</v>
      </c>
      <c r="J422" s="36" t="s">
        <v>7499</v>
      </c>
      <c r="K422" s="36" t="s">
        <v>7500</v>
      </c>
      <c r="L422" s="36" t="s">
        <v>7501</v>
      </c>
      <c r="M422" s="36" t="s">
        <v>7502</v>
      </c>
      <c r="N422" s="36" t="s">
        <v>7503</v>
      </c>
      <c r="O422" s="36" t="s">
        <v>7504</v>
      </c>
      <c r="P422" s="36" t="s">
        <v>7492</v>
      </c>
    </row>
    <row r="423" spans="1:16">
      <c r="A423" s="139">
        <v>422</v>
      </c>
      <c r="B423" s="36" t="s">
        <v>7505</v>
      </c>
      <c r="C423" s="36" t="s">
        <v>7506</v>
      </c>
      <c r="D423" s="36" t="s">
        <v>7507</v>
      </c>
      <c r="E423" s="36" t="s">
        <v>7508</v>
      </c>
      <c r="F423" s="36" t="s">
        <v>7509</v>
      </c>
      <c r="G423" s="36" t="s">
        <v>7510</v>
      </c>
      <c r="H423" s="36" t="s">
        <v>7511</v>
      </c>
      <c r="I423" s="36" t="s">
        <v>7512</v>
      </c>
      <c r="J423" s="36" t="s">
        <v>7513</v>
      </c>
      <c r="K423" s="36" t="s">
        <v>7514</v>
      </c>
      <c r="L423" s="36" t="s">
        <v>7515</v>
      </c>
      <c r="M423" s="36" t="s">
        <v>7516</v>
      </c>
      <c r="N423" s="36" t="s">
        <v>7517</v>
      </c>
      <c r="O423" s="36" t="s">
        <v>7518</v>
      </c>
      <c r="P423" s="36" t="s">
        <v>7505</v>
      </c>
    </row>
    <row r="424" spans="1:16">
      <c r="A424" s="139">
        <v>423</v>
      </c>
      <c r="B424" s="36" t="s">
        <v>7519</v>
      </c>
      <c r="C424" s="36" t="s">
        <v>7520</v>
      </c>
      <c r="D424" s="36" t="s">
        <v>7521</v>
      </c>
      <c r="E424" s="36" t="s">
        <v>7522</v>
      </c>
      <c r="F424" s="36" t="s">
        <v>7523</v>
      </c>
      <c r="G424" s="36" t="s">
        <v>7524</v>
      </c>
      <c r="H424" s="36" t="s">
        <v>7525</v>
      </c>
      <c r="I424" s="36" t="s">
        <v>7526</v>
      </c>
      <c r="J424" s="36" t="s">
        <v>7527</v>
      </c>
      <c r="K424" s="36" t="s">
        <v>7528</v>
      </c>
      <c r="L424" s="36" t="s">
        <v>7529</v>
      </c>
      <c r="M424" s="36" t="s">
        <v>7530</v>
      </c>
      <c r="N424" s="36" t="s">
        <v>7531</v>
      </c>
      <c r="O424" s="36" t="s">
        <v>7532</v>
      </c>
      <c r="P424" s="36" t="s">
        <v>7519</v>
      </c>
    </row>
    <row r="425" spans="1:16">
      <c r="A425" s="139">
        <v>424</v>
      </c>
      <c r="B425" s="36" t="s">
        <v>7533</v>
      </c>
      <c r="C425" s="36" t="s">
        <v>7534</v>
      </c>
      <c r="D425" s="36" t="s">
        <v>7535</v>
      </c>
      <c r="E425" s="36" t="s">
        <v>7536</v>
      </c>
      <c r="F425" s="36" t="s">
        <v>7537</v>
      </c>
      <c r="G425" s="36" t="s">
        <v>7538</v>
      </c>
      <c r="H425" s="36" t="s">
        <v>7539</v>
      </c>
      <c r="I425" s="36" t="s">
        <v>7540</v>
      </c>
      <c r="J425" s="36" t="s">
        <v>7541</v>
      </c>
      <c r="K425" s="36" t="s">
        <v>7542</v>
      </c>
      <c r="L425" s="36" t="s">
        <v>7543</v>
      </c>
      <c r="M425" s="36" t="s">
        <v>7544</v>
      </c>
      <c r="N425" s="36" t="s">
        <v>7545</v>
      </c>
      <c r="O425" s="36" t="s">
        <v>7546</v>
      </c>
      <c r="P425" s="36" t="s">
        <v>7533</v>
      </c>
    </row>
    <row r="426" spans="1:16">
      <c r="A426" s="139">
        <v>425</v>
      </c>
      <c r="B426" s="36" t="s">
        <v>7547</v>
      </c>
      <c r="C426" s="36" t="s">
        <v>7534</v>
      </c>
      <c r="D426" s="36" t="s">
        <v>7535</v>
      </c>
      <c r="E426" s="36" t="s">
        <v>7548</v>
      </c>
      <c r="F426" s="36" t="s">
        <v>7549</v>
      </c>
      <c r="G426" s="36" t="s">
        <v>7550</v>
      </c>
      <c r="H426" s="36" t="s">
        <v>7551</v>
      </c>
      <c r="I426" s="36" t="s">
        <v>7552</v>
      </c>
      <c r="J426" s="36" t="s">
        <v>7553</v>
      </c>
      <c r="K426" s="36" t="s">
        <v>7554</v>
      </c>
      <c r="L426" s="36" t="s">
        <v>7555</v>
      </c>
      <c r="M426" s="36" t="s">
        <v>7556</v>
      </c>
      <c r="N426" s="36" t="s">
        <v>7557</v>
      </c>
      <c r="O426" s="36" t="s">
        <v>7546</v>
      </c>
      <c r="P426" s="36" t="s">
        <v>7547</v>
      </c>
    </row>
    <row r="427" spans="1:16">
      <c r="A427" s="139">
        <v>426</v>
      </c>
      <c r="B427" s="36" t="s">
        <v>7558</v>
      </c>
      <c r="C427" s="36" t="s">
        <v>7559</v>
      </c>
      <c r="D427" s="36" t="s">
        <v>7560</v>
      </c>
      <c r="E427" s="36" t="s">
        <v>7561</v>
      </c>
      <c r="F427" s="36" t="s">
        <v>7562</v>
      </c>
      <c r="G427" s="36" t="s">
        <v>7563</v>
      </c>
      <c r="H427" s="36" t="s">
        <v>7564</v>
      </c>
      <c r="I427" s="36" t="s">
        <v>7565</v>
      </c>
      <c r="J427" s="36" t="s">
        <v>7566</v>
      </c>
      <c r="K427" s="36" t="s">
        <v>7567</v>
      </c>
      <c r="L427" s="36" t="s">
        <v>7568</v>
      </c>
      <c r="M427" s="36" t="s">
        <v>7569</v>
      </c>
      <c r="N427" s="36" t="s">
        <v>7570</v>
      </c>
      <c r="O427" s="36" t="s">
        <v>7571</v>
      </c>
      <c r="P427" s="36" t="s">
        <v>7558</v>
      </c>
    </row>
    <row r="428" spans="1:16">
      <c r="A428" s="139">
        <v>427</v>
      </c>
      <c r="B428" s="36" t="s">
        <v>7572</v>
      </c>
      <c r="C428" s="36" t="s">
        <v>7573</v>
      </c>
      <c r="D428" s="36" t="s">
        <v>7574</v>
      </c>
      <c r="E428" s="36" t="s">
        <v>7575</v>
      </c>
      <c r="F428" s="36" t="s">
        <v>7576</v>
      </c>
      <c r="G428" s="36" t="s">
        <v>7577</v>
      </c>
      <c r="H428" s="36" t="s">
        <v>7578</v>
      </c>
      <c r="I428" s="36" t="s">
        <v>7579</v>
      </c>
      <c r="J428" s="36" t="s">
        <v>7580</v>
      </c>
      <c r="K428" s="36" t="s">
        <v>7581</v>
      </c>
      <c r="L428" s="36" t="s">
        <v>7582</v>
      </c>
      <c r="M428" s="36" t="s">
        <v>7583</v>
      </c>
      <c r="N428" s="36" t="s">
        <v>7584</v>
      </c>
      <c r="O428" s="36" t="s">
        <v>7585</v>
      </c>
      <c r="P428" s="36" t="s">
        <v>7572</v>
      </c>
    </row>
    <row r="429" spans="1:16">
      <c r="A429" s="139">
        <v>428</v>
      </c>
      <c r="B429" s="36" t="s">
        <v>7586</v>
      </c>
      <c r="C429" s="36" t="s">
        <v>7587</v>
      </c>
      <c r="D429" s="36" t="s">
        <v>7588</v>
      </c>
      <c r="E429" s="36" t="s">
        <v>7589</v>
      </c>
      <c r="F429" s="36" t="s">
        <v>7590</v>
      </c>
      <c r="G429" s="36" t="s">
        <v>7591</v>
      </c>
      <c r="H429" s="36" t="s">
        <v>7592</v>
      </c>
      <c r="I429" s="36" t="s">
        <v>7593</v>
      </c>
      <c r="J429" s="36" t="s">
        <v>7594</v>
      </c>
      <c r="K429" s="36" t="s">
        <v>7595</v>
      </c>
      <c r="L429" s="36" t="s">
        <v>7596</v>
      </c>
      <c r="M429" s="36" t="s">
        <v>7597</v>
      </c>
      <c r="N429" s="36" t="s">
        <v>7598</v>
      </c>
      <c r="O429" s="36" t="s">
        <v>7599</v>
      </c>
      <c r="P429" s="36" t="s">
        <v>7586</v>
      </c>
    </row>
    <row r="430" spans="1:16">
      <c r="A430" s="139">
        <v>429</v>
      </c>
      <c r="B430" s="36" t="s">
        <v>7600</v>
      </c>
      <c r="C430" s="36" t="s">
        <v>7601</v>
      </c>
      <c r="D430" s="36" t="s">
        <v>7602</v>
      </c>
      <c r="E430" s="36" t="s">
        <v>7603</v>
      </c>
      <c r="F430" s="36" t="s">
        <v>7604</v>
      </c>
      <c r="G430" s="36" t="s">
        <v>7605</v>
      </c>
      <c r="H430" s="36" t="s">
        <v>7606</v>
      </c>
      <c r="I430" s="36" t="s">
        <v>7607</v>
      </c>
      <c r="J430" s="36" t="s">
        <v>7608</v>
      </c>
      <c r="K430" s="36" t="s">
        <v>7609</v>
      </c>
      <c r="L430" s="36" t="s">
        <v>7610</v>
      </c>
      <c r="M430" s="36" t="s">
        <v>7611</v>
      </c>
      <c r="N430" s="36" t="s">
        <v>7612</v>
      </c>
      <c r="O430" s="36" t="s">
        <v>7613</v>
      </c>
      <c r="P430" s="36" t="s">
        <v>7600</v>
      </c>
    </row>
    <row r="431" spans="1:16">
      <c r="A431" s="139">
        <v>430</v>
      </c>
      <c r="B431" s="36" t="s">
        <v>7614</v>
      </c>
      <c r="C431" s="36" t="s">
        <v>7615</v>
      </c>
      <c r="D431" s="36" t="s">
        <v>7616</v>
      </c>
      <c r="E431" s="36" t="s">
        <v>7617</v>
      </c>
      <c r="F431" s="36" t="s">
        <v>7618</v>
      </c>
      <c r="G431" s="36" t="s">
        <v>7619</v>
      </c>
      <c r="H431" s="36" t="s">
        <v>7620</v>
      </c>
      <c r="I431" s="36" t="s">
        <v>7621</v>
      </c>
      <c r="J431" s="36" t="s">
        <v>7622</v>
      </c>
      <c r="K431" s="36" t="s">
        <v>7623</v>
      </c>
      <c r="L431" s="36" t="s">
        <v>7624</v>
      </c>
      <c r="M431" s="36" t="s">
        <v>7625</v>
      </c>
      <c r="N431" s="36" t="s">
        <v>7626</v>
      </c>
      <c r="O431" s="36" t="s">
        <v>7627</v>
      </c>
      <c r="P431" s="36" t="s">
        <v>7614</v>
      </c>
    </row>
    <row r="432" spans="1:16">
      <c r="A432" s="139">
        <v>431</v>
      </c>
      <c r="B432" s="36" t="s">
        <v>7628</v>
      </c>
      <c r="C432" s="36" t="s">
        <v>7629</v>
      </c>
      <c r="D432" s="36" t="s">
        <v>7630</v>
      </c>
      <c r="E432" s="36" t="s">
        <v>7631</v>
      </c>
      <c r="F432" s="36" t="s">
        <v>7632</v>
      </c>
      <c r="G432" s="36" t="s">
        <v>7633</v>
      </c>
      <c r="H432" s="36" t="s">
        <v>7634</v>
      </c>
      <c r="I432" s="36" t="s">
        <v>7635</v>
      </c>
      <c r="J432" s="36" t="s">
        <v>7636</v>
      </c>
      <c r="K432" s="36" t="s">
        <v>7637</v>
      </c>
      <c r="L432" s="36" t="s">
        <v>7638</v>
      </c>
      <c r="M432" s="36" t="s">
        <v>7639</v>
      </c>
      <c r="N432" s="36" t="s">
        <v>7639</v>
      </c>
      <c r="O432" s="36" t="s">
        <v>7640</v>
      </c>
      <c r="P432" s="36" t="s">
        <v>7628</v>
      </c>
    </row>
    <row r="433" spans="1:16">
      <c r="A433" s="139">
        <v>432</v>
      </c>
      <c r="B433" s="36" t="s">
        <v>7641</v>
      </c>
      <c r="C433" s="36" t="s">
        <v>7642</v>
      </c>
      <c r="D433" s="36" t="s">
        <v>7643</v>
      </c>
      <c r="E433" s="36" t="s">
        <v>7644</v>
      </c>
      <c r="F433" s="36" t="s">
        <v>7645</v>
      </c>
      <c r="G433" s="36" t="s">
        <v>7646</v>
      </c>
      <c r="H433" s="36" t="s">
        <v>7647</v>
      </c>
      <c r="I433" s="36" t="s">
        <v>7648</v>
      </c>
      <c r="J433" s="36" t="s">
        <v>7649</v>
      </c>
      <c r="K433" s="36" t="s">
        <v>7650</v>
      </c>
      <c r="L433" s="36" t="s">
        <v>7651</v>
      </c>
      <c r="M433" s="36" t="s">
        <v>7652</v>
      </c>
      <c r="N433" s="36" t="s">
        <v>7652</v>
      </c>
      <c r="O433" s="36" t="s">
        <v>7653</v>
      </c>
      <c r="P433" s="36" t="s">
        <v>7641</v>
      </c>
    </row>
    <row r="434" spans="1:16">
      <c r="A434" s="139">
        <v>433</v>
      </c>
      <c r="B434" s="36" t="s">
        <v>26</v>
      </c>
      <c r="C434" s="36" t="s">
        <v>7654</v>
      </c>
      <c r="D434" s="36" t="s">
        <v>7655</v>
      </c>
      <c r="E434" s="36" t="s">
        <v>7656</v>
      </c>
      <c r="F434" s="36" t="s">
        <v>7657</v>
      </c>
      <c r="G434" s="36" t="s">
        <v>7658</v>
      </c>
      <c r="H434" s="36" t="s">
        <v>7659</v>
      </c>
      <c r="I434" s="36" t="s">
        <v>7657</v>
      </c>
      <c r="J434" s="36" t="s">
        <v>7660</v>
      </c>
      <c r="K434" s="36" t="s">
        <v>7661</v>
      </c>
      <c r="L434" s="36" t="s">
        <v>7662</v>
      </c>
      <c r="M434" s="36" t="s">
        <v>7663</v>
      </c>
      <c r="N434" s="36" t="s">
        <v>26</v>
      </c>
      <c r="O434" s="36" t="s">
        <v>7664</v>
      </c>
      <c r="P434" s="36" t="s">
        <v>26</v>
      </c>
    </row>
    <row r="435" spans="1:16">
      <c r="A435" s="139">
        <v>434</v>
      </c>
      <c r="B435" s="36" t="s">
        <v>7665</v>
      </c>
      <c r="C435" s="36" t="s">
        <v>7666</v>
      </c>
      <c r="D435" s="36" t="s">
        <v>7667</v>
      </c>
      <c r="E435" s="36" t="s">
        <v>7668</v>
      </c>
      <c r="F435" s="36" t="s">
        <v>7669</v>
      </c>
      <c r="G435" s="36" t="s">
        <v>7670</v>
      </c>
      <c r="H435" s="36" t="s">
        <v>7671</v>
      </c>
      <c r="I435" s="36" t="s">
        <v>7672</v>
      </c>
      <c r="J435" s="36" t="s">
        <v>7673</v>
      </c>
      <c r="K435" s="36" t="s">
        <v>7674</v>
      </c>
      <c r="L435" s="36" t="s">
        <v>7675</v>
      </c>
      <c r="M435" s="36" t="s">
        <v>7676</v>
      </c>
      <c r="N435" s="36" t="s">
        <v>7677</v>
      </c>
      <c r="O435" s="36" t="s">
        <v>7678</v>
      </c>
      <c r="P435" s="36" t="s">
        <v>7665</v>
      </c>
    </row>
    <row r="436" spans="1:16">
      <c r="A436" s="139">
        <v>435</v>
      </c>
      <c r="B436" s="36" t="s">
        <v>7679</v>
      </c>
      <c r="C436" s="36" t="s">
        <v>7680</v>
      </c>
      <c r="D436" s="36" t="s">
        <v>7681</v>
      </c>
      <c r="E436" s="36" t="s">
        <v>7682</v>
      </c>
      <c r="F436" s="36" t="s">
        <v>7683</v>
      </c>
      <c r="G436" s="36" t="s">
        <v>7684</v>
      </c>
      <c r="H436" s="36" t="s">
        <v>7685</v>
      </c>
      <c r="I436" s="36" t="s">
        <v>7686</v>
      </c>
      <c r="J436" s="36" t="s">
        <v>7687</v>
      </c>
      <c r="K436" s="36" t="s">
        <v>7688</v>
      </c>
      <c r="L436" s="36" t="s">
        <v>7689</v>
      </c>
      <c r="M436" s="36" t="s">
        <v>7690</v>
      </c>
      <c r="N436" s="36" t="s">
        <v>7691</v>
      </c>
      <c r="O436" s="36" t="s">
        <v>7692</v>
      </c>
      <c r="P436" s="36" t="s">
        <v>7679</v>
      </c>
    </row>
    <row r="437" spans="1:16">
      <c r="A437" s="139">
        <v>436</v>
      </c>
      <c r="B437" s="36" t="s">
        <v>7693</v>
      </c>
      <c r="C437" s="36" t="s">
        <v>7694</v>
      </c>
      <c r="D437" s="36" t="s">
        <v>7695</v>
      </c>
      <c r="E437" s="36" t="s">
        <v>7696</v>
      </c>
      <c r="F437" s="36" t="s">
        <v>7697</v>
      </c>
      <c r="G437" s="36" t="s">
        <v>7698</v>
      </c>
      <c r="H437" s="36" t="s">
        <v>7699</v>
      </c>
      <c r="I437" s="36" t="s">
        <v>7700</v>
      </c>
      <c r="J437" s="36" t="s">
        <v>7701</v>
      </c>
      <c r="K437" s="36" t="s">
        <v>7702</v>
      </c>
      <c r="L437" s="36" t="s">
        <v>7703</v>
      </c>
      <c r="M437" s="36" t="s">
        <v>7704</v>
      </c>
      <c r="N437" s="36" t="s">
        <v>7704</v>
      </c>
      <c r="O437" s="36" t="s">
        <v>7705</v>
      </c>
      <c r="P437" s="36" t="s">
        <v>7693</v>
      </c>
    </row>
    <row r="438" spans="1:16">
      <c r="A438" s="139">
        <v>437</v>
      </c>
      <c r="B438" s="36" t="s">
        <v>7706</v>
      </c>
      <c r="C438" s="36" t="s">
        <v>7707</v>
      </c>
      <c r="D438" s="36" t="s">
        <v>7708</v>
      </c>
      <c r="E438" s="36" t="s">
        <v>7709</v>
      </c>
      <c r="F438" s="36" t="s">
        <v>7710</v>
      </c>
      <c r="G438" s="36" t="s">
        <v>7711</v>
      </c>
      <c r="H438" s="36" t="s">
        <v>7712</v>
      </c>
      <c r="I438" s="36" t="s">
        <v>7713</v>
      </c>
      <c r="J438" s="36" t="s">
        <v>7714</v>
      </c>
      <c r="K438" s="36" t="s">
        <v>7715</v>
      </c>
      <c r="L438" s="36" t="s">
        <v>7716</v>
      </c>
      <c r="M438" s="36" t="s">
        <v>7717</v>
      </c>
      <c r="N438" s="36" t="s">
        <v>7717</v>
      </c>
      <c r="O438" s="36" t="s">
        <v>7718</v>
      </c>
      <c r="P438" s="36" t="s">
        <v>7706</v>
      </c>
    </row>
    <row r="439" spans="1:16">
      <c r="A439" s="139">
        <v>438</v>
      </c>
      <c r="B439" s="36" t="s">
        <v>7719</v>
      </c>
      <c r="C439" s="36" t="s">
        <v>7720</v>
      </c>
      <c r="D439" s="36" t="s">
        <v>7721</v>
      </c>
      <c r="E439" s="36" t="s">
        <v>7722</v>
      </c>
      <c r="F439" s="36" t="s">
        <v>7723</v>
      </c>
      <c r="G439" s="36" t="s">
        <v>7724</v>
      </c>
      <c r="H439" s="36" t="s">
        <v>7725</v>
      </c>
      <c r="I439" s="36" t="s">
        <v>7726</v>
      </c>
      <c r="J439" s="36" t="s">
        <v>7727</v>
      </c>
      <c r="K439" s="36" t="s">
        <v>7728</v>
      </c>
      <c r="L439" s="36" t="s">
        <v>7729</v>
      </c>
      <c r="M439" s="36" t="s">
        <v>7730</v>
      </c>
      <c r="N439" s="36" t="s">
        <v>7731</v>
      </c>
      <c r="O439" s="36" t="s">
        <v>7732</v>
      </c>
      <c r="P439" s="36" t="s">
        <v>7719</v>
      </c>
    </row>
    <row r="440" spans="1:16">
      <c r="A440" s="139">
        <v>439</v>
      </c>
      <c r="B440" s="36" t="s">
        <v>7733</v>
      </c>
      <c r="C440" s="36" t="s">
        <v>7734</v>
      </c>
      <c r="D440" s="36" t="s">
        <v>7735</v>
      </c>
      <c r="E440" s="36" t="s">
        <v>7736</v>
      </c>
      <c r="F440" s="36" t="s">
        <v>7737</v>
      </c>
      <c r="G440" s="36" t="s">
        <v>7738</v>
      </c>
      <c r="H440" s="36" t="s">
        <v>7739</v>
      </c>
      <c r="I440" s="36" t="s">
        <v>7740</v>
      </c>
      <c r="J440" s="36" t="s">
        <v>7741</v>
      </c>
      <c r="K440" s="36" t="s">
        <v>7742</v>
      </c>
      <c r="L440" s="36" t="s">
        <v>7743</v>
      </c>
      <c r="M440" s="36" t="s">
        <v>7744</v>
      </c>
      <c r="N440" s="36" t="s">
        <v>7745</v>
      </c>
      <c r="O440" s="36" t="s">
        <v>7746</v>
      </c>
      <c r="P440" s="36" t="s">
        <v>7733</v>
      </c>
    </row>
    <row r="441" spans="1:16" ht="27.6">
      <c r="A441" s="139">
        <v>440</v>
      </c>
      <c r="B441" s="36" t="s">
        <v>7747</v>
      </c>
      <c r="C441" s="122" t="s">
        <v>7748</v>
      </c>
      <c r="D441" s="36" t="s">
        <v>7749</v>
      </c>
      <c r="E441" s="36" t="s">
        <v>7750</v>
      </c>
      <c r="F441" s="122" t="s">
        <v>7751</v>
      </c>
      <c r="G441" s="122" t="s">
        <v>7752</v>
      </c>
      <c r="H441" s="36" t="s">
        <v>7753</v>
      </c>
      <c r="I441" s="122" t="s">
        <v>7754</v>
      </c>
      <c r="J441" s="122" t="s">
        <v>7755</v>
      </c>
      <c r="K441" s="36" t="s">
        <v>7756</v>
      </c>
      <c r="L441" s="36" t="s">
        <v>7757</v>
      </c>
      <c r="M441" s="122" t="s">
        <v>7758</v>
      </c>
      <c r="N441" s="122" t="s">
        <v>7759</v>
      </c>
      <c r="O441" s="36" t="s">
        <v>7760</v>
      </c>
      <c r="P441" s="36" t="s">
        <v>7747</v>
      </c>
    </row>
    <row r="442" spans="1:16">
      <c r="A442" s="139">
        <v>441</v>
      </c>
      <c r="B442" s="36" t="s">
        <v>7761</v>
      </c>
      <c r="C442" s="36" t="s">
        <v>7762</v>
      </c>
      <c r="D442" s="36" t="s">
        <v>7763</v>
      </c>
      <c r="E442" s="36" t="s">
        <v>7764</v>
      </c>
      <c r="F442" s="36" t="s">
        <v>7765</v>
      </c>
      <c r="G442" s="36" t="s">
        <v>7766</v>
      </c>
      <c r="H442" s="36" t="s">
        <v>7767</v>
      </c>
      <c r="I442" s="36" t="s">
        <v>7768</v>
      </c>
      <c r="J442" s="36" t="s">
        <v>7769</v>
      </c>
      <c r="K442" s="36" t="s">
        <v>7770</v>
      </c>
      <c r="L442" s="36" t="s">
        <v>7771</v>
      </c>
      <c r="M442" s="36" t="s">
        <v>7772</v>
      </c>
      <c r="N442" s="36" t="s">
        <v>7773</v>
      </c>
      <c r="O442" s="36" t="s">
        <v>7774</v>
      </c>
      <c r="P442" s="36" t="s">
        <v>7761</v>
      </c>
    </row>
    <row r="443" spans="1:16">
      <c r="A443" s="139">
        <v>442</v>
      </c>
      <c r="B443" s="36" t="s">
        <v>7775</v>
      </c>
      <c r="C443" s="36" t="s">
        <v>7776</v>
      </c>
      <c r="D443" s="36" t="s">
        <v>7777</v>
      </c>
      <c r="E443" s="36" t="s">
        <v>7778</v>
      </c>
      <c r="F443" s="36" t="s">
        <v>7779</v>
      </c>
      <c r="G443" s="36" t="s">
        <v>7780</v>
      </c>
      <c r="H443" s="36" t="s">
        <v>7781</v>
      </c>
      <c r="I443" s="36" t="s">
        <v>7782</v>
      </c>
      <c r="J443" s="36" t="s">
        <v>7783</v>
      </c>
      <c r="K443" s="36" t="s">
        <v>7784</v>
      </c>
      <c r="L443" s="36" t="s">
        <v>7785</v>
      </c>
      <c r="M443" s="36" t="s">
        <v>7786</v>
      </c>
      <c r="N443" s="36" t="s">
        <v>7787</v>
      </c>
      <c r="O443" s="36" t="s">
        <v>7788</v>
      </c>
      <c r="P443" s="36" t="s">
        <v>7775</v>
      </c>
    </row>
    <row r="444" spans="1:16">
      <c r="A444" s="139">
        <v>443</v>
      </c>
      <c r="B444" s="36" t="s">
        <v>7789</v>
      </c>
      <c r="C444" s="36" t="s">
        <v>7790</v>
      </c>
      <c r="D444" s="36" t="s">
        <v>7791</v>
      </c>
      <c r="E444" s="36" t="s">
        <v>7792</v>
      </c>
      <c r="F444" s="36" t="s">
        <v>7793</v>
      </c>
      <c r="G444" s="36" t="s">
        <v>7794</v>
      </c>
      <c r="H444" s="36" t="s">
        <v>7795</v>
      </c>
      <c r="I444" s="36" t="s">
        <v>7796</v>
      </c>
      <c r="J444" s="36" t="s">
        <v>7797</v>
      </c>
      <c r="K444" s="36" t="s">
        <v>7798</v>
      </c>
      <c r="L444" s="36" t="s">
        <v>7799</v>
      </c>
      <c r="M444" s="36" t="s">
        <v>7800</v>
      </c>
      <c r="N444" s="36" t="s">
        <v>7801</v>
      </c>
      <c r="O444" s="36" t="s">
        <v>7802</v>
      </c>
      <c r="P444" s="36" t="s">
        <v>7789</v>
      </c>
    </row>
    <row r="445" spans="1:16">
      <c r="A445" s="139">
        <v>444</v>
      </c>
      <c r="B445" s="36" t="s">
        <v>29772</v>
      </c>
      <c r="C445" s="36" t="s">
        <v>28885</v>
      </c>
      <c r="D445" s="36" t="s">
        <v>29773</v>
      </c>
      <c r="E445" s="36" t="s">
        <v>29774</v>
      </c>
      <c r="F445" s="36" t="s">
        <v>29775</v>
      </c>
      <c r="G445" s="36" t="s">
        <v>29776</v>
      </c>
      <c r="H445" s="36" t="s">
        <v>7803</v>
      </c>
      <c r="I445" s="36" t="s">
        <v>29777</v>
      </c>
      <c r="J445" s="36" t="s">
        <v>29778</v>
      </c>
      <c r="K445" s="36" t="s">
        <v>29779</v>
      </c>
      <c r="L445" s="36" t="s">
        <v>29780</v>
      </c>
      <c r="M445" s="36" t="s">
        <v>29781</v>
      </c>
      <c r="N445" s="36" t="s">
        <v>29782</v>
      </c>
      <c r="O445" s="36" t="s">
        <v>29783</v>
      </c>
      <c r="P445" s="36" t="s">
        <v>29772</v>
      </c>
    </row>
    <row r="446" spans="1:16">
      <c r="A446" s="139">
        <v>445</v>
      </c>
      <c r="B446" s="36" t="s">
        <v>7804</v>
      </c>
      <c r="C446" s="36" t="s">
        <v>7804</v>
      </c>
      <c r="D446" s="36" t="s">
        <v>7804</v>
      </c>
      <c r="E446" s="36" t="s">
        <v>7804</v>
      </c>
      <c r="F446" s="36" t="s">
        <v>7804</v>
      </c>
      <c r="G446" s="36" t="s">
        <v>7804</v>
      </c>
      <c r="H446" s="36" t="s">
        <v>7804</v>
      </c>
      <c r="I446" s="36" t="s">
        <v>7804</v>
      </c>
      <c r="J446" s="36" t="s">
        <v>7804</v>
      </c>
      <c r="K446" s="36" t="s">
        <v>7804</v>
      </c>
      <c r="L446" s="36" t="s">
        <v>7804</v>
      </c>
      <c r="M446" s="36" t="s">
        <v>7804</v>
      </c>
      <c r="N446" s="36" t="s">
        <v>7804</v>
      </c>
      <c r="O446" s="36" t="s">
        <v>7804</v>
      </c>
      <c r="P446" s="36" t="s">
        <v>7804</v>
      </c>
    </row>
    <row r="447" spans="1:16">
      <c r="A447" s="139">
        <v>446</v>
      </c>
      <c r="B447" s="36" t="s">
        <v>7805</v>
      </c>
      <c r="C447" s="36" t="s">
        <v>7806</v>
      </c>
      <c r="D447" s="36" t="s">
        <v>7807</v>
      </c>
      <c r="E447" s="36" t="s">
        <v>7808</v>
      </c>
      <c r="F447" s="36" t="s">
        <v>7809</v>
      </c>
      <c r="G447" s="36" t="s">
        <v>7810</v>
      </c>
      <c r="H447" s="36" t="s">
        <v>7811</v>
      </c>
      <c r="I447" s="36" t="s">
        <v>7812</v>
      </c>
      <c r="J447" s="36" t="s">
        <v>7813</v>
      </c>
      <c r="K447" s="36" t="s">
        <v>7814</v>
      </c>
      <c r="L447" s="36" t="s">
        <v>7815</v>
      </c>
      <c r="M447" s="36" t="s">
        <v>7816</v>
      </c>
      <c r="N447" s="36" t="s">
        <v>7817</v>
      </c>
      <c r="O447" s="36" t="s">
        <v>7818</v>
      </c>
      <c r="P447" s="36" t="s">
        <v>7805</v>
      </c>
    </row>
    <row r="448" spans="1:16">
      <c r="A448" s="139">
        <v>447</v>
      </c>
      <c r="B448" s="36" t="s">
        <v>7819</v>
      </c>
      <c r="C448" s="36" t="s">
        <v>7820</v>
      </c>
      <c r="D448" s="36" t="s">
        <v>7821</v>
      </c>
      <c r="E448" s="36" t="s">
        <v>7822</v>
      </c>
      <c r="F448" s="36" t="s">
        <v>7823</v>
      </c>
      <c r="G448" s="36" t="s">
        <v>7824</v>
      </c>
      <c r="H448" s="36" t="s">
        <v>7825</v>
      </c>
      <c r="I448" s="36" t="s">
        <v>7826</v>
      </c>
      <c r="J448" s="36" t="s">
        <v>7827</v>
      </c>
      <c r="K448" s="36" t="s">
        <v>7828</v>
      </c>
      <c r="L448" s="36" t="s">
        <v>7829</v>
      </c>
      <c r="M448" s="36" t="s">
        <v>7830</v>
      </c>
      <c r="N448" s="36" t="s">
        <v>7831</v>
      </c>
      <c r="O448" s="36" t="s">
        <v>7832</v>
      </c>
      <c r="P448" s="36" t="s">
        <v>7819</v>
      </c>
    </row>
    <row r="449" spans="1:16">
      <c r="A449" s="139">
        <v>448</v>
      </c>
      <c r="B449" s="36" t="s">
        <v>7816</v>
      </c>
      <c r="C449" s="36" t="s">
        <v>7833</v>
      </c>
      <c r="D449" s="36" t="s">
        <v>7834</v>
      </c>
      <c r="E449" s="36" t="s">
        <v>7835</v>
      </c>
      <c r="F449" s="36" t="s">
        <v>7836</v>
      </c>
      <c r="G449" s="36" t="s">
        <v>7810</v>
      </c>
      <c r="H449" s="36" t="s">
        <v>7811</v>
      </c>
      <c r="I449" s="36" t="s">
        <v>7837</v>
      </c>
      <c r="J449" s="36" t="s">
        <v>7838</v>
      </c>
      <c r="K449" s="36" t="s">
        <v>7814</v>
      </c>
      <c r="L449" s="36" t="s">
        <v>7839</v>
      </c>
      <c r="M449" s="36" t="s">
        <v>7840</v>
      </c>
      <c r="N449" s="36" t="s">
        <v>7841</v>
      </c>
      <c r="O449" s="36" t="s">
        <v>7842</v>
      </c>
      <c r="P449" s="36" t="s">
        <v>7816</v>
      </c>
    </row>
    <row r="450" spans="1:16">
      <c r="A450" s="139">
        <v>449</v>
      </c>
      <c r="B450" s="36" t="s">
        <v>7843</v>
      </c>
      <c r="C450" s="36" t="s">
        <v>7844</v>
      </c>
      <c r="D450" s="36" t="s">
        <v>7845</v>
      </c>
      <c r="E450" s="36" t="s">
        <v>7846</v>
      </c>
      <c r="F450" s="36" t="s">
        <v>7847</v>
      </c>
      <c r="G450" s="36" t="s">
        <v>7848</v>
      </c>
      <c r="H450" s="36" t="s">
        <v>7849</v>
      </c>
      <c r="I450" s="36" t="s">
        <v>7850</v>
      </c>
      <c r="J450" s="36" t="s">
        <v>7851</v>
      </c>
      <c r="K450" s="36" t="s">
        <v>7852</v>
      </c>
      <c r="L450" s="36" t="s">
        <v>7853</v>
      </c>
      <c r="M450" s="36" t="s">
        <v>7854</v>
      </c>
      <c r="N450" s="36" t="s">
        <v>7855</v>
      </c>
      <c r="O450" s="36" t="s">
        <v>7856</v>
      </c>
      <c r="P450" s="36" t="s">
        <v>7843</v>
      </c>
    </row>
    <row r="451" spans="1:16">
      <c r="A451" s="139">
        <v>450</v>
      </c>
      <c r="B451" s="36" t="s">
        <v>7857</v>
      </c>
      <c r="C451" s="36" t="s">
        <v>7858</v>
      </c>
      <c r="D451" s="36" t="s">
        <v>7859</v>
      </c>
      <c r="E451" s="36" t="s">
        <v>7860</v>
      </c>
      <c r="F451" s="36" t="s">
        <v>7861</v>
      </c>
      <c r="G451" s="36" t="s">
        <v>7862</v>
      </c>
      <c r="H451" s="36" t="s">
        <v>7863</v>
      </c>
      <c r="I451" s="36" t="s">
        <v>7864</v>
      </c>
      <c r="J451" s="36" t="s">
        <v>7865</v>
      </c>
      <c r="K451" s="36" t="s">
        <v>7866</v>
      </c>
      <c r="L451" s="36" t="s">
        <v>7867</v>
      </c>
      <c r="M451" s="36" t="s">
        <v>7868</v>
      </c>
      <c r="N451" s="36" t="s">
        <v>7869</v>
      </c>
      <c r="O451" s="36" t="s">
        <v>7870</v>
      </c>
      <c r="P451" s="36" t="s">
        <v>7857</v>
      </c>
    </row>
    <row r="452" spans="1:16">
      <c r="A452" s="139">
        <v>451</v>
      </c>
      <c r="B452" s="36" t="s">
        <v>7871</v>
      </c>
      <c r="C452" s="36" t="s">
        <v>7858</v>
      </c>
      <c r="D452" s="36" t="s">
        <v>7859</v>
      </c>
      <c r="E452" s="36" t="s">
        <v>7872</v>
      </c>
      <c r="F452" s="36" t="s">
        <v>7861</v>
      </c>
      <c r="G452" s="36" t="s">
        <v>7873</v>
      </c>
      <c r="H452" s="36" t="s">
        <v>7874</v>
      </c>
      <c r="I452" s="36" t="s">
        <v>7875</v>
      </c>
      <c r="J452" s="36" t="s">
        <v>7876</v>
      </c>
      <c r="K452" s="36" t="s">
        <v>7877</v>
      </c>
      <c r="L452" s="36" t="s">
        <v>7878</v>
      </c>
      <c r="M452" s="36" t="s">
        <v>7879</v>
      </c>
      <c r="N452" s="36" t="s">
        <v>7880</v>
      </c>
      <c r="O452" s="36" t="s">
        <v>7881</v>
      </c>
      <c r="P452" s="36" t="s">
        <v>7871</v>
      </c>
    </row>
    <row r="453" spans="1:16">
      <c r="A453" s="139">
        <v>452</v>
      </c>
      <c r="B453" s="36" t="s">
        <v>7882</v>
      </c>
      <c r="C453" s="36" t="s">
        <v>7883</v>
      </c>
      <c r="D453" s="36" t="s">
        <v>7884</v>
      </c>
      <c r="E453" s="36" t="s">
        <v>7885</v>
      </c>
      <c r="F453" s="36" t="s">
        <v>7886</v>
      </c>
      <c r="G453" s="36" t="s">
        <v>7887</v>
      </c>
      <c r="H453" s="36" t="s">
        <v>7888</v>
      </c>
      <c r="I453" s="36" t="s">
        <v>7889</v>
      </c>
      <c r="J453" s="36" t="s">
        <v>7890</v>
      </c>
      <c r="K453" s="36" t="s">
        <v>7891</v>
      </c>
      <c r="L453" s="36" t="s">
        <v>7892</v>
      </c>
      <c r="M453" s="36" t="s">
        <v>7893</v>
      </c>
      <c r="N453" s="36" t="s">
        <v>7894</v>
      </c>
      <c r="O453" s="36" t="s">
        <v>7895</v>
      </c>
      <c r="P453" s="36" t="s">
        <v>7882</v>
      </c>
    </row>
    <row r="454" spans="1:16">
      <c r="A454" s="139">
        <v>453</v>
      </c>
      <c r="B454" s="36" t="s">
        <v>7896</v>
      </c>
      <c r="C454" s="36" t="s">
        <v>7897</v>
      </c>
      <c r="D454" s="36" t="s">
        <v>7898</v>
      </c>
      <c r="E454" s="36" t="s">
        <v>7899</v>
      </c>
      <c r="F454" s="36" t="s">
        <v>7900</v>
      </c>
      <c r="G454" s="36" t="s">
        <v>7901</v>
      </c>
      <c r="H454" s="36" t="s">
        <v>7902</v>
      </c>
      <c r="I454" s="36" t="s">
        <v>7903</v>
      </c>
      <c r="J454" s="36" t="s">
        <v>7904</v>
      </c>
      <c r="K454" s="36" t="s">
        <v>7905</v>
      </c>
      <c r="L454" s="36" t="s">
        <v>7906</v>
      </c>
      <c r="M454" s="36" t="s">
        <v>7907</v>
      </c>
      <c r="N454" s="36" t="s">
        <v>7908</v>
      </c>
      <c r="O454" s="36" t="s">
        <v>7909</v>
      </c>
      <c r="P454" s="36" t="s">
        <v>7896</v>
      </c>
    </row>
    <row r="455" spans="1:16">
      <c r="A455" s="139">
        <v>454</v>
      </c>
      <c r="B455" s="36" t="s">
        <v>7910</v>
      </c>
      <c r="C455" s="36" t="s">
        <v>7911</v>
      </c>
      <c r="D455" s="36" t="s">
        <v>7912</v>
      </c>
      <c r="E455" s="36" t="s">
        <v>7913</v>
      </c>
      <c r="F455" s="36" t="s">
        <v>7861</v>
      </c>
      <c r="G455" s="36" t="s">
        <v>7914</v>
      </c>
      <c r="H455" s="36" t="s">
        <v>7915</v>
      </c>
      <c r="I455" s="36" t="s">
        <v>7916</v>
      </c>
      <c r="J455" s="36" t="s">
        <v>7917</v>
      </c>
      <c r="K455" s="36" t="s">
        <v>7918</v>
      </c>
      <c r="L455" s="36" t="s">
        <v>7919</v>
      </c>
      <c r="M455" s="36" t="s">
        <v>7920</v>
      </c>
      <c r="N455" s="36" t="s">
        <v>7920</v>
      </c>
      <c r="O455" s="36" t="s">
        <v>7870</v>
      </c>
      <c r="P455" s="36" t="s">
        <v>7910</v>
      </c>
    </row>
    <row r="456" spans="1:16">
      <c r="A456" s="139">
        <v>455</v>
      </c>
      <c r="B456" s="36" t="s">
        <v>7921</v>
      </c>
      <c r="C456" s="36" t="s">
        <v>7922</v>
      </c>
      <c r="D456" s="36" t="s">
        <v>7923</v>
      </c>
      <c r="E456" s="36" t="s">
        <v>7924</v>
      </c>
      <c r="F456" s="36" t="s">
        <v>7925</v>
      </c>
      <c r="G456" s="36" t="s">
        <v>7926</v>
      </c>
      <c r="H456" s="36" t="s">
        <v>7927</v>
      </c>
      <c r="I456" s="36" t="s">
        <v>7928</v>
      </c>
      <c r="J456" s="36" t="s">
        <v>7929</v>
      </c>
      <c r="K456" s="36" t="s">
        <v>7930</v>
      </c>
      <c r="L456" s="36" t="s">
        <v>7931</v>
      </c>
      <c r="M456" s="36" t="s">
        <v>7932</v>
      </c>
      <c r="N456" s="36" t="s">
        <v>7933</v>
      </c>
      <c r="O456" s="36" t="s">
        <v>7934</v>
      </c>
      <c r="P456" s="36" t="s">
        <v>7921</v>
      </c>
    </row>
    <row r="457" spans="1:16">
      <c r="A457" s="139">
        <v>456</v>
      </c>
      <c r="B457" s="36" t="s">
        <v>7935</v>
      </c>
      <c r="C457" s="36" t="s">
        <v>7936</v>
      </c>
      <c r="D457" s="36" t="s">
        <v>7937</v>
      </c>
      <c r="E457" s="36" t="s">
        <v>7938</v>
      </c>
      <c r="F457" s="36" t="s">
        <v>7939</v>
      </c>
      <c r="G457" s="36" t="s">
        <v>7940</v>
      </c>
      <c r="H457" s="36" t="s">
        <v>7941</v>
      </c>
      <c r="I457" s="36" t="s">
        <v>7942</v>
      </c>
      <c r="J457" s="36" t="s">
        <v>7943</v>
      </c>
      <c r="K457" s="36" t="s">
        <v>7944</v>
      </c>
      <c r="L457" s="36" t="s">
        <v>7945</v>
      </c>
      <c r="M457" s="36" t="s">
        <v>7946</v>
      </c>
      <c r="N457" s="36" t="s">
        <v>7947</v>
      </c>
      <c r="O457" s="36" t="s">
        <v>7948</v>
      </c>
      <c r="P457" s="36" t="s">
        <v>7935</v>
      </c>
    </row>
    <row r="458" spans="1:16">
      <c r="A458" s="139">
        <v>457</v>
      </c>
      <c r="B458" s="36" t="s">
        <v>7949</v>
      </c>
      <c r="C458" s="36" t="s">
        <v>7950</v>
      </c>
      <c r="D458" s="36" t="s">
        <v>7951</v>
      </c>
      <c r="E458" s="36" t="s">
        <v>7952</v>
      </c>
      <c r="F458" s="36" t="s">
        <v>7953</v>
      </c>
      <c r="G458" s="36" t="s">
        <v>7954</v>
      </c>
      <c r="H458" s="36" t="s">
        <v>7955</v>
      </c>
      <c r="I458" s="36" t="s">
        <v>7956</v>
      </c>
      <c r="J458" s="36" t="s">
        <v>7957</v>
      </c>
      <c r="K458" s="36" t="s">
        <v>7958</v>
      </c>
      <c r="L458" s="36" t="s">
        <v>7959</v>
      </c>
      <c r="M458" s="36" t="s">
        <v>7960</v>
      </c>
      <c r="N458" s="36" t="s">
        <v>7961</v>
      </c>
      <c r="O458" s="36" t="s">
        <v>7962</v>
      </c>
      <c r="P458" s="36" t="s">
        <v>7949</v>
      </c>
    </row>
    <row r="459" spans="1:16">
      <c r="A459" s="139">
        <v>458</v>
      </c>
      <c r="B459" s="36" t="s">
        <v>7963</v>
      </c>
      <c r="C459" s="36" t="s">
        <v>7964</v>
      </c>
      <c r="D459" s="36" t="s">
        <v>7965</v>
      </c>
      <c r="E459" s="36" t="s">
        <v>7966</v>
      </c>
      <c r="F459" s="36" t="s">
        <v>7967</v>
      </c>
      <c r="G459" s="36" t="s">
        <v>7968</v>
      </c>
      <c r="H459" s="36" t="s">
        <v>7969</v>
      </c>
      <c r="I459" s="36" t="s">
        <v>7970</v>
      </c>
      <c r="J459" s="36" t="s">
        <v>7971</v>
      </c>
      <c r="K459" s="36" t="s">
        <v>7972</v>
      </c>
      <c r="L459" s="36" t="s">
        <v>7973</v>
      </c>
      <c r="M459" s="36" t="s">
        <v>7974</v>
      </c>
      <c r="N459" s="36" t="s">
        <v>7975</v>
      </c>
      <c r="O459" s="36" t="s">
        <v>7976</v>
      </c>
      <c r="P459" s="36" t="s">
        <v>7963</v>
      </c>
    </row>
    <row r="460" spans="1:16">
      <c r="A460" s="139">
        <v>459</v>
      </c>
      <c r="B460" s="36" t="s">
        <v>7977</v>
      </c>
      <c r="C460" s="36" t="s">
        <v>7978</v>
      </c>
      <c r="D460" s="36" t="s">
        <v>7979</v>
      </c>
      <c r="E460" s="36" t="s">
        <v>7980</v>
      </c>
      <c r="F460" s="36" t="s">
        <v>7981</v>
      </c>
      <c r="G460" s="36" t="s">
        <v>7982</v>
      </c>
      <c r="H460" s="36" t="s">
        <v>7983</v>
      </c>
      <c r="I460" s="36" t="s">
        <v>7984</v>
      </c>
      <c r="J460" s="36" t="s">
        <v>7985</v>
      </c>
      <c r="K460" s="36" t="s">
        <v>7986</v>
      </c>
      <c r="L460" s="36" t="s">
        <v>7987</v>
      </c>
      <c r="M460" s="36" t="s">
        <v>7988</v>
      </c>
      <c r="N460" s="36" t="s">
        <v>7989</v>
      </c>
      <c r="O460" s="36" t="s">
        <v>7990</v>
      </c>
      <c r="P460" s="36" t="s">
        <v>7977</v>
      </c>
    </row>
    <row r="461" spans="1:16">
      <c r="A461" s="139">
        <v>460</v>
      </c>
      <c r="B461" s="36" t="s">
        <v>7991</v>
      </c>
      <c r="C461" s="36" t="s">
        <v>7992</v>
      </c>
      <c r="D461" s="36" t="s">
        <v>7993</v>
      </c>
      <c r="E461" s="36" t="s">
        <v>7994</v>
      </c>
      <c r="F461" s="36" t="s">
        <v>7995</v>
      </c>
      <c r="G461" s="36" t="s">
        <v>7996</v>
      </c>
      <c r="H461" s="36" t="s">
        <v>7997</v>
      </c>
      <c r="I461" s="36" t="s">
        <v>7998</v>
      </c>
      <c r="J461" s="36" t="s">
        <v>7999</v>
      </c>
      <c r="K461" s="36" t="s">
        <v>8000</v>
      </c>
      <c r="L461" s="36" t="s">
        <v>8001</v>
      </c>
      <c r="M461" s="36" t="s">
        <v>8002</v>
      </c>
      <c r="N461" s="36" t="s">
        <v>8002</v>
      </c>
      <c r="O461" s="36" t="s">
        <v>8003</v>
      </c>
      <c r="P461" s="36" t="s">
        <v>7991</v>
      </c>
    </row>
    <row r="462" spans="1:16">
      <c r="A462" s="139">
        <v>461</v>
      </c>
      <c r="B462" s="36" t="s">
        <v>8004</v>
      </c>
      <c r="C462" s="36" t="s">
        <v>8005</v>
      </c>
      <c r="D462" s="36" t="s">
        <v>8006</v>
      </c>
      <c r="E462" s="36" t="s">
        <v>8007</v>
      </c>
      <c r="F462" s="36" t="s">
        <v>8008</v>
      </c>
      <c r="G462" s="36" t="s">
        <v>8009</v>
      </c>
      <c r="H462" s="36" t="s">
        <v>8010</v>
      </c>
      <c r="I462" s="36" t="s">
        <v>8011</v>
      </c>
      <c r="J462" s="36" t="s">
        <v>8012</v>
      </c>
      <c r="K462" s="36" t="s">
        <v>8013</v>
      </c>
      <c r="L462" s="36" t="s">
        <v>8014</v>
      </c>
      <c r="M462" s="36" t="s">
        <v>8015</v>
      </c>
      <c r="N462" s="36" t="s">
        <v>8016</v>
      </c>
      <c r="O462" s="36" t="s">
        <v>8017</v>
      </c>
      <c r="P462" s="36" t="s">
        <v>8004</v>
      </c>
    </row>
    <row r="463" spans="1:16">
      <c r="A463" s="139">
        <v>462</v>
      </c>
      <c r="B463" s="36" t="s">
        <v>8018</v>
      </c>
      <c r="C463" s="36" t="s">
        <v>8019</v>
      </c>
      <c r="D463" s="36" t="s">
        <v>8020</v>
      </c>
      <c r="E463" s="36" t="s">
        <v>8021</v>
      </c>
      <c r="F463" s="36" t="s">
        <v>8022</v>
      </c>
      <c r="G463" s="36" t="s">
        <v>8023</v>
      </c>
      <c r="H463" s="36" t="s">
        <v>8024</v>
      </c>
      <c r="I463" s="36" t="s">
        <v>8025</v>
      </c>
      <c r="J463" s="36" t="s">
        <v>8026</v>
      </c>
      <c r="K463" s="36" t="s">
        <v>8027</v>
      </c>
      <c r="L463" s="36" t="s">
        <v>8028</v>
      </c>
      <c r="M463" s="36" t="s">
        <v>8029</v>
      </c>
      <c r="N463" s="36" t="s">
        <v>8030</v>
      </c>
      <c r="O463" s="36" t="s">
        <v>8031</v>
      </c>
      <c r="P463" s="36" t="s">
        <v>8018</v>
      </c>
    </row>
    <row r="464" spans="1:16">
      <c r="A464" s="139">
        <v>463</v>
      </c>
      <c r="B464" s="36" t="s">
        <v>8032</v>
      </c>
      <c r="C464" s="36" t="s">
        <v>8033</v>
      </c>
      <c r="D464" s="36" t="s">
        <v>8034</v>
      </c>
      <c r="E464" s="36" t="s">
        <v>8035</v>
      </c>
      <c r="F464" s="36" t="s">
        <v>8036</v>
      </c>
      <c r="G464" s="36" t="s">
        <v>8037</v>
      </c>
      <c r="H464" s="36" t="s">
        <v>8038</v>
      </c>
      <c r="I464" s="36" t="s">
        <v>8039</v>
      </c>
      <c r="J464" s="36" t="s">
        <v>8040</v>
      </c>
      <c r="K464" s="36" t="s">
        <v>8041</v>
      </c>
      <c r="L464" s="36" t="s">
        <v>8042</v>
      </c>
      <c r="M464" s="36" t="s">
        <v>8043</v>
      </c>
      <c r="N464" s="36" t="s">
        <v>8044</v>
      </c>
      <c r="O464" s="36" t="s">
        <v>8045</v>
      </c>
      <c r="P464" s="36" t="s">
        <v>8032</v>
      </c>
    </row>
    <row r="465" spans="1:16">
      <c r="A465" s="139">
        <v>464</v>
      </c>
      <c r="B465" s="36" t="s">
        <v>8046</v>
      </c>
      <c r="C465" s="36" t="s">
        <v>8047</v>
      </c>
      <c r="D465" s="36" t="s">
        <v>8048</v>
      </c>
      <c r="E465" s="36" t="s">
        <v>8049</v>
      </c>
      <c r="F465" s="36" t="s">
        <v>8050</v>
      </c>
      <c r="G465" s="36" t="s">
        <v>8051</v>
      </c>
      <c r="H465" s="36" t="s">
        <v>8052</v>
      </c>
      <c r="I465" s="36" t="s">
        <v>8053</v>
      </c>
      <c r="J465" s="36" t="s">
        <v>8054</v>
      </c>
      <c r="K465" s="36" t="s">
        <v>8055</v>
      </c>
      <c r="L465" s="36" t="s">
        <v>8056</v>
      </c>
      <c r="M465" s="36" t="s">
        <v>8057</v>
      </c>
      <c r="N465" s="36" t="s">
        <v>8058</v>
      </c>
      <c r="O465" s="36" t="s">
        <v>8059</v>
      </c>
      <c r="P465" s="36" t="s">
        <v>8046</v>
      </c>
    </row>
    <row r="466" spans="1:16">
      <c r="A466" s="139">
        <v>465</v>
      </c>
      <c r="B466" s="36" t="s">
        <v>8060</v>
      </c>
      <c r="C466" s="36" t="s">
        <v>8061</v>
      </c>
      <c r="D466" s="36" t="s">
        <v>8062</v>
      </c>
      <c r="E466" s="36" t="s">
        <v>8063</v>
      </c>
      <c r="F466" s="36" t="s">
        <v>8064</v>
      </c>
      <c r="G466" s="36" t="s">
        <v>8065</v>
      </c>
      <c r="H466" s="36" t="s">
        <v>8066</v>
      </c>
      <c r="I466" s="36" t="s">
        <v>8067</v>
      </c>
      <c r="J466" s="36" t="s">
        <v>8068</v>
      </c>
      <c r="K466" s="36" t="s">
        <v>8069</v>
      </c>
      <c r="L466" s="36" t="s">
        <v>8070</v>
      </c>
      <c r="M466" s="36" t="s">
        <v>8071</v>
      </c>
      <c r="N466" s="36" t="s">
        <v>8072</v>
      </c>
      <c r="O466" s="36" t="s">
        <v>8073</v>
      </c>
      <c r="P466" s="36" t="s">
        <v>8060</v>
      </c>
    </row>
    <row r="467" spans="1:16">
      <c r="A467" s="139">
        <v>466</v>
      </c>
      <c r="B467" s="36" t="s">
        <v>8074</v>
      </c>
      <c r="C467" s="36" t="s">
        <v>8075</v>
      </c>
      <c r="D467" s="36" t="s">
        <v>8076</v>
      </c>
      <c r="E467" s="36" t="s">
        <v>8077</v>
      </c>
      <c r="F467" s="36" t="s">
        <v>8078</v>
      </c>
      <c r="G467" s="36" t="s">
        <v>8079</v>
      </c>
      <c r="H467" s="36" t="s">
        <v>8080</v>
      </c>
      <c r="I467" s="36" t="s">
        <v>8081</v>
      </c>
      <c r="J467" s="36" t="s">
        <v>8082</v>
      </c>
      <c r="K467" s="36" t="s">
        <v>8083</v>
      </c>
      <c r="L467" s="36" t="s">
        <v>8084</v>
      </c>
      <c r="M467" s="36" t="s">
        <v>8085</v>
      </c>
      <c r="N467" s="36" t="s">
        <v>8086</v>
      </c>
      <c r="O467" s="36" t="s">
        <v>8087</v>
      </c>
      <c r="P467" s="36" t="s">
        <v>8074</v>
      </c>
    </row>
    <row r="468" spans="1:16">
      <c r="A468" s="139">
        <v>467</v>
      </c>
      <c r="B468" s="36" t="s">
        <v>8088</v>
      </c>
      <c r="C468" s="36" t="s">
        <v>8089</v>
      </c>
      <c r="D468" s="36" t="s">
        <v>8090</v>
      </c>
      <c r="E468" s="36" t="s">
        <v>8091</v>
      </c>
      <c r="F468" s="36" t="s">
        <v>8092</v>
      </c>
      <c r="G468" s="36" t="s">
        <v>8093</v>
      </c>
      <c r="H468" s="36" t="s">
        <v>8094</v>
      </c>
      <c r="I468" s="36" t="s">
        <v>8095</v>
      </c>
      <c r="J468" s="36" t="s">
        <v>8096</v>
      </c>
      <c r="K468" s="36" t="s">
        <v>8097</v>
      </c>
      <c r="L468" s="36" t="s">
        <v>8098</v>
      </c>
      <c r="M468" s="36" t="s">
        <v>8099</v>
      </c>
      <c r="N468" s="36" t="s">
        <v>8100</v>
      </c>
      <c r="O468" s="36" t="s">
        <v>8101</v>
      </c>
      <c r="P468" s="36" t="s">
        <v>8088</v>
      </c>
    </row>
    <row r="469" spans="1:16">
      <c r="A469" s="139">
        <v>468</v>
      </c>
      <c r="B469" s="36" t="s">
        <v>8102</v>
      </c>
      <c r="C469" s="36" t="s">
        <v>8103</v>
      </c>
      <c r="D469" s="36" t="s">
        <v>8104</v>
      </c>
      <c r="E469" s="36" t="s">
        <v>8105</v>
      </c>
      <c r="F469" s="36" t="s">
        <v>8106</v>
      </c>
      <c r="G469" s="36" t="s">
        <v>8107</v>
      </c>
      <c r="H469" s="36" t="s">
        <v>8108</v>
      </c>
      <c r="I469" s="36" t="s">
        <v>8109</v>
      </c>
      <c r="J469" s="36" t="s">
        <v>8110</v>
      </c>
      <c r="K469" s="36" t="s">
        <v>8111</v>
      </c>
      <c r="L469" s="36" t="s">
        <v>8112</v>
      </c>
      <c r="M469" s="36" t="s">
        <v>8113</v>
      </c>
      <c r="N469" s="36" t="s">
        <v>8114</v>
      </c>
      <c r="O469" s="36" t="s">
        <v>8115</v>
      </c>
      <c r="P469" s="36" t="s">
        <v>8102</v>
      </c>
    </row>
    <row r="470" spans="1:16">
      <c r="A470" s="139">
        <v>469</v>
      </c>
      <c r="B470" s="36" t="s">
        <v>8116</v>
      </c>
      <c r="C470" s="36" t="s">
        <v>8117</v>
      </c>
      <c r="D470" s="36" t="s">
        <v>8118</v>
      </c>
      <c r="E470" s="36" t="s">
        <v>8119</v>
      </c>
      <c r="F470" s="36" t="s">
        <v>8120</v>
      </c>
      <c r="G470" s="36" t="s">
        <v>8121</v>
      </c>
      <c r="H470" s="36" t="s">
        <v>8122</v>
      </c>
      <c r="I470" s="36" t="s">
        <v>8123</v>
      </c>
      <c r="J470" s="36" t="s">
        <v>8124</v>
      </c>
      <c r="K470" s="36" t="s">
        <v>8125</v>
      </c>
      <c r="L470" s="36" t="s">
        <v>8126</v>
      </c>
      <c r="M470" s="36" t="s">
        <v>8127</v>
      </c>
      <c r="N470" s="36" t="s">
        <v>8128</v>
      </c>
      <c r="O470" s="36" t="s">
        <v>8129</v>
      </c>
      <c r="P470" s="36" t="s">
        <v>8116</v>
      </c>
    </row>
    <row r="471" spans="1:16">
      <c r="A471" s="139">
        <v>470</v>
      </c>
      <c r="B471" s="36" t="s">
        <v>8130</v>
      </c>
      <c r="C471" s="36" t="s">
        <v>8131</v>
      </c>
      <c r="D471" s="36" t="s">
        <v>8132</v>
      </c>
      <c r="E471" s="36" t="s">
        <v>8133</v>
      </c>
      <c r="F471" s="36" t="s">
        <v>8134</v>
      </c>
      <c r="G471" s="36" t="s">
        <v>8135</v>
      </c>
      <c r="H471" s="36" t="s">
        <v>8136</v>
      </c>
      <c r="I471" s="36" t="s">
        <v>8137</v>
      </c>
      <c r="J471" s="36" t="s">
        <v>8138</v>
      </c>
      <c r="K471" s="36" t="s">
        <v>8139</v>
      </c>
      <c r="L471" s="36" t="s">
        <v>8140</v>
      </c>
      <c r="M471" s="36" t="s">
        <v>8141</v>
      </c>
      <c r="N471" s="36" t="s">
        <v>8142</v>
      </c>
      <c r="O471" s="36" t="s">
        <v>8143</v>
      </c>
      <c r="P471" s="36" t="s">
        <v>8130</v>
      </c>
    </row>
    <row r="472" spans="1:16">
      <c r="A472" s="139">
        <v>471</v>
      </c>
      <c r="B472" s="36" t="s">
        <v>8144</v>
      </c>
      <c r="C472" s="36" t="s">
        <v>8145</v>
      </c>
      <c r="D472" s="36" t="s">
        <v>8146</v>
      </c>
      <c r="E472" s="36" t="s">
        <v>8147</v>
      </c>
      <c r="F472" s="36" t="s">
        <v>8148</v>
      </c>
      <c r="G472" s="36" t="s">
        <v>8149</v>
      </c>
      <c r="H472" s="36" t="s">
        <v>8150</v>
      </c>
      <c r="I472" s="36" t="s">
        <v>8151</v>
      </c>
      <c r="J472" s="36" t="s">
        <v>8152</v>
      </c>
      <c r="K472" s="36" t="s">
        <v>8153</v>
      </c>
      <c r="L472" s="36" t="s">
        <v>8154</v>
      </c>
      <c r="M472" s="36" t="s">
        <v>8155</v>
      </c>
      <c r="N472" s="36" t="s">
        <v>8156</v>
      </c>
      <c r="O472" s="36" t="s">
        <v>8157</v>
      </c>
      <c r="P472" s="36" t="s">
        <v>8144</v>
      </c>
    </row>
    <row r="473" spans="1:16">
      <c r="A473" s="139">
        <v>472</v>
      </c>
      <c r="B473" s="36" t="s">
        <v>8158</v>
      </c>
      <c r="C473" s="36" t="s">
        <v>8159</v>
      </c>
      <c r="D473" s="36" t="s">
        <v>8160</v>
      </c>
      <c r="E473" s="36" t="s">
        <v>8161</v>
      </c>
      <c r="F473" s="36" t="s">
        <v>8162</v>
      </c>
      <c r="G473" s="36" t="s">
        <v>8163</v>
      </c>
      <c r="H473" s="36" t="s">
        <v>8164</v>
      </c>
      <c r="I473" s="36" t="s">
        <v>8165</v>
      </c>
      <c r="J473" s="36" t="s">
        <v>8166</v>
      </c>
      <c r="K473" s="36" t="s">
        <v>8167</v>
      </c>
      <c r="L473" s="36" t="s">
        <v>8168</v>
      </c>
      <c r="M473" s="36" t="s">
        <v>8169</v>
      </c>
      <c r="N473" s="36" t="s">
        <v>8170</v>
      </c>
      <c r="O473" s="36" t="s">
        <v>8171</v>
      </c>
      <c r="P473" s="36" t="s">
        <v>8158</v>
      </c>
    </row>
    <row r="474" spans="1:16">
      <c r="A474" s="139">
        <v>473</v>
      </c>
      <c r="B474" s="36" t="s">
        <v>8172</v>
      </c>
      <c r="C474" s="36" t="s">
        <v>8173</v>
      </c>
      <c r="D474" s="36" t="s">
        <v>8174</v>
      </c>
      <c r="E474" s="36" t="s">
        <v>8175</v>
      </c>
      <c r="F474" s="36" t="s">
        <v>8176</v>
      </c>
      <c r="G474" s="36" t="s">
        <v>8177</v>
      </c>
      <c r="H474" s="36" t="s">
        <v>8178</v>
      </c>
      <c r="I474" s="36" t="s">
        <v>8179</v>
      </c>
      <c r="J474" s="36" t="s">
        <v>8180</v>
      </c>
      <c r="K474" s="36" t="s">
        <v>8181</v>
      </c>
      <c r="L474" s="36" t="s">
        <v>8182</v>
      </c>
      <c r="M474" s="36" t="s">
        <v>8183</v>
      </c>
      <c r="N474" s="36" t="s">
        <v>8184</v>
      </c>
      <c r="O474" s="36" t="s">
        <v>8185</v>
      </c>
      <c r="P474" s="36" t="s">
        <v>8172</v>
      </c>
    </row>
    <row r="475" spans="1:16">
      <c r="A475" s="139">
        <v>474</v>
      </c>
      <c r="B475" s="36" t="s">
        <v>8186</v>
      </c>
      <c r="C475" s="36" t="s">
        <v>8187</v>
      </c>
      <c r="D475" s="36" t="s">
        <v>8188</v>
      </c>
      <c r="E475" s="36" t="s">
        <v>8189</v>
      </c>
      <c r="F475" s="36" t="s">
        <v>8190</v>
      </c>
      <c r="G475" s="36" t="s">
        <v>8191</v>
      </c>
      <c r="H475" s="36" t="s">
        <v>8192</v>
      </c>
      <c r="I475" s="36" t="s">
        <v>8193</v>
      </c>
      <c r="J475" s="36" t="s">
        <v>8194</v>
      </c>
      <c r="K475" s="36" t="s">
        <v>8195</v>
      </c>
      <c r="L475" s="36" t="s">
        <v>8196</v>
      </c>
      <c r="M475" s="36" t="s">
        <v>8197</v>
      </c>
      <c r="N475" s="36" t="s">
        <v>8198</v>
      </c>
      <c r="O475" s="36" t="s">
        <v>8199</v>
      </c>
      <c r="P475" s="36" t="s">
        <v>8186</v>
      </c>
    </row>
    <row r="476" spans="1:16">
      <c r="A476" s="139">
        <v>475</v>
      </c>
      <c r="B476" s="36" t="s">
        <v>8200</v>
      </c>
      <c r="C476" s="36" t="s">
        <v>8201</v>
      </c>
      <c r="D476" s="36" t="s">
        <v>8202</v>
      </c>
      <c r="E476" s="36" t="s">
        <v>8203</v>
      </c>
      <c r="F476" s="36" t="s">
        <v>8204</v>
      </c>
      <c r="G476" s="36" t="s">
        <v>8205</v>
      </c>
      <c r="H476" s="36" t="s">
        <v>8206</v>
      </c>
      <c r="I476" s="36" t="s">
        <v>8207</v>
      </c>
      <c r="J476" s="36" t="s">
        <v>8208</v>
      </c>
      <c r="K476" s="36" t="s">
        <v>8209</v>
      </c>
      <c r="L476" s="36" t="s">
        <v>8210</v>
      </c>
      <c r="M476" s="36" t="s">
        <v>8211</v>
      </c>
      <c r="N476" s="36" t="s">
        <v>8212</v>
      </c>
      <c r="O476" s="36" t="s">
        <v>8213</v>
      </c>
      <c r="P476" s="36" t="s">
        <v>8200</v>
      </c>
    </row>
    <row r="477" spans="1:16">
      <c r="A477" s="139">
        <v>476</v>
      </c>
      <c r="B477" s="36" t="s">
        <v>8214</v>
      </c>
      <c r="C477" s="36" t="s">
        <v>8215</v>
      </c>
      <c r="D477" s="36" t="s">
        <v>8216</v>
      </c>
      <c r="E477" s="36" t="s">
        <v>8217</v>
      </c>
      <c r="F477" s="36" t="s">
        <v>8218</v>
      </c>
      <c r="G477" s="36" t="s">
        <v>8219</v>
      </c>
      <c r="H477" s="36" t="s">
        <v>8220</v>
      </c>
      <c r="I477" s="36" t="s">
        <v>8221</v>
      </c>
      <c r="J477" s="36" t="s">
        <v>8222</v>
      </c>
      <c r="K477" s="36" t="s">
        <v>8223</v>
      </c>
      <c r="L477" s="36" t="s">
        <v>8224</v>
      </c>
      <c r="M477" s="36" t="s">
        <v>8225</v>
      </c>
      <c r="N477" s="36" t="s">
        <v>8226</v>
      </c>
      <c r="O477" s="36" t="s">
        <v>8227</v>
      </c>
      <c r="P477" s="36" t="s">
        <v>8214</v>
      </c>
    </row>
    <row r="478" spans="1:16">
      <c r="A478" s="139">
        <v>477</v>
      </c>
      <c r="B478" s="36" t="s">
        <v>8228</v>
      </c>
      <c r="C478" s="36" t="s">
        <v>8229</v>
      </c>
      <c r="D478" s="36" t="s">
        <v>8230</v>
      </c>
      <c r="E478" s="36" t="s">
        <v>8231</v>
      </c>
      <c r="F478" s="36" t="s">
        <v>8232</v>
      </c>
      <c r="G478" s="36" t="s">
        <v>8233</v>
      </c>
      <c r="H478" s="36" t="s">
        <v>8234</v>
      </c>
      <c r="I478" s="36" t="s">
        <v>8235</v>
      </c>
      <c r="J478" s="36" t="s">
        <v>8236</v>
      </c>
      <c r="K478" s="36" t="s">
        <v>8237</v>
      </c>
      <c r="L478" s="36" t="s">
        <v>8238</v>
      </c>
      <c r="M478" s="36" t="s">
        <v>8239</v>
      </c>
      <c r="N478" s="36" t="s">
        <v>8240</v>
      </c>
      <c r="O478" s="36" t="s">
        <v>8241</v>
      </c>
      <c r="P478" s="36" t="s">
        <v>8228</v>
      </c>
    </row>
    <row r="479" spans="1:16">
      <c r="A479" s="139">
        <v>478</v>
      </c>
      <c r="B479" s="36" t="s">
        <v>8242</v>
      </c>
      <c r="C479" s="36" t="s">
        <v>8243</v>
      </c>
      <c r="D479" s="36" t="s">
        <v>8244</v>
      </c>
      <c r="E479" s="36" t="s">
        <v>8245</v>
      </c>
      <c r="F479" s="36" t="s">
        <v>8246</v>
      </c>
      <c r="G479" s="36" t="s">
        <v>8247</v>
      </c>
      <c r="H479" s="36" t="s">
        <v>8248</v>
      </c>
      <c r="I479" s="36" t="s">
        <v>8249</v>
      </c>
      <c r="J479" s="36" t="s">
        <v>8250</v>
      </c>
      <c r="K479" s="36" t="s">
        <v>8251</v>
      </c>
      <c r="L479" s="36" t="s">
        <v>8252</v>
      </c>
      <c r="M479" s="36" t="s">
        <v>8253</v>
      </c>
      <c r="N479" s="36" t="s">
        <v>8254</v>
      </c>
      <c r="O479" s="36" t="s">
        <v>8255</v>
      </c>
      <c r="P479" s="36" t="s">
        <v>8242</v>
      </c>
    </row>
    <row r="480" spans="1:16">
      <c r="A480" s="139">
        <v>479</v>
      </c>
      <c r="B480" s="36" t="s">
        <v>8256</v>
      </c>
      <c r="C480" s="36" t="s">
        <v>8257</v>
      </c>
      <c r="D480" s="36" t="s">
        <v>8258</v>
      </c>
      <c r="E480" s="36" t="s">
        <v>8259</v>
      </c>
      <c r="F480" s="36" t="s">
        <v>8260</v>
      </c>
      <c r="G480" s="36" t="s">
        <v>8261</v>
      </c>
      <c r="H480" s="36" t="s">
        <v>8262</v>
      </c>
      <c r="I480" s="36" t="s">
        <v>8263</v>
      </c>
      <c r="J480" s="36" t="s">
        <v>8264</v>
      </c>
      <c r="K480" s="36" t="s">
        <v>8265</v>
      </c>
      <c r="L480" s="36" t="s">
        <v>8266</v>
      </c>
      <c r="M480" s="36" t="s">
        <v>8267</v>
      </c>
      <c r="N480" s="36" t="s">
        <v>8268</v>
      </c>
      <c r="O480" s="36" t="s">
        <v>8269</v>
      </c>
      <c r="P480" s="36" t="s">
        <v>8256</v>
      </c>
    </row>
    <row r="481" spans="1:16">
      <c r="A481" s="139">
        <v>480</v>
      </c>
      <c r="B481" s="36" t="s">
        <v>8270</v>
      </c>
      <c r="C481" s="36" t="s">
        <v>8271</v>
      </c>
      <c r="D481" s="36" t="s">
        <v>8272</v>
      </c>
      <c r="E481" s="36" t="s">
        <v>8273</v>
      </c>
      <c r="F481" s="36" t="s">
        <v>8274</v>
      </c>
      <c r="G481" s="36" t="s">
        <v>8275</v>
      </c>
      <c r="H481" s="36" t="s">
        <v>8276</v>
      </c>
      <c r="I481" s="36" t="s">
        <v>8277</v>
      </c>
      <c r="J481" s="36" t="s">
        <v>8278</v>
      </c>
      <c r="K481" s="36" t="s">
        <v>8279</v>
      </c>
      <c r="L481" s="36" t="s">
        <v>8280</v>
      </c>
      <c r="M481" s="36" t="s">
        <v>8281</v>
      </c>
      <c r="N481" s="36" t="s">
        <v>8282</v>
      </c>
      <c r="O481" s="36" t="s">
        <v>8283</v>
      </c>
      <c r="P481" s="36" t="s">
        <v>8270</v>
      </c>
    </row>
    <row r="482" spans="1:16">
      <c r="A482" s="139">
        <v>481</v>
      </c>
      <c r="B482" s="36" t="s">
        <v>8284</v>
      </c>
      <c r="C482" s="36" t="s">
        <v>8285</v>
      </c>
      <c r="D482" s="36" t="s">
        <v>8286</v>
      </c>
      <c r="E482" s="36" t="s">
        <v>8284</v>
      </c>
      <c r="F482" s="36" t="s">
        <v>8284</v>
      </c>
      <c r="G482" s="36" t="s">
        <v>8287</v>
      </c>
      <c r="H482" s="36" t="s">
        <v>8288</v>
      </c>
      <c r="I482" s="36" t="s">
        <v>8289</v>
      </c>
      <c r="J482" s="36" t="s">
        <v>8289</v>
      </c>
      <c r="K482" s="36" t="s">
        <v>8290</v>
      </c>
      <c r="L482" s="36" t="s">
        <v>8291</v>
      </c>
      <c r="M482" s="36" t="s">
        <v>8289</v>
      </c>
      <c r="N482" s="36" t="s">
        <v>8292</v>
      </c>
      <c r="O482" s="36" t="s">
        <v>8293</v>
      </c>
      <c r="P482" s="36" t="s">
        <v>8284</v>
      </c>
    </row>
    <row r="483" spans="1:16">
      <c r="A483" s="139">
        <v>482</v>
      </c>
      <c r="B483" s="36" t="s">
        <v>8294</v>
      </c>
      <c r="C483" s="36" t="s">
        <v>8295</v>
      </c>
      <c r="D483" s="36" t="s">
        <v>8296</v>
      </c>
      <c r="E483" s="36" t="s">
        <v>8297</v>
      </c>
      <c r="F483" s="36" t="s">
        <v>8298</v>
      </c>
      <c r="G483" s="36" t="s">
        <v>8299</v>
      </c>
      <c r="H483" s="36" t="s">
        <v>8300</v>
      </c>
      <c r="I483" s="36" t="s">
        <v>8301</v>
      </c>
      <c r="J483" s="36" t="s">
        <v>8302</v>
      </c>
      <c r="K483" s="36" t="s">
        <v>8303</v>
      </c>
      <c r="L483" s="36" t="s">
        <v>8304</v>
      </c>
      <c r="M483" s="36" t="s">
        <v>8305</v>
      </c>
      <c r="N483" s="36" t="s">
        <v>8306</v>
      </c>
      <c r="O483" s="36" t="s">
        <v>8307</v>
      </c>
      <c r="P483" s="36" t="s">
        <v>8294</v>
      </c>
    </row>
    <row r="484" spans="1:16">
      <c r="A484" s="139">
        <v>483</v>
      </c>
      <c r="B484" s="36" t="s">
        <v>8308</v>
      </c>
      <c r="C484" s="36" t="s">
        <v>8309</v>
      </c>
      <c r="D484" s="36" t="s">
        <v>8310</v>
      </c>
      <c r="E484" s="36" t="s">
        <v>8311</v>
      </c>
      <c r="F484" s="36" t="s">
        <v>8312</v>
      </c>
      <c r="G484" s="36" t="s">
        <v>8313</v>
      </c>
      <c r="H484" s="36" t="s">
        <v>8314</v>
      </c>
      <c r="I484" s="36" t="s">
        <v>8315</v>
      </c>
      <c r="J484" s="36" t="s">
        <v>8316</v>
      </c>
      <c r="K484" s="36" t="s">
        <v>8317</v>
      </c>
      <c r="L484" s="36" t="s">
        <v>8318</v>
      </c>
      <c r="M484" s="36" t="s">
        <v>8319</v>
      </c>
      <c r="N484" s="36" t="s">
        <v>8320</v>
      </c>
      <c r="O484" s="36" t="s">
        <v>8321</v>
      </c>
      <c r="P484" s="36" t="s">
        <v>8308</v>
      </c>
    </row>
    <row r="485" spans="1:16">
      <c r="A485" s="139">
        <v>484</v>
      </c>
      <c r="B485" s="36" t="s">
        <v>8322</v>
      </c>
      <c r="C485" s="36" t="s">
        <v>8323</v>
      </c>
      <c r="D485" s="36" t="s">
        <v>8324</v>
      </c>
      <c r="E485" s="36" t="s">
        <v>8325</v>
      </c>
      <c r="F485" s="36" t="s">
        <v>8326</v>
      </c>
      <c r="G485" s="36" t="s">
        <v>8327</v>
      </c>
      <c r="H485" s="36" t="s">
        <v>8328</v>
      </c>
      <c r="I485" s="36" t="s">
        <v>8329</v>
      </c>
      <c r="J485" s="36" t="s">
        <v>8330</v>
      </c>
      <c r="K485" s="36" t="s">
        <v>8331</v>
      </c>
      <c r="L485" s="36" t="s">
        <v>8332</v>
      </c>
      <c r="M485" s="36" t="s">
        <v>8333</v>
      </c>
      <c r="N485" s="36" t="s">
        <v>8334</v>
      </c>
      <c r="O485" s="36" t="s">
        <v>8335</v>
      </c>
      <c r="P485" s="36" t="s">
        <v>8322</v>
      </c>
    </row>
    <row r="486" spans="1:16" ht="16.2">
      <c r="A486" s="139">
        <v>485</v>
      </c>
      <c r="B486" s="36" t="s">
        <v>8336</v>
      </c>
      <c r="C486" s="36" t="s">
        <v>8337</v>
      </c>
      <c r="D486" s="36" t="s">
        <v>8338</v>
      </c>
      <c r="E486" s="36" t="s">
        <v>8339</v>
      </c>
      <c r="F486" s="36" t="s">
        <v>8340</v>
      </c>
      <c r="G486" s="36" t="s">
        <v>8341</v>
      </c>
      <c r="H486" s="36" t="s">
        <v>8342</v>
      </c>
      <c r="I486" s="36" t="s">
        <v>8343</v>
      </c>
      <c r="J486" s="36" t="s">
        <v>8344</v>
      </c>
      <c r="K486" s="36" t="s">
        <v>8345</v>
      </c>
      <c r="L486" s="36" t="s">
        <v>8346</v>
      </c>
      <c r="M486" s="36" t="s">
        <v>8347</v>
      </c>
      <c r="N486" s="36" t="s">
        <v>8348</v>
      </c>
      <c r="O486" s="36" t="s">
        <v>8349</v>
      </c>
      <c r="P486" s="36" t="s">
        <v>8336</v>
      </c>
    </row>
    <row r="487" spans="1:16">
      <c r="A487" s="139">
        <v>486</v>
      </c>
      <c r="B487" s="36" t="s">
        <v>8350</v>
      </c>
      <c r="C487" s="36" t="s">
        <v>8351</v>
      </c>
      <c r="D487" s="36" t="s">
        <v>8352</v>
      </c>
      <c r="E487" s="36" t="s">
        <v>8353</v>
      </c>
      <c r="F487" s="36" t="s">
        <v>8354</v>
      </c>
      <c r="G487" s="36" t="s">
        <v>8355</v>
      </c>
      <c r="H487" s="36" t="s">
        <v>8356</v>
      </c>
      <c r="I487" s="36" t="s">
        <v>8354</v>
      </c>
      <c r="J487" s="36" t="s">
        <v>8357</v>
      </c>
      <c r="K487" s="36" t="s">
        <v>8358</v>
      </c>
      <c r="L487" s="36" t="s">
        <v>8359</v>
      </c>
      <c r="M487" s="36" t="s">
        <v>8360</v>
      </c>
      <c r="N487" s="36" t="s">
        <v>8361</v>
      </c>
      <c r="O487" s="36" t="s">
        <v>8362</v>
      </c>
      <c r="P487" s="36" t="s">
        <v>8363</v>
      </c>
    </row>
    <row r="488" spans="1:16">
      <c r="A488" s="139">
        <v>487</v>
      </c>
      <c r="B488" s="36" t="s">
        <v>8364</v>
      </c>
      <c r="C488" s="36" t="s">
        <v>8365</v>
      </c>
      <c r="D488" s="36" t="s">
        <v>8366</v>
      </c>
      <c r="E488" s="36" t="s">
        <v>8367</v>
      </c>
      <c r="F488" s="36" t="s">
        <v>8368</v>
      </c>
      <c r="G488" s="36" t="s">
        <v>8369</v>
      </c>
      <c r="H488" s="36" t="s">
        <v>8370</v>
      </c>
      <c r="I488" s="36" t="s">
        <v>8371</v>
      </c>
      <c r="J488" s="36" t="s">
        <v>8372</v>
      </c>
      <c r="K488" s="36" t="s">
        <v>8373</v>
      </c>
      <c r="L488" s="36" t="s">
        <v>8374</v>
      </c>
      <c r="M488" s="36" t="s">
        <v>8375</v>
      </c>
      <c r="N488" s="36" t="s">
        <v>8376</v>
      </c>
      <c r="O488" s="36" t="s">
        <v>8377</v>
      </c>
      <c r="P488" s="36" t="s">
        <v>8364</v>
      </c>
    </row>
    <row r="489" spans="1:16">
      <c r="A489" s="139">
        <v>488</v>
      </c>
      <c r="B489" s="36" t="s">
        <v>8378</v>
      </c>
      <c r="C489" s="36" t="s">
        <v>8379</v>
      </c>
      <c r="D489" s="36" t="s">
        <v>8380</v>
      </c>
      <c r="E489" s="36" t="s">
        <v>8381</v>
      </c>
      <c r="F489" s="36" t="s">
        <v>8382</v>
      </c>
      <c r="G489" s="36" t="s">
        <v>8383</v>
      </c>
      <c r="H489" s="36" t="s">
        <v>8384</v>
      </c>
      <c r="I489" s="36" t="s">
        <v>8385</v>
      </c>
      <c r="J489" s="36" t="s">
        <v>8386</v>
      </c>
      <c r="K489" s="36" t="s">
        <v>8387</v>
      </c>
      <c r="L489" s="36" t="s">
        <v>8388</v>
      </c>
      <c r="M489" s="36" t="s">
        <v>8389</v>
      </c>
      <c r="N489" s="36" t="s">
        <v>8390</v>
      </c>
      <c r="O489" s="36" t="s">
        <v>8391</v>
      </c>
      <c r="P489" s="36" t="s">
        <v>8378</v>
      </c>
    </row>
    <row r="490" spans="1:16">
      <c r="A490" s="139">
        <v>489</v>
      </c>
      <c r="B490" s="36" t="s">
        <v>8392</v>
      </c>
      <c r="C490" s="36" t="s">
        <v>8393</v>
      </c>
      <c r="D490" s="36" t="s">
        <v>8394</v>
      </c>
      <c r="E490" s="36" t="s">
        <v>8395</v>
      </c>
      <c r="F490" s="36" t="s">
        <v>8396</v>
      </c>
      <c r="G490" s="36" t="s">
        <v>8397</v>
      </c>
      <c r="H490" s="36" t="s">
        <v>8398</v>
      </c>
      <c r="I490" s="36" t="s">
        <v>8399</v>
      </c>
      <c r="J490" s="36" t="s">
        <v>8400</v>
      </c>
      <c r="K490" s="36" t="s">
        <v>8401</v>
      </c>
      <c r="L490" s="36" t="s">
        <v>8402</v>
      </c>
      <c r="M490" s="36" t="s">
        <v>8403</v>
      </c>
      <c r="N490" s="36" t="s">
        <v>8404</v>
      </c>
      <c r="O490" s="36" t="s">
        <v>8405</v>
      </c>
      <c r="P490" s="36" t="s">
        <v>8392</v>
      </c>
    </row>
    <row r="491" spans="1:16">
      <c r="A491" s="139">
        <v>490</v>
      </c>
      <c r="B491" s="36" t="s">
        <v>8406</v>
      </c>
      <c r="C491" s="36" t="s">
        <v>8407</v>
      </c>
      <c r="D491" s="36" t="s">
        <v>8408</v>
      </c>
      <c r="E491" s="36" t="s">
        <v>8409</v>
      </c>
      <c r="F491" s="36" t="s">
        <v>8410</v>
      </c>
      <c r="G491" s="36" t="s">
        <v>8411</v>
      </c>
      <c r="H491" s="36" t="s">
        <v>8412</v>
      </c>
      <c r="I491" s="36" t="s">
        <v>8413</v>
      </c>
      <c r="J491" s="36" t="s">
        <v>8414</v>
      </c>
      <c r="K491" s="36" t="s">
        <v>8415</v>
      </c>
      <c r="L491" s="36" t="s">
        <v>8416</v>
      </c>
      <c r="M491" s="36" t="s">
        <v>8417</v>
      </c>
      <c r="N491" s="36" t="s">
        <v>8418</v>
      </c>
      <c r="O491" s="36" t="s">
        <v>8419</v>
      </c>
      <c r="P491" s="36" t="s">
        <v>8406</v>
      </c>
    </row>
    <row r="492" spans="1:16">
      <c r="A492" s="139">
        <v>491</v>
      </c>
      <c r="B492" s="36" t="s">
        <v>8420</v>
      </c>
      <c r="C492" s="36" t="s">
        <v>8421</v>
      </c>
      <c r="D492" s="36" t="s">
        <v>8422</v>
      </c>
      <c r="E492" s="36" t="s">
        <v>8423</v>
      </c>
      <c r="F492" s="36" t="s">
        <v>8424</v>
      </c>
      <c r="G492" s="36" t="s">
        <v>8425</v>
      </c>
      <c r="H492" s="36" t="s">
        <v>8426</v>
      </c>
      <c r="I492" s="36" t="s">
        <v>8427</v>
      </c>
      <c r="J492" s="36" t="s">
        <v>8428</v>
      </c>
      <c r="K492" s="36" t="s">
        <v>8429</v>
      </c>
      <c r="L492" s="36" t="s">
        <v>8430</v>
      </c>
      <c r="M492" s="36" t="s">
        <v>8431</v>
      </c>
      <c r="N492" s="36" t="s">
        <v>8432</v>
      </c>
      <c r="O492" s="36" t="s">
        <v>8433</v>
      </c>
      <c r="P492" s="36" t="s">
        <v>8420</v>
      </c>
    </row>
    <row r="493" spans="1:16">
      <c r="A493" s="139">
        <v>492</v>
      </c>
      <c r="B493" s="36" t="s">
        <v>8434</v>
      </c>
      <c r="C493" s="36" t="s">
        <v>8435</v>
      </c>
      <c r="D493" s="36" t="s">
        <v>8436</v>
      </c>
      <c r="E493" s="36" t="s">
        <v>8437</v>
      </c>
      <c r="F493" s="36" t="s">
        <v>8438</v>
      </c>
      <c r="G493" s="36" t="s">
        <v>8439</v>
      </c>
      <c r="H493" s="36" t="s">
        <v>8440</v>
      </c>
      <c r="I493" s="36" t="s">
        <v>8441</v>
      </c>
      <c r="J493" s="36" t="s">
        <v>8442</v>
      </c>
      <c r="K493" s="36" t="s">
        <v>8443</v>
      </c>
      <c r="L493" s="36" t="s">
        <v>8444</v>
      </c>
      <c r="M493" s="36" t="s">
        <v>8445</v>
      </c>
      <c r="N493" s="36" t="s">
        <v>8446</v>
      </c>
      <c r="O493" s="36" t="s">
        <v>8447</v>
      </c>
      <c r="P493" s="36" t="s">
        <v>8434</v>
      </c>
    </row>
    <row r="494" spans="1:16">
      <c r="A494" s="139">
        <v>493</v>
      </c>
      <c r="B494" s="36" t="s">
        <v>8448</v>
      </c>
      <c r="C494" s="36" t="s">
        <v>8449</v>
      </c>
      <c r="D494" s="36" t="s">
        <v>8450</v>
      </c>
      <c r="E494" s="36" t="s">
        <v>8451</v>
      </c>
      <c r="F494" s="36" t="s">
        <v>8452</v>
      </c>
      <c r="G494" s="36" t="s">
        <v>8453</v>
      </c>
      <c r="H494" s="36" t="s">
        <v>8454</v>
      </c>
      <c r="I494" s="36" t="s">
        <v>8455</v>
      </c>
      <c r="J494" s="36" t="s">
        <v>8456</v>
      </c>
      <c r="K494" s="36" t="s">
        <v>8457</v>
      </c>
      <c r="L494" s="36" t="s">
        <v>8458</v>
      </c>
      <c r="M494" s="36" t="s">
        <v>8459</v>
      </c>
      <c r="N494" s="36" t="s">
        <v>8460</v>
      </c>
      <c r="O494" s="36" t="s">
        <v>8461</v>
      </c>
      <c r="P494" s="36" t="s">
        <v>8448</v>
      </c>
    </row>
    <row r="495" spans="1:16">
      <c r="A495" s="139">
        <v>494</v>
      </c>
      <c r="B495" s="36" t="s">
        <v>8462</v>
      </c>
      <c r="C495" s="36" t="s">
        <v>8463</v>
      </c>
      <c r="D495" s="36" t="s">
        <v>8464</v>
      </c>
      <c r="E495" s="36" t="s">
        <v>8465</v>
      </c>
      <c r="F495" s="36" t="s">
        <v>8466</v>
      </c>
      <c r="G495" s="36" t="s">
        <v>8467</v>
      </c>
      <c r="H495" s="36" t="s">
        <v>8468</v>
      </c>
      <c r="I495" s="36" t="s">
        <v>8469</v>
      </c>
      <c r="J495" s="36" t="s">
        <v>8470</v>
      </c>
      <c r="K495" s="36" t="s">
        <v>8471</v>
      </c>
      <c r="L495" s="36" t="s">
        <v>8472</v>
      </c>
      <c r="M495" s="36" t="s">
        <v>8473</v>
      </c>
      <c r="N495" s="36" t="s">
        <v>8474</v>
      </c>
      <c r="O495" s="36" t="s">
        <v>8475</v>
      </c>
      <c r="P495" s="36" t="s">
        <v>8462</v>
      </c>
    </row>
    <row r="496" spans="1:16">
      <c r="A496" s="139">
        <v>495</v>
      </c>
      <c r="B496" s="36" t="s">
        <v>8476</v>
      </c>
      <c r="C496" s="36" t="s">
        <v>8477</v>
      </c>
      <c r="D496" s="36" t="s">
        <v>8478</v>
      </c>
      <c r="E496" s="36" t="s">
        <v>8479</v>
      </c>
      <c r="F496" s="36" t="s">
        <v>8480</v>
      </c>
      <c r="G496" s="36" t="s">
        <v>8481</v>
      </c>
      <c r="H496" s="36" t="s">
        <v>8482</v>
      </c>
      <c r="I496" s="36" t="s">
        <v>8483</v>
      </c>
      <c r="J496" s="36" t="s">
        <v>8484</v>
      </c>
      <c r="K496" s="36" t="s">
        <v>8485</v>
      </c>
      <c r="L496" s="36" t="s">
        <v>8486</v>
      </c>
      <c r="M496" s="36" t="s">
        <v>8487</v>
      </c>
      <c r="N496" s="36" t="s">
        <v>8488</v>
      </c>
      <c r="O496" s="36" t="s">
        <v>8489</v>
      </c>
      <c r="P496" s="36" t="s">
        <v>8476</v>
      </c>
    </row>
    <row r="497" spans="1:16">
      <c r="A497" s="139">
        <v>496</v>
      </c>
      <c r="B497" s="36" t="s">
        <v>8490</v>
      </c>
      <c r="C497" s="36" t="s">
        <v>8491</v>
      </c>
      <c r="D497" s="36" t="s">
        <v>8492</v>
      </c>
      <c r="E497" s="36" t="s">
        <v>8493</v>
      </c>
      <c r="F497" s="36" t="s">
        <v>8494</v>
      </c>
      <c r="G497" s="36" t="s">
        <v>5683</v>
      </c>
      <c r="H497" s="36" t="s">
        <v>8495</v>
      </c>
      <c r="I497" s="36" t="s">
        <v>8496</v>
      </c>
      <c r="J497" s="36" t="s">
        <v>8490</v>
      </c>
      <c r="K497" s="36" t="s">
        <v>8497</v>
      </c>
      <c r="L497" s="36" t="s">
        <v>8490</v>
      </c>
      <c r="M497" s="36" t="s">
        <v>8490</v>
      </c>
      <c r="N497" s="36" t="s">
        <v>8490</v>
      </c>
      <c r="O497" s="36" t="s">
        <v>8497</v>
      </c>
      <c r="P497" s="36" t="s">
        <v>8490</v>
      </c>
    </row>
    <row r="498" spans="1:16">
      <c r="A498" s="139">
        <v>497</v>
      </c>
      <c r="B498" s="36" t="s">
        <v>8498</v>
      </c>
      <c r="C498" s="36" t="s">
        <v>8491</v>
      </c>
      <c r="D498" s="36" t="s">
        <v>8492</v>
      </c>
      <c r="E498" s="36" t="s">
        <v>8499</v>
      </c>
      <c r="F498" s="36" t="s">
        <v>8500</v>
      </c>
      <c r="G498" s="36" t="s">
        <v>8501</v>
      </c>
      <c r="H498" s="36" t="s">
        <v>8502</v>
      </c>
      <c r="I498" s="36" t="s">
        <v>8503</v>
      </c>
      <c r="J498" s="36" t="s">
        <v>8498</v>
      </c>
      <c r="K498" s="36" t="s">
        <v>8504</v>
      </c>
      <c r="L498" s="36" t="s">
        <v>8498</v>
      </c>
      <c r="M498" s="36" t="s">
        <v>8498</v>
      </c>
      <c r="N498" s="36" t="s">
        <v>8505</v>
      </c>
      <c r="O498" s="36" t="s">
        <v>8506</v>
      </c>
      <c r="P498" s="36" t="s">
        <v>8498</v>
      </c>
    </row>
    <row r="499" spans="1:16">
      <c r="A499" s="139">
        <v>498</v>
      </c>
      <c r="B499" s="36" t="s">
        <v>8507</v>
      </c>
      <c r="C499" s="36" t="s">
        <v>8508</v>
      </c>
      <c r="D499" s="36" t="s">
        <v>8509</v>
      </c>
      <c r="E499" s="36" t="s">
        <v>8510</v>
      </c>
      <c r="F499" s="36" t="s">
        <v>8511</v>
      </c>
      <c r="G499" s="36" t="s">
        <v>8512</v>
      </c>
      <c r="H499" s="36" t="s">
        <v>8513</v>
      </c>
      <c r="I499" s="36" t="s">
        <v>8514</v>
      </c>
      <c r="J499" s="36" t="s">
        <v>8507</v>
      </c>
      <c r="K499" s="36" t="s">
        <v>8515</v>
      </c>
      <c r="L499" s="36" t="s">
        <v>8516</v>
      </c>
      <c r="M499" s="36" t="s">
        <v>8507</v>
      </c>
      <c r="N499" s="36" t="s">
        <v>8507</v>
      </c>
      <c r="O499" s="36" t="s">
        <v>8515</v>
      </c>
      <c r="P499" s="36" t="s">
        <v>8507</v>
      </c>
    </row>
    <row r="500" spans="1:16">
      <c r="A500" s="139">
        <v>499</v>
      </c>
      <c r="B500" s="36" t="s">
        <v>8517</v>
      </c>
      <c r="C500" s="36" t="s">
        <v>8518</v>
      </c>
      <c r="D500" s="36" t="s">
        <v>8519</v>
      </c>
      <c r="E500" s="36" t="s">
        <v>8520</v>
      </c>
      <c r="F500" s="36" t="s">
        <v>8521</v>
      </c>
      <c r="G500" s="36" t="s">
        <v>8522</v>
      </c>
      <c r="H500" s="36" t="s">
        <v>8523</v>
      </c>
      <c r="I500" s="36" t="s">
        <v>8524</v>
      </c>
      <c r="J500" s="36" t="s">
        <v>8525</v>
      </c>
      <c r="K500" s="36" t="s">
        <v>8526</v>
      </c>
      <c r="L500" s="36" t="s">
        <v>8527</v>
      </c>
      <c r="M500" s="36" t="s">
        <v>8528</v>
      </c>
      <c r="N500" s="36" t="s">
        <v>8529</v>
      </c>
      <c r="O500" s="36" t="s">
        <v>8530</v>
      </c>
      <c r="P500" s="36" t="s">
        <v>8517</v>
      </c>
    </row>
    <row r="501" spans="1:16">
      <c r="A501" s="139">
        <v>500</v>
      </c>
      <c r="B501" s="36" t="s">
        <v>8517</v>
      </c>
      <c r="C501" s="36" t="s">
        <v>8518</v>
      </c>
      <c r="D501" s="36" t="s">
        <v>8531</v>
      </c>
      <c r="E501" s="36" t="s">
        <v>8520</v>
      </c>
      <c r="F501" s="36" t="s">
        <v>8521</v>
      </c>
      <c r="G501" s="36" t="s">
        <v>8532</v>
      </c>
      <c r="H501" s="36" t="s">
        <v>8533</v>
      </c>
      <c r="I501" s="36" t="s">
        <v>8534</v>
      </c>
      <c r="J501" s="36" t="s">
        <v>8535</v>
      </c>
      <c r="K501" s="36" t="s">
        <v>8536</v>
      </c>
      <c r="L501" s="36" t="s">
        <v>8537</v>
      </c>
      <c r="M501" s="36" t="s">
        <v>8538</v>
      </c>
      <c r="N501" s="36" t="s">
        <v>8539</v>
      </c>
      <c r="O501" s="36" t="s">
        <v>8540</v>
      </c>
      <c r="P501" s="36" t="s">
        <v>8517</v>
      </c>
    </row>
    <row r="502" spans="1:16">
      <c r="A502" s="139">
        <v>501</v>
      </c>
      <c r="B502" s="36" t="s">
        <v>8541</v>
      </c>
      <c r="C502" s="36" t="s">
        <v>8542</v>
      </c>
      <c r="D502" s="36" t="s">
        <v>8543</v>
      </c>
      <c r="E502" s="36" t="s">
        <v>8544</v>
      </c>
      <c r="F502" s="36" t="s">
        <v>8545</v>
      </c>
      <c r="G502" s="36" t="s">
        <v>8546</v>
      </c>
      <c r="H502" s="36" t="s">
        <v>8547</v>
      </c>
      <c r="I502" s="36" t="s">
        <v>8548</v>
      </c>
      <c r="J502" s="36" t="s">
        <v>8549</v>
      </c>
      <c r="K502" s="36" t="s">
        <v>8550</v>
      </c>
      <c r="L502" s="36" t="s">
        <v>8551</v>
      </c>
      <c r="M502" s="36" t="s">
        <v>8552</v>
      </c>
      <c r="N502" s="36" t="s">
        <v>8553</v>
      </c>
      <c r="O502" s="36" t="s">
        <v>8554</v>
      </c>
      <c r="P502" s="36" t="s">
        <v>8541</v>
      </c>
    </row>
    <row r="503" spans="1:16">
      <c r="A503" s="139">
        <v>502</v>
      </c>
      <c r="B503" s="36" t="s">
        <v>8555</v>
      </c>
      <c r="C503" s="36" t="s">
        <v>8556</v>
      </c>
      <c r="D503" s="36" t="s">
        <v>8557</v>
      </c>
      <c r="E503" s="36" t="s">
        <v>8558</v>
      </c>
      <c r="F503" s="36" t="s">
        <v>8559</v>
      </c>
      <c r="G503" s="36" t="s">
        <v>8560</v>
      </c>
      <c r="H503" s="36" t="s">
        <v>8561</v>
      </c>
      <c r="I503" s="36" t="s">
        <v>8562</v>
      </c>
      <c r="J503" s="36" t="s">
        <v>8563</v>
      </c>
      <c r="K503" s="36" t="s">
        <v>8564</v>
      </c>
      <c r="L503" s="36" t="s">
        <v>8565</v>
      </c>
      <c r="M503" s="36" t="s">
        <v>8566</v>
      </c>
      <c r="N503" s="36" t="s">
        <v>8567</v>
      </c>
      <c r="O503" s="36" t="s">
        <v>8568</v>
      </c>
      <c r="P503" s="36" t="s">
        <v>8555</v>
      </c>
    </row>
    <row r="504" spans="1:16">
      <c r="A504" s="139">
        <v>503</v>
      </c>
      <c r="B504" s="36" t="s">
        <v>8569</v>
      </c>
      <c r="C504" s="36" t="s">
        <v>8570</v>
      </c>
      <c r="D504" s="36" t="s">
        <v>8571</v>
      </c>
      <c r="E504" s="36" t="s">
        <v>8572</v>
      </c>
      <c r="F504" s="36" t="s">
        <v>8573</v>
      </c>
      <c r="G504" s="36" t="s">
        <v>8574</v>
      </c>
      <c r="H504" s="36" t="s">
        <v>8575</v>
      </c>
      <c r="I504" s="36" t="s">
        <v>8576</v>
      </c>
      <c r="J504" s="36" t="s">
        <v>8577</v>
      </c>
      <c r="K504" s="36" t="s">
        <v>8578</v>
      </c>
      <c r="L504" s="36" t="s">
        <v>8579</v>
      </c>
      <c r="M504" s="36" t="s">
        <v>8580</v>
      </c>
      <c r="N504" s="36" t="s">
        <v>8581</v>
      </c>
      <c r="O504" s="36" t="s">
        <v>8582</v>
      </c>
      <c r="P504" s="36" t="s">
        <v>8569</v>
      </c>
    </row>
    <row r="505" spans="1:16">
      <c r="A505" s="139">
        <v>504</v>
      </c>
      <c r="B505" s="36" t="s">
        <v>8583</v>
      </c>
      <c r="C505" s="36" t="s">
        <v>8584</v>
      </c>
      <c r="D505" s="36" t="s">
        <v>8585</v>
      </c>
      <c r="E505" s="36" t="s">
        <v>8586</v>
      </c>
      <c r="F505" s="36" t="s">
        <v>8587</v>
      </c>
      <c r="G505" s="36" t="s">
        <v>8588</v>
      </c>
      <c r="H505" s="36" t="s">
        <v>8589</v>
      </c>
      <c r="I505" s="36" t="s">
        <v>8590</v>
      </c>
      <c r="J505" s="36" t="s">
        <v>8591</v>
      </c>
      <c r="K505" s="36" t="s">
        <v>8592</v>
      </c>
      <c r="L505" s="36" t="s">
        <v>8593</v>
      </c>
      <c r="M505" s="36" t="s">
        <v>8594</v>
      </c>
      <c r="N505" s="36" t="s">
        <v>8595</v>
      </c>
      <c r="O505" s="36" t="s">
        <v>8596</v>
      </c>
      <c r="P505" s="36" t="s">
        <v>8583</v>
      </c>
    </row>
    <row r="506" spans="1:16">
      <c r="A506" s="139">
        <v>505</v>
      </c>
      <c r="B506" s="36" t="s">
        <v>8597</v>
      </c>
      <c r="C506" s="36" t="s">
        <v>8598</v>
      </c>
      <c r="D506" s="36" t="s">
        <v>8599</v>
      </c>
      <c r="E506" s="36" t="s">
        <v>8600</v>
      </c>
      <c r="F506" s="36" t="s">
        <v>8601</v>
      </c>
      <c r="G506" s="36" t="s">
        <v>8602</v>
      </c>
      <c r="H506" s="36" t="s">
        <v>8603</v>
      </c>
      <c r="I506" s="36" t="s">
        <v>8604</v>
      </c>
      <c r="J506" s="36" t="s">
        <v>8605</v>
      </c>
      <c r="K506" s="36" t="s">
        <v>8606</v>
      </c>
      <c r="L506" s="36" t="s">
        <v>8607</v>
      </c>
      <c r="M506" s="36" t="s">
        <v>8608</v>
      </c>
      <c r="N506" s="36" t="s">
        <v>8609</v>
      </c>
      <c r="O506" s="36" t="s">
        <v>8610</v>
      </c>
      <c r="P506" s="36" t="s">
        <v>8597</v>
      </c>
    </row>
    <row r="507" spans="1:16">
      <c r="A507" s="139">
        <v>506</v>
      </c>
      <c r="B507" s="36" t="s">
        <v>8611</v>
      </c>
      <c r="C507" s="36" t="s">
        <v>8612</v>
      </c>
      <c r="D507" s="36" t="s">
        <v>8613</v>
      </c>
      <c r="E507" s="36" t="s">
        <v>8614</v>
      </c>
      <c r="F507" s="36" t="s">
        <v>8615</v>
      </c>
      <c r="G507" s="36" t="s">
        <v>8616</v>
      </c>
      <c r="H507" s="36" t="s">
        <v>8617</v>
      </c>
      <c r="I507" s="36" t="s">
        <v>8618</v>
      </c>
      <c r="J507" s="36" t="s">
        <v>8619</v>
      </c>
      <c r="K507" s="36" t="s">
        <v>8620</v>
      </c>
      <c r="L507" s="36" t="s">
        <v>8621</v>
      </c>
      <c r="M507" s="36" t="s">
        <v>8622</v>
      </c>
      <c r="N507" s="36" t="s">
        <v>8623</v>
      </c>
      <c r="O507" s="36" t="s">
        <v>8624</v>
      </c>
      <c r="P507" s="36" t="s">
        <v>8611</v>
      </c>
    </row>
    <row r="508" spans="1:16">
      <c r="A508" s="139">
        <v>507</v>
      </c>
      <c r="B508" s="36" t="s">
        <v>8625</v>
      </c>
      <c r="C508" s="36" t="s">
        <v>8626</v>
      </c>
      <c r="D508" s="36" t="s">
        <v>8627</v>
      </c>
      <c r="E508" s="36" t="s">
        <v>8628</v>
      </c>
      <c r="F508" s="36" t="s">
        <v>8629</v>
      </c>
      <c r="G508" s="36" t="s">
        <v>8630</v>
      </c>
      <c r="H508" s="36" t="s">
        <v>8631</v>
      </c>
      <c r="I508" s="36" t="s">
        <v>8632</v>
      </c>
      <c r="J508" s="36" t="s">
        <v>8633</v>
      </c>
      <c r="K508" s="36" t="s">
        <v>8634</v>
      </c>
      <c r="L508" s="36" t="s">
        <v>8635</v>
      </c>
      <c r="M508" s="36" t="s">
        <v>8636</v>
      </c>
      <c r="N508" s="36" t="s">
        <v>8637</v>
      </c>
      <c r="O508" s="36" t="s">
        <v>8638</v>
      </c>
      <c r="P508" s="36" t="s">
        <v>8625</v>
      </c>
    </row>
    <row r="509" spans="1:16">
      <c r="A509" s="139">
        <v>508</v>
      </c>
      <c r="B509" s="36" t="s">
        <v>8639</v>
      </c>
      <c r="C509" s="36" t="s">
        <v>8640</v>
      </c>
      <c r="D509" s="36" t="s">
        <v>8641</v>
      </c>
      <c r="E509" s="36" t="s">
        <v>8642</v>
      </c>
      <c r="F509" s="36" t="s">
        <v>8643</v>
      </c>
      <c r="G509" s="36" t="s">
        <v>8644</v>
      </c>
      <c r="H509" s="36" t="s">
        <v>8645</v>
      </c>
      <c r="I509" s="36" t="s">
        <v>8646</v>
      </c>
      <c r="J509" s="36" t="s">
        <v>8647</v>
      </c>
      <c r="K509" s="36" t="s">
        <v>8648</v>
      </c>
      <c r="L509" s="36" t="s">
        <v>8649</v>
      </c>
      <c r="M509" s="36" t="s">
        <v>8650</v>
      </c>
      <c r="N509" s="36" t="s">
        <v>8651</v>
      </c>
      <c r="O509" s="36" t="s">
        <v>8652</v>
      </c>
      <c r="P509" s="36" t="s">
        <v>8639</v>
      </c>
    </row>
    <row r="510" spans="1:16">
      <c r="A510" s="139">
        <v>509</v>
      </c>
      <c r="B510" s="36" t="s">
        <v>8653</v>
      </c>
      <c r="C510" s="36" t="s">
        <v>8654</v>
      </c>
      <c r="D510" s="36" t="s">
        <v>8655</v>
      </c>
      <c r="E510" s="36" t="s">
        <v>8656</v>
      </c>
      <c r="F510" s="36" t="s">
        <v>8657</v>
      </c>
      <c r="G510" s="36" t="s">
        <v>8658</v>
      </c>
      <c r="H510" s="36" t="s">
        <v>8659</v>
      </c>
      <c r="I510" s="36" t="s">
        <v>8660</v>
      </c>
      <c r="J510" s="36" t="s">
        <v>8661</v>
      </c>
      <c r="K510" s="36" t="s">
        <v>8662</v>
      </c>
      <c r="L510" s="36" t="s">
        <v>8663</v>
      </c>
      <c r="M510" s="36" t="s">
        <v>8664</v>
      </c>
      <c r="N510" s="36" t="s">
        <v>8665</v>
      </c>
      <c r="O510" s="36" t="s">
        <v>8666</v>
      </c>
      <c r="P510" s="36" t="s">
        <v>8653</v>
      </c>
    </row>
    <row r="511" spans="1:16">
      <c r="A511" s="139">
        <v>510</v>
      </c>
      <c r="B511" s="36" t="s">
        <v>8667</v>
      </c>
      <c r="C511" s="36" t="s">
        <v>8668</v>
      </c>
      <c r="D511" s="36" t="s">
        <v>8669</v>
      </c>
      <c r="E511" s="36" t="s">
        <v>8670</v>
      </c>
      <c r="F511" s="36" t="s">
        <v>8671</v>
      </c>
      <c r="G511" s="36" t="s">
        <v>8672</v>
      </c>
      <c r="H511" s="36" t="s">
        <v>8673</v>
      </c>
      <c r="I511" s="36" t="s">
        <v>8674</v>
      </c>
      <c r="J511" s="36" t="s">
        <v>8675</v>
      </c>
      <c r="K511" s="36" t="s">
        <v>8676</v>
      </c>
      <c r="L511" s="36" t="s">
        <v>8677</v>
      </c>
      <c r="M511" s="36" t="s">
        <v>8678</v>
      </c>
      <c r="N511" s="36" t="s">
        <v>8679</v>
      </c>
      <c r="O511" s="36" t="s">
        <v>8680</v>
      </c>
      <c r="P511" s="36" t="s">
        <v>8667</v>
      </c>
    </row>
    <row r="512" spans="1:16">
      <c r="A512" s="139">
        <v>511</v>
      </c>
      <c r="B512" s="36" t="s">
        <v>8681</v>
      </c>
      <c r="C512" s="36" t="s">
        <v>8682</v>
      </c>
      <c r="D512" s="36" t="s">
        <v>8683</v>
      </c>
      <c r="E512" s="36" t="s">
        <v>8684</v>
      </c>
      <c r="F512" s="36" t="s">
        <v>8685</v>
      </c>
      <c r="G512" s="36" t="s">
        <v>8686</v>
      </c>
      <c r="H512" s="36" t="s">
        <v>8687</v>
      </c>
      <c r="I512" s="36" t="s">
        <v>8688</v>
      </c>
      <c r="J512" s="36" t="s">
        <v>8689</v>
      </c>
      <c r="K512" s="36" t="s">
        <v>8690</v>
      </c>
      <c r="L512" s="36" t="s">
        <v>8691</v>
      </c>
      <c r="M512" s="36" t="s">
        <v>8692</v>
      </c>
      <c r="N512" s="36" t="s">
        <v>8693</v>
      </c>
      <c r="O512" s="36" t="s">
        <v>8694</v>
      </c>
      <c r="P512" s="36" t="s">
        <v>8681</v>
      </c>
    </row>
    <row r="513" spans="1:16">
      <c r="A513" s="139">
        <v>512</v>
      </c>
      <c r="B513" s="36" t="s">
        <v>8695</v>
      </c>
      <c r="C513" s="36" t="s">
        <v>8696</v>
      </c>
      <c r="D513" s="36" t="s">
        <v>8697</v>
      </c>
      <c r="E513" s="36" t="s">
        <v>8698</v>
      </c>
      <c r="F513" s="36" t="s">
        <v>8699</v>
      </c>
      <c r="G513" s="36" t="s">
        <v>8700</v>
      </c>
      <c r="H513" s="36" t="s">
        <v>8701</v>
      </c>
      <c r="I513" s="36" t="s">
        <v>8702</v>
      </c>
      <c r="J513" s="36" t="s">
        <v>8703</v>
      </c>
      <c r="K513" s="36" t="s">
        <v>8704</v>
      </c>
      <c r="L513" s="36" t="s">
        <v>8705</v>
      </c>
      <c r="M513" s="36" t="s">
        <v>8706</v>
      </c>
      <c r="N513" s="36" t="s">
        <v>8707</v>
      </c>
      <c r="O513" s="36" t="s">
        <v>8708</v>
      </c>
      <c r="P513" s="36" t="s">
        <v>8695</v>
      </c>
    </row>
    <row r="514" spans="1:16">
      <c r="A514" s="139">
        <v>513</v>
      </c>
      <c r="B514" s="36" t="s">
        <v>8709</v>
      </c>
      <c r="C514" s="36" t="s">
        <v>8710</v>
      </c>
      <c r="D514" s="36" t="s">
        <v>8711</v>
      </c>
      <c r="E514" s="36" t="s">
        <v>8712</v>
      </c>
      <c r="F514" s="36" t="s">
        <v>3721</v>
      </c>
      <c r="G514" s="36" t="s">
        <v>8713</v>
      </c>
      <c r="H514" s="36" t="s">
        <v>8714</v>
      </c>
      <c r="I514" s="36" t="s">
        <v>8715</v>
      </c>
      <c r="J514" s="36" t="s">
        <v>8716</v>
      </c>
      <c r="K514" s="36" t="s">
        <v>8717</v>
      </c>
      <c r="L514" s="36" t="s">
        <v>8718</v>
      </c>
      <c r="M514" s="36" t="s">
        <v>8719</v>
      </c>
      <c r="N514" s="36" t="s">
        <v>8720</v>
      </c>
      <c r="O514" s="36" t="s">
        <v>8721</v>
      </c>
      <c r="P514" s="36" t="s">
        <v>8709</v>
      </c>
    </row>
    <row r="515" spans="1:16">
      <c r="A515" s="139">
        <v>514</v>
      </c>
      <c r="B515" s="36" t="s">
        <v>8722</v>
      </c>
      <c r="C515" s="36" t="s">
        <v>8723</v>
      </c>
      <c r="D515" s="36" t="s">
        <v>8724</v>
      </c>
      <c r="E515" s="36" t="s">
        <v>8725</v>
      </c>
      <c r="F515" s="36" t="s">
        <v>3721</v>
      </c>
      <c r="G515" s="36" t="s">
        <v>8726</v>
      </c>
      <c r="H515" s="36" t="s">
        <v>8727</v>
      </c>
      <c r="I515" s="36" t="s">
        <v>8728</v>
      </c>
      <c r="J515" s="36" t="s">
        <v>8729</v>
      </c>
      <c r="K515" s="36" t="s">
        <v>8730</v>
      </c>
      <c r="L515" s="36" t="s">
        <v>8731</v>
      </c>
      <c r="M515" s="36" t="s">
        <v>8732</v>
      </c>
      <c r="N515" s="36" t="s">
        <v>8733</v>
      </c>
      <c r="O515" s="36" t="s">
        <v>8734</v>
      </c>
      <c r="P515" s="36" t="s">
        <v>8722</v>
      </c>
    </row>
    <row r="516" spans="1:16">
      <c r="A516" s="139">
        <v>515</v>
      </c>
      <c r="B516" s="36" t="s">
        <v>8735</v>
      </c>
      <c r="C516" s="36" t="s">
        <v>8736</v>
      </c>
      <c r="D516" s="36" t="s">
        <v>8737</v>
      </c>
      <c r="E516" s="36" t="s">
        <v>8738</v>
      </c>
      <c r="F516" s="36" t="s">
        <v>8739</v>
      </c>
      <c r="G516" s="36" t="s">
        <v>8740</v>
      </c>
      <c r="H516" s="36" t="s">
        <v>8741</v>
      </c>
      <c r="I516" s="36" t="s">
        <v>8742</v>
      </c>
      <c r="J516" s="36" t="s">
        <v>8743</v>
      </c>
      <c r="K516" s="36" t="s">
        <v>8744</v>
      </c>
      <c r="L516" s="36" t="s">
        <v>8745</v>
      </c>
      <c r="M516" s="36" t="s">
        <v>8735</v>
      </c>
      <c r="N516" s="36" t="s">
        <v>8746</v>
      </c>
      <c r="O516" s="36" t="s">
        <v>8747</v>
      </c>
      <c r="P516" s="36" t="s">
        <v>8735</v>
      </c>
    </row>
    <row r="517" spans="1:16">
      <c r="A517" s="139">
        <v>516</v>
      </c>
      <c r="B517" s="36" t="s">
        <v>2336</v>
      </c>
      <c r="C517" s="36" t="s">
        <v>8748</v>
      </c>
      <c r="D517" s="36" t="s">
        <v>4027</v>
      </c>
      <c r="E517" s="36" t="s">
        <v>8749</v>
      </c>
      <c r="F517" s="36" t="s">
        <v>8750</v>
      </c>
      <c r="G517" s="36" t="s">
        <v>8751</v>
      </c>
      <c r="H517" s="36" t="s">
        <v>8752</v>
      </c>
      <c r="I517" s="36" t="s">
        <v>4032</v>
      </c>
      <c r="J517" s="36" t="s">
        <v>8753</v>
      </c>
      <c r="K517" s="36" t="s">
        <v>8754</v>
      </c>
      <c r="L517" s="36" t="s">
        <v>8755</v>
      </c>
      <c r="M517" s="36" t="s">
        <v>8756</v>
      </c>
      <c r="N517" s="36" t="s">
        <v>8757</v>
      </c>
      <c r="O517" s="36" t="s">
        <v>4038</v>
      </c>
      <c r="P517" s="36" t="s">
        <v>2336</v>
      </c>
    </row>
    <row r="518" spans="1:16">
      <c r="A518" s="139">
        <v>517</v>
      </c>
      <c r="B518" s="36" t="s">
        <v>8758</v>
      </c>
      <c r="C518" s="36" t="s">
        <v>8759</v>
      </c>
      <c r="D518" s="36" t="s">
        <v>8760</v>
      </c>
      <c r="E518" s="36" t="s">
        <v>8761</v>
      </c>
      <c r="F518" s="36" t="s">
        <v>8762</v>
      </c>
      <c r="G518" s="36" t="s">
        <v>8763</v>
      </c>
      <c r="H518" s="36" t="s">
        <v>8764</v>
      </c>
      <c r="I518" s="36" t="s">
        <v>8765</v>
      </c>
      <c r="J518" s="36" t="s">
        <v>8766</v>
      </c>
      <c r="K518" s="36" t="s">
        <v>8767</v>
      </c>
      <c r="L518" s="36" t="s">
        <v>8768</v>
      </c>
      <c r="M518" s="36" t="s">
        <v>8769</v>
      </c>
      <c r="N518" s="36" t="s">
        <v>8770</v>
      </c>
      <c r="O518" s="36" t="s">
        <v>8771</v>
      </c>
      <c r="P518" s="36" t="s">
        <v>8758</v>
      </c>
    </row>
    <row r="519" spans="1:16">
      <c r="A519" s="139">
        <v>518</v>
      </c>
      <c r="B519" s="36" t="s">
        <v>8772</v>
      </c>
      <c r="C519" s="36" t="s">
        <v>8773</v>
      </c>
      <c r="D519" s="36" t="s">
        <v>8774</v>
      </c>
      <c r="E519" s="36" t="s">
        <v>8775</v>
      </c>
      <c r="F519" s="36" t="s">
        <v>7967</v>
      </c>
      <c r="G519" s="36" t="s">
        <v>8763</v>
      </c>
      <c r="H519" s="36" t="s">
        <v>8776</v>
      </c>
      <c r="I519" s="36" t="s">
        <v>8777</v>
      </c>
      <c r="J519" s="36" t="s">
        <v>8778</v>
      </c>
      <c r="K519" s="36" t="s">
        <v>8779</v>
      </c>
      <c r="L519" s="36" t="s">
        <v>8780</v>
      </c>
      <c r="M519" s="36" t="s">
        <v>8781</v>
      </c>
      <c r="N519" s="36" t="s">
        <v>8782</v>
      </c>
      <c r="O519" s="36" t="s">
        <v>8783</v>
      </c>
      <c r="P519" s="36" t="s">
        <v>8772</v>
      </c>
    </row>
    <row r="520" spans="1:16">
      <c r="A520" s="139">
        <v>519</v>
      </c>
      <c r="B520" s="36" t="s">
        <v>8784</v>
      </c>
      <c r="C520" s="36" t="s">
        <v>8785</v>
      </c>
      <c r="D520" s="36" t="s">
        <v>8786</v>
      </c>
      <c r="E520" s="36" t="s">
        <v>8787</v>
      </c>
      <c r="F520" s="36" t="s">
        <v>8788</v>
      </c>
      <c r="G520" s="36" t="s">
        <v>8789</v>
      </c>
      <c r="H520" s="36" t="s">
        <v>8790</v>
      </c>
      <c r="I520" s="36" t="s">
        <v>8791</v>
      </c>
      <c r="J520" s="36" t="s">
        <v>8792</v>
      </c>
      <c r="K520" s="36" t="s">
        <v>8793</v>
      </c>
      <c r="L520" s="36" t="s">
        <v>8794</v>
      </c>
      <c r="M520" s="36" t="s">
        <v>8795</v>
      </c>
      <c r="N520" s="36" t="s">
        <v>8796</v>
      </c>
      <c r="O520" s="36" t="s">
        <v>8797</v>
      </c>
      <c r="P520" s="36" t="s">
        <v>8784</v>
      </c>
    </row>
    <row r="521" spans="1:16">
      <c r="A521" s="139">
        <v>520</v>
      </c>
      <c r="B521" s="36" t="s">
        <v>8798</v>
      </c>
      <c r="C521" s="36" t="s">
        <v>8799</v>
      </c>
      <c r="D521" s="36" t="s">
        <v>8800</v>
      </c>
      <c r="E521" s="36" t="s">
        <v>8801</v>
      </c>
      <c r="F521" s="36" t="s">
        <v>8802</v>
      </c>
      <c r="G521" s="36" t="s">
        <v>8803</v>
      </c>
      <c r="H521" s="36" t="s">
        <v>8804</v>
      </c>
      <c r="I521" s="36" t="s">
        <v>8805</v>
      </c>
      <c r="J521" s="36" t="s">
        <v>8806</v>
      </c>
      <c r="K521" s="36" t="s">
        <v>8807</v>
      </c>
      <c r="L521" s="36" t="s">
        <v>8808</v>
      </c>
      <c r="M521" s="36" t="s">
        <v>8809</v>
      </c>
      <c r="N521" s="36" t="s">
        <v>8810</v>
      </c>
      <c r="O521" s="36" t="s">
        <v>8811</v>
      </c>
      <c r="P521" s="36" t="s">
        <v>8798</v>
      </c>
    </row>
    <row r="522" spans="1:16">
      <c r="A522" s="139">
        <v>521</v>
      </c>
      <c r="B522" s="36" t="s">
        <v>8812</v>
      </c>
      <c r="C522" s="36" t="s">
        <v>8813</v>
      </c>
      <c r="D522" s="36" t="s">
        <v>8814</v>
      </c>
      <c r="E522" s="36" t="s">
        <v>8815</v>
      </c>
      <c r="F522" s="36" t="s">
        <v>8816</v>
      </c>
      <c r="G522" s="36" t="s">
        <v>8817</v>
      </c>
      <c r="H522" s="36" t="s">
        <v>8818</v>
      </c>
      <c r="I522" s="36" t="s">
        <v>8819</v>
      </c>
      <c r="J522" s="36" t="s">
        <v>8820</v>
      </c>
      <c r="K522" s="36" t="s">
        <v>8821</v>
      </c>
      <c r="L522" s="36" t="s">
        <v>8822</v>
      </c>
      <c r="M522" s="36" t="s">
        <v>8823</v>
      </c>
      <c r="N522" s="36" t="s">
        <v>8824</v>
      </c>
      <c r="O522" s="36" t="s">
        <v>8825</v>
      </c>
      <c r="P522" s="36" t="s">
        <v>8812</v>
      </c>
    </row>
    <row r="523" spans="1:16">
      <c r="A523" s="139">
        <v>522</v>
      </c>
      <c r="B523" s="36" t="s">
        <v>8826</v>
      </c>
      <c r="C523" s="36" t="s">
        <v>8827</v>
      </c>
      <c r="D523" s="36" t="s">
        <v>8828</v>
      </c>
      <c r="E523" s="36" t="s">
        <v>8829</v>
      </c>
      <c r="F523" s="36" t="s">
        <v>8830</v>
      </c>
      <c r="G523" s="36" t="s">
        <v>8831</v>
      </c>
      <c r="H523" s="36" t="s">
        <v>8832</v>
      </c>
      <c r="I523" s="36" t="s">
        <v>8833</v>
      </c>
      <c r="J523" s="36" t="s">
        <v>8834</v>
      </c>
      <c r="K523" s="36" t="s">
        <v>8835</v>
      </c>
      <c r="L523" s="36" t="s">
        <v>8836</v>
      </c>
      <c r="M523" s="36" t="s">
        <v>8837</v>
      </c>
      <c r="N523" s="36" t="s">
        <v>8838</v>
      </c>
      <c r="O523" s="36" t="s">
        <v>8839</v>
      </c>
      <c r="P523" s="36" t="s">
        <v>8826</v>
      </c>
    </row>
    <row r="524" spans="1:16">
      <c r="A524" s="139">
        <v>523</v>
      </c>
      <c r="B524" s="36" t="s">
        <v>8840</v>
      </c>
      <c r="C524" s="36" t="s">
        <v>8841</v>
      </c>
      <c r="D524" s="36" t="s">
        <v>8842</v>
      </c>
      <c r="E524" s="36" t="s">
        <v>8843</v>
      </c>
      <c r="F524" s="36" t="s">
        <v>8844</v>
      </c>
      <c r="G524" s="36" t="s">
        <v>8845</v>
      </c>
      <c r="H524" s="36" t="s">
        <v>8846</v>
      </c>
      <c r="I524" s="36" t="s">
        <v>8847</v>
      </c>
      <c r="J524" s="36" t="s">
        <v>8848</v>
      </c>
      <c r="K524" s="36" t="s">
        <v>8849</v>
      </c>
      <c r="L524" s="36" t="s">
        <v>8850</v>
      </c>
      <c r="M524" s="36" t="s">
        <v>8851</v>
      </c>
      <c r="N524" s="36" t="s">
        <v>8852</v>
      </c>
      <c r="O524" s="36" t="s">
        <v>8853</v>
      </c>
      <c r="P524" s="36" t="s">
        <v>8840</v>
      </c>
    </row>
    <row r="525" spans="1:16">
      <c r="A525" s="139">
        <v>524</v>
      </c>
      <c r="B525" s="36" t="s">
        <v>8854</v>
      </c>
      <c r="C525" s="36" t="s">
        <v>8855</v>
      </c>
      <c r="D525" s="36" t="s">
        <v>8856</v>
      </c>
      <c r="E525" s="36" t="s">
        <v>8857</v>
      </c>
      <c r="F525" s="36" t="s">
        <v>8858</v>
      </c>
      <c r="G525" s="36" t="s">
        <v>8859</v>
      </c>
      <c r="H525" s="36" t="s">
        <v>8860</v>
      </c>
      <c r="I525" s="36" t="s">
        <v>8861</v>
      </c>
      <c r="J525" s="36" t="s">
        <v>8862</v>
      </c>
      <c r="K525" s="36" t="s">
        <v>8863</v>
      </c>
      <c r="L525" s="36" t="s">
        <v>8864</v>
      </c>
      <c r="M525" s="36" t="s">
        <v>8865</v>
      </c>
      <c r="N525" s="36" t="s">
        <v>8866</v>
      </c>
      <c r="O525" s="36" t="s">
        <v>8867</v>
      </c>
      <c r="P525" s="36" t="s">
        <v>8854</v>
      </c>
    </row>
    <row r="526" spans="1:16">
      <c r="A526" s="139">
        <v>525</v>
      </c>
      <c r="B526" s="36" t="s">
        <v>8868</v>
      </c>
      <c r="C526" s="36" t="s">
        <v>8869</v>
      </c>
      <c r="D526" s="36" t="s">
        <v>8870</v>
      </c>
      <c r="E526" s="36" t="s">
        <v>8871</v>
      </c>
      <c r="F526" s="36" t="s">
        <v>8872</v>
      </c>
      <c r="G526" s="36" t="s">
        <v>8873</v>
      </c>
      <c r="H526" s="36" t="s">
        <v>8874</v>
      </c>
      <c r="I526" s="36" t="s">
        <v>8875</v>
      </c>
      <c r="J526" s="36" t="s">
        <v>8876</v>
      </c>
      <c r="K526" s="36" t="s">
        <v>8877</v>
      </c>
      <c r="L526" s="36" t="s">
        <v>8878</v>
      </c>
      <c r="M526" s="36" t="s">
        <v>8879</v>
      </c>
      <c r="N526" s="36" t="s">
        <v>8880</v>
      </c>
      <c r="O526" s="36" t="s">
        <v>8881</v>
      </c>
      <c r="P526" s="36" t="s">
        <v>8868</v>
      </c>
    </row>
    <row r="527" spans="1:16">
      <c r="A527" s="139">
        <v>526</v>
      </c>
      <c r="B527" s="36" t="s">
        <v>8882</v>
      </c>
      <c r="C527" s="36" t="s">
        <v>8883</v>
      </c>
      <c r="D527" s="36" t="s">
        <v>8884</v>
      </c>
      <c r="E527" s="36" t="s">
        <v>8885</v>
      </c>
      <c r="F527" s="36" t="s">
        <v>8886</v>
      </c>
      <c r="G527" s="36" t="s">
        <v>8887</v>
      </c>
      <c r="H527" s="36" t="s">
        <v>8888</v>
      </c>
      <c r="I527" s="36" t="s">
        <v>8889</v>
      </c>
      <c r="J527" s="36" t="s">
        <v>8890</v>
      </c>
      <c r="K527" s="36" t="s">
        <v>8891</v>
      </c>
      <c r="L527" s="36" t="s">
        <v>8892</v>
      </c>
      <c r="M527" s="36" t="s">
        <v>8893</v>
      </c>
      <c r="N527" s="36" t="s">
        <v>8894</v>
      </c>
      <c r="O527" s="36" t="s">
        <v>8895</v>
      </c>
      <c r="P527" s="36" t="s">
        <v>8882</v>
      </c>
    </row>
    <row r="528" spans="1:16">
      <c r="A528" s="139">
        <v>527</v>
      </c>
      <c r="B528" s="36" t="s">
        <v>8896</v>
      </c>
      <c r="C528" s="36" t="s">
        <v>8897</v>
      </c>
      <c r="D528" s="36" t="s">
        <v>8898</v>
      </c>
      <c r="E528" s="36" t="s">
        <v>8899</v>
      </c>
      <c r="F528" s="36" t="s">
        <v>8900</v>
      </c>
      <c r="G528" s="36" t="s">
        <v>8901</v>
      </c>
      <c r="H528" s="36" t="s">
        <v>8902</v>
      </c>
      <c r="I528" s="36" t="s">
        <v>8903</v>
      </c>
      <c r="J528" s="36" t="s">
        <v>8904</v>
      </c>
      <c r="K528" s="36" t="s">
        <v>8905</v>
      </c>
      <c r="L528" s="36" t="s">
        <v>8906</v>
      </c>
      <c r="M528" s="36" t="s">
        <v>8907</v>
      </c>
      <c r="N528" s="36" t="s">
        <v>8908</v>
      </c>
      <c r="O528" s="36" t="s">
        <v>8909</v>
      </c>
      <c r="P528" s="36" t="s">
        <v>8896</v>
      </c>
    </row>
    <row r="529" spans="1:16">
      <c r="A529" s="139">
        <v>528</v>
      </c>
      <c r="B529" s="36" t="s">
        <v>8910</v>
      </c>
      <c r="C529" s="36" t="s">
        <v>8911</v>
      </c>
      <c r="D529" s="36" t="s">
        <v>8912</v>
      </c>
      <c r="E529" s="36" t="s">
        <v>8913</v>
      </c>
      <c r="F529" s="36" t="s">
        <v>8914</v>
      </c>
      <c r="G529" s="36" t="s">
        <v>8915</v>
      </c>
      <c r="H529" s="36" t="s">
        <v>8916</v>
      </c>
      <c r="I529" s="36" t="s">
        <v>8917</v>
      </c>
      <c r="J529" s="36" t="s">
        <v>8918</v>
      </c>
      <c r="K529" s="36" t="s">
        <v>8919</v>
      </c>
      <c r="L529" s="36" t="s">
        <v>8920</v>
      </c>
      <c r="M529" s="36" t="s">
        <v>8921</v>
      </c>
      <c r="N529" s="36" t="s">
        <v>8922</v>
      </c>
      <c r="O529" s="36" t="s">
        <v>8923</v>
      </c>
      <c r="P529" s="36" t="s">
        <v>8910</v>
      </c>
    </row>
    <row r="530" spans="1:16">
      <c r="A530" s="139">
        <v>529</v>
      </c>
      <c r="B530" s="36" t="s">
        <v>8924</v>
      </c>
      <c r="C530" s="36" t="s">
        <v>8925</v>
      </c>
      <c r="D530" s="36" t="s">
        <v>8924</v>
      </c>
      <c r="E530" s="36" t="s">
        <v>8926</v>
      </c>
      <c r="F530" s="36" t="s">
        <v>8927</v>
      </c>
      <c r="G530" s="36" t="s">
        <v>8928</v>
      </c>
      <c r="H530" s="36" t="s">
        <v>8929</v>
      </c>
      <c r="I530" s="36" t="s">
        <v>8930</v>
      </c>
      <c r="J530" s="36" t="s">
        <v>8931</v>
      </c>
      <c r="K530" s="36" t="s">
        <v>8932</v>
      </c>
      <c r="L530" s="36" t="s">
        <v>8933</v>
      </c>
      <c r="M530" s="36" t="s">
        <v>8934</v>
      </c>
      <c r="N530" s="36" t="s">
        <v>8935</v>
      </c>
      <c r="O530" s="36" t="s">
        <v>8936</v>
      </c>
      <c r="P530" s="36" t="s">
        <v>8924</v>
      </c>
    </row>
    <row r="531" spans="1:16">
      <c r="A531" s="139">
        <v>530</v>
      </c>
      <c r="B531" s="36" t="s">
        <v>8937</v>
      </c>
      <c r="C531" s="36" t="s">
        <v>8937</v>
      </c>
      <c r="D531" s="36" t="s">
        <v>8937</v>
      </c>
      <c r="E531" s="36" t="s">
        <v>8938</v>
      </c>
      <c r="F531" s="36" t="s">
        <v>8937</v>
      </c>
      <c r="G531" s="36" t="s">
        <v>8937</v>
      </c>
      <c r="H531" s="36" t="s">
        <v>8937</v>
      </c>
      <c r="I531" s="36" t="s">
        <v>8939</v>
      </c>
      <c r="J531" s="36" t="s">
        <v>8937</v>
      </c>
      <c r="K531" s="36" t="s">
        <v>8937</v>
      </c>
      <c r="L531" s="36" t="s">
        <v>8937</v>
      </c>
      <c r="M531" s="36" t="s">
        <v>8937</v>
      </c>
      <c r="N531" s="36" t="s">
        <v>8937</v>
      </c>
      <c r="O531" s="36" t="s">
        <v>8940</v>
      </c>
      <c r="P531" s="36" t="s">
        <v>8937</v>
      </c>
    </row>
    <row r="532" spans="1:16">
      <c r="A532" s="139">
        <v>531</v>
      </c>
      <c r="B532" s="36" t="s">
        <v>8941</v>
      </c>
      <c r="C532" s="36" t="s">
        <v>8941</v>
      </c>
      <c r="D532" s="36" t="s">
        <v>8941</v>
      </c>
      <c r="E532" s="36" t="s">
        <v>8941</v>
      </c>
      <c r="F532" s="36" t="s">
        <v>8941</v>
      </c>
      <c r="G532" s="36" t="s">
        <v>8941</v>
      </c>
      <c r="H532" s="36" t="s">
        <v>8941</v>
      </c>
      <c r="I532" s="36" t="s">
        <v>8941</v>
      </c>
      <c r="J532" s="36" t="s">
        <v>8941</v>
      </c>
      <c r="K532" s="36" t="s">
        <v>8941</v>
      </c>
      <c r="L532" s="36" t="s">
        <v>8941</v>
      </c>
      <c r="M532" s="36" t="s">
        <v>8942</v>
      </c>
      <c r="N532" s="36" t="s">
        <v>8941</v>
      </c>
      <c r="O532" s="36" t="s">
        <v>8941</v>
      </c>
      <c r="P532" s="36" t="s">
        <v>8941</v>
      </c>
    </row>
    <row r="533" spans="1:16">
      <c r="A533" s="139">
        <v>532</v>
      </c>
      <c r="B533" s="36" t="s">
        <v>8943</v>
      </c>
      <c r="C533" s="36" t="s">
        <v>8944</v>
      </c>
      <c r="D533" s="36" t="s">
        <v>8945</v>
      </c>
      <c r="E533" s="36" t="s">
        <v>8946</v>
      </c>
      <c r="F533" s="36" t="s">
        <v>8947</v>
      </c>
      <c r="G533" s="36" t="s">
        <v>8948</v>
      </c>
      <c r="H533" s="36" t="s">
        <v>8949</v>
      </c>
      <c r="I533" s="36" t="s">
        <v>8950</v>
      </c>
      <c r="J533" s="36" t="s">
        <v>8951</v>
      </c>
      <c r="K533" s="36" t="s">
        <v>8952</v>
      </c>
      <c r="L533" s="36" t="s">
        <v>8953</v>
      </c>
      <c r="M533" s="36" t="s">
        <v>8954</v>
      </c>
      <c r="N533" s="36" t="s">
        <v>8955</v>
      </c>
      <c r="O533" s="36" t="s">
        <v>8956</v>
      </c>
      <c r="P533" s="36" t="s">
        <v>8943</v>
      </c>
    </row>
    <row r="534" spans="1:16">
      <c r="A534" s="139">
        <v>533</v>
      </c>
      <c r="B534" s="36" t="s">
        <v>8957</v>
      </c>
      <c r="C534" s="36" t="s">
        <v>8958</v>
      </c>
      <c r="D534" s="36" t="s">
        <v>8959</v>
      </c>
      <c r="E534" s="36" t="s">
        <v>8960</v>
      </c>
      <c r="F534" s="36" t="s">
        <v>8961</v>
      </c>
      <c r="G534" s="36" t="s">
        <v>8962</v>
      </c>
      <c r="H534" s="36" t="s">
        <v>8963</v>
      </c>
      <c r="I534" s="36" t="s">
        <v>8964</v>
      </c>
      <c r="J534" s="36" t="s">
        <v>8965</v>
      </c>
      <c r="K534" s="36" t="s">
        <v>8966</v>
      </c>
      <c r="L534" s="36" t="s">
        <v>8967</v>
      </c>
      <c r="M534" s="36" t="s">
        <v>8968</v>
      </c>
      <c r="N534" s="36" t="s">
        <v>8969</v>
      </c>
      <c r="O534" s="36" t="s">
        <v>8970</v>
      </c>
      <c r="P534" s="36" t="s">
        <v>8957</v>
      </c>
    </row>
    <row r="535" spans="1:16">
      <c r="A535" s="139">
        <v>534</v>
      </c>
      <c r="B535" s="36" t="s">
        <v>8971</v>
      </c>
      <c r="C535" s="36" t="s">
        <v>8972</v>
      </c>
      <c r="D535" s="36" t="s">
        <v>8973</v>
      </c>
      <c r="E535" s="36" t="s">
        <v>8974</v>
      </c>
      <c r="F535" s="36" t="s">
        <v>8975</v>
      </c>
      <c r="G535" s="36" t="s">
        <v>8976</v>
      </c>
      <c r="H535" s="36" t="s">
        <v>8977</v>
      </c>
      <c r="I535" s="36" t="s">
        <v>8978</v>
      </c>
      <c r="J535" s="36" t="s">
        <v>8979</v>
      </c>
      <c r="K535" s="36" t="s">
        <v>8980</v>
      </c>
      <c r="L535" s="36" t="s">
        <v>8981</v>
      </c>
      <c r="M535" s="36" t="s">
        <v>8982</v>
      </c>
      <c r="N535" s="36" t="s">
        <v>8983</v>
      </c>
      <c r="O535" s="36" t="s">
        <v>8984</v>
      </c>
      <c r="P535" s="36" t="s">
        <v>8971</v>
      </c>
    </row>
    <row r="536" spans="1:16">
      <c r="A536" s="139">
        <v>535</v>
      </c>
      <c r="B536" s="36" t="s">
        <v>8985</v>
      </c>
      <c r="C536" s="36" t="s">
        <v>8986</v>
      </c>
      <c r="D536" s="36" t="s">
        <v>8987</v>
      </c>
      <c r="E536" s="36" t="s">
        <v>8988</v>
      </c>
      <c r="F536" s="36" t="s">
        <v>8989</v>
      </c>
      <c r="G536" s="36" t="s">
        <v>8990</v>
      </c>
      <c r="H536" s="36" t="s">
        <v>8991</v>
      </c>
      <c r="I536" s="36" t="s">
        <v>8992</v>
      </c>
      <c r="J536" s="36" t="s">
        <v>8993</v>
      </c>
      <c r="K536" s="36" t="s">
        <v>8994</v>
      </c>
      <c r="L536" s="36" t="s">
        <v>8995</v>
      </c>
      <c r="M536" s="36" t="s">
        <v>8996</v>
      </c>
      <c r="N536" s="36" t="s">
        <v>8997</v>
      </c>
      <c r="O536" s="36" t="s">
        <v>8998</v>
      </c>
      <c r="P536" s="36" t="s">
        <v>8985</v>
      </c>
    </row>
    <row r="537" spans="1:16">
      <c r="A537" s="139">
        <v>536</v>
      </c>
      <c r="B537" s="36" t="s">
        <v>8999</v>
      </c>
      <c r="C537" s="36" t="s">
        <v>9000</v>
      </c>
      <c r="D537" s="36" t="s">
        <v>9001</v>
      </c>
      <c r="E537" s="36" t="s">
        <v>9002</v>
      </c>
      <c r="F537" s="36" t="s">
        <v>9003</v>
      </c>
      <c r="G537" s="36" t="s">
        <v>9004</v>
      </c>
      <c r="H537" s="36" t="s">
        <v>9005</v>
      </c>
      <c r="I537" s="36" t="s">
        <v>9006</v>
      </c>
      <c r="J537" s="36" t="s">
        <v>9007</v>
      </c>
      <c r="K537" s="36" t="s">
        <v>9008</v>
      </c>
      <c r="L537" s="36" t="s">
        <v>9009</v>
      </c>
      <c r="M537" s="36" t="s">
        <v>9010</v>
      </c>
      <c r="N537" s="36" t="s">
        <v>9011</v>
      </c>
      <c r="O537" s="36" t="s">
        <v>9012</v>
      </c>
      <c r="P537" s="36" t="s">
        <v>8999</v>
      </c>
    </row>
    <row r="538" spans="1:16">
      <c r="A538" s="139">
        <v>537</v>
      </c>
      <c r="B538" s="36" t="s">
        <v>9013</v>
      </c>
      <c r="C538" s="36" t="s">
        <v>9014</v>
      </c>
      <c r="D538" s="36" t="s">
        <v>9015</v>
      </c>
      <c r="E538" s="36" t="s">
        <v>9016</v>
      </c>
      <c r="F538" s="36" t="s">
        <v>9017</v>
      </c>
      <c r="G538" s="36" t="s">
        <v>9018</v>
      </c>
      <c r="H538" s="36" t="s">
        <v>9019</v>
      </c>
      <c r="I538" s="36" t="s">
        <v>9020</v>
      </c>
      <c r="J538" s="36" t="s">
        <v>9021</v>
      </c>
      <c r="K538" s="36" t="s">
        <v>9022</v>
      </c>
      <c r="L538" s="36" t="s">
        <v>9023</v>
      </c>
      <c r="M538" s="36" t="s">
        <v>9024</v>
      </c>
      <c r="N538" s="36" t="s">
        <v>9025</v>
      </c>
      <c r="O538" s="36" t="s">
        <v>9026</v>
      </c>
      <c r="P538" s="36" t="s">
        <v>9013</v>
      </c>
    </row>
    <row r="539" spans="1:16">
      <c r="A539" s="139">
        <v>538</v>
      </c>
      <c r="B539" s="36" t="s">
        <v>9027</v>
      </c>
      <c r="C539" s="36" t="s">
        <v>9028</v>
      </c>
      <c r="D539" s="36" t="s">
        <v>9029</v>
      </c>
      <c r="E539" s="36" t="s">
        <v>9030</v>
      </c>
      <c r="F539" s="36" t="s">
        <v>9031</v>
      </c>
      <c r="G539" s="36" t="s">
        <v>9032</v>
      </c>
      <c r="H539" s="36" t="s">
        <v>9033</v>
      </c>
      <c r="I539" s="36" t="s">
        <v>9034</v>
      </c>
      <c r="J539" s="36" t="s">
        <v>9035</v>
      </c>
      <c r="K539" s="36" t="s">
        <v>9036</v>
      </c>
      <c r="L539" s="36" t="s">
        <v>9037</v>
      </c>
      <c r="M539" s="36" t="s">
        <v>9038</v>
      </c>
      <c r="N539" s="36" t="s">
        <v>9039</v>
      </c>
      <c r="O539" s="36" t="s">
        <v>9036</v>
      </c>
      <c r="P539" s="36" t="s">
        <v>9027</v>
      </c>
    </row>
    <row r="540" spans="1:16">
      <c r="A540" s="139">
        <v>539</v>
      </c>
      <c r="B540" s="36" t="s">
        <v>9040</v>
      </c>
      <c r="C540" s="36" t="s">
        <v>9041</v>
      </c>
      <c r="D540" s="36" t="s">
        <v>9042</v>
      </c>
      <c r="E540" s="36" t="s">
        <v>9043</v>
      </c>
      <c r="F540" s="36" t="s">
        <v>9044</v>
      </c>
      <c r="G540" s="36" t="s">
        <v>9045</v>
      </c>
      <c r="H540" s="36" t="s">
        <v>9046</v>
      </c>
      <c r="I540" s="36" t="s">
        <v>9047</v>
      </c>
      <c r="J540" s="36" t="s">
        <v>9048</v>
      </c>
      <c r="K540" s="36" t="s">
        <v>9049</v>
      </c>
      <c r="L540" s="36" t="s">
        <v>9050</v>
      </c>
      <c r="M540" s="36" t="s">
        <v>9051</v>
      </c>
      <c r="N540" s="36" t="s">
        <v>9052</v>
      </c>
      <c r="O540" s="36" t="s">
        <v>9053</v>
      </c>
      <c r="P540" s="36" t="s">
        <v>9040</v>
      </c>
    </row>
    <row r="541" spans="1:16">
      <c r="A541" s="139">
        <v>540</v>
      </c>
      <c r="B541" s="36" t="s">
        <v>9054</v>
      </c>
      <c r="C541" s="36" t="s">
        <v>9055</v>
      </c>
      <c r="D541" s="36" t="s">
        <v>9056</v>
      </c>
      <c r="E541" s="36" t="s">
        <v>9057</v>
      </c>
      <c r="F541" s="36" t="s">
        <v>9058</v>
      </c>
      <c r="G541" s="36" t="s">
        <v>9059</v>
      </c>
      <c r="H541" s="36" t="s">
        <v>9060</v>
      </c>
      <c r="I541" s="36" t="s">
        <v>9061</v>
      </c>
      <c r="J541" s="36" t="s">
        <v>9062</v>
      </c>
      <c r="K541" s="36" t="s">
        <v>9063</v>
      </c>
      <c r="L541" s="36" t="s">
        <v>9054</v>
      </c>
      <c r="M541" s="36" t="s">
        <v>9054</v>
      </c>
      <c r="N541" s="36" t="s">
        <v>9064</v>
      </c>
      <c r="O541" s="36" t="s">
        <v>9065</v>
      </c>
      <c r="P541" s="36" t="s">
        <v>9054</v>
      </c>
    </row>
    <row r="542" spans="1:16">
      <c r="A542" s="139">
        <v>541</v>
      </c>
      <c r="B542" s="36" t="s">
        <v>9066</v>
      </c>
      <c r="C542" s="36" t="s">
        <v>9067</v>
      </c>
      <c r="D542" s="36" t="s">
        <v>9068</v>
      </c>
      <c r="E542" s="36" t="s">
        <v>9069</v>
      </c>
      <c r="F542" s="36" t="s">
        <v>9070</v>
      </c>
      <c r="G542" s="36" t="s">
        <v>9071</v>
      </c>
      <c r="H542" s="36" t="s">
        <v>9072</v>
      </c>
      <c r="I542" s="36" t="s">
        <v>9073</v>
      </c>
      <c r="J542" s="36" t="s">
        <v>9074</v>
      </c>
      <c r="K542" s="36" t="s">
        <v>9075</v>
      </c>
      <c r="L542" s="36" t="s">
        <v>9076</v>
      </c>
      <c r="M542" s="36" t="s">
        <v>9077</v>
      </c>
      <c r="N542" s="36" t="s">
        <v>9078</v>
      </c>
      <c r="O542" s="36" t="s">
        <v>9079</v>
      </c>
      <c r="P542" s="36" t="s">
        <v>9080</v>
      </c>
    </row>
    <row r="543" spans="1:16">
      <c r="A543" s="139">
        <v>542</v>
      </c>
      <c r="B543" s="36" t="s">
        <v>9081</v>
      </c>
      <c r="C543" s="36" t="s">
        <v>9082</v>
      </c>
      <c r="D543" s="36" t="s">
        <v>9083</v>
      </c>
      <c r="E543" s="36" t="s">
        <v>9084</v>
      </c>
      <c r="F543" s="36" t="s">
        <v>9085</v>
      </c>
      <c r="G543" s="36" t="s">
        <v>9086</v>
      </c>
      <c r="H543" s="36" t="s">
        <v>9087</v>
      </c>
      <c r="I543" s="36" t="s">
        <v>9088</v>
      </c>
      <c r="J543" s="36" t="s">
        <v>9089</v>
      </c>
      <c r="K543" s="36" t="s">
        <v>9090</v>
      </c>
      <c r="L543" s="36" t="s">
        <v>9091</v>
      </c>
      <c r="M543" s="36" t="s">
        <v>9092</v>
      </c>
      <c r="N543" s="36" t="s">
        <v>9093</v>
      </c>
      <c r="O543" s="36" t="s">
        <v>9094</v>
      </c>
      <c r="P543" s="36" t="s">
        <v>9081</v>
      </c>
    </row>
    <row r="544" spans="1:16">
      <c r="A544" s="139">
        <v>543</v>
      </c>
      <c r="B544" s="36" t="s">
        <v>9095</v>
      </c>
      <c r="C544" s="36" t="s">
        <v>9096</v>
      </c>
      <c r="D544" s="36" t="s">
        <v>9097</v>
      </c>
      <c r="E544" s="36" t="s">
        <v>9098</v>
      </c>
      <c r="F544" s="36" t="s">
        <v>9099</v>
      </c>
      <c r="G544" s="36" t="s">
        <v>9100</v>
      </c>
      <c r="H544" s="36" t="s">
        <v>9101</v>
      </c>
      <c r="I544" s="36" t="s">
        <v>9102</v>
      </c>
      <c r="J544" s="36" t="s">
        <v>9103</v>
      </c>
      <c r="K544" s="36" t="s">
        <v>9104</v>
      </c>
      <c r="L544" s="36" t="s">
        <v>9105</v>
      </c>
      <c r="M544" s="36" t="s">
        <v>9106</v>
      </c>
      <c r="N544" s="36" t="s">
        <v>9107</v>
      </c>
      <c r="O544" s="36" t="s">
        <v>9108</v>
      </c>
      <c r="P544" s="36" t="s">
        <v>9095</v>
      </c>
    </row>
    <row r="545" spans="1:16">
      <c r="A545" s="139">
        <v>544</v>
      </c>
      <c r="B545" s="36" t="s">
        <v>9109</v>
      </c>
      <c r="C545" s="36" t="s">
        <v>9110</v>
      </c>
      <c r="D545" s="36" t="s">
        <v>9111</v>
      </c>
      <c r="E545" s="36" t="s">
        <v>9112</v>
      </c>
      <c r="F545" s="36" t="s">
        <v>9113</v>
      </c>
      <c r="G545" s="36" t="s">
        <v>9114</v>
      </c>
      <c r="H545" s="36" t="s">
        <v>9115</v>
      </c>
      <c r="I545" s="36" t="s">
        <v>9116</v>
      </c>
      <c r="J545" s="36" t="s">
        <v>9117</v>
      </c>
      <c r="K545" s="36" t="s">
        <v>9118</v>
      </c>
      <c r="L545" s="36" t="s">
        <v>9119</v>
      </c>
      <c r="M545" s="36" t="s">
        <v>9120</v>
      </c>
      <c r="N545" s="36" t="s">
        <v>9121</v>
      </c>
      <c r="O545" s="36" t="s">
        <v>9122</v>
      </c>
      <c r="P545" s="36" t="s">
        <v>9109</v>
      </c>
    </row>
    <row r="546" spans="1:16">
      <c r="A546" s="139">
        <v>545</v>
      </c>
      <c r="B546" s="36" t="s">
        <v>9123</v>
      </c>
      <c r="C546" s="36" t="s">
        <v>9124</v>
      </c>
      <c r="D546" s="36" t="s">
        <v>9125</v>
      </c>
      <c r="E546" s="36" t="s">
        <v>9126</v>
      </c>
      <c r="F546" s="36" t="s">
        <v>9127</v>
      </c>
      <c r="G546" s="36" t="s">
        <v>9128</v>
      </c>
      <c r="H546" s="36" t="s">
        <v>9129</v>
      </c>
      <c r="I546" s="36" t="s">
        <v>9130</v>
      </c>
      <c r="J546" s="36" t="s">
        <v>9131</v>
      </c>
      <c r="K546" s="36" t="s">
        <v>9132</v>
      </c>
      <c r="L546" s="36" t="s">
        <v>9133</v>
      </c>
      <c r="M546" s="36" t="s">
        <v>9134</v>
      </c>
      <c r="N546" s="36" t="s">
        <v>9135</v>
      </c>
      <c r="O546" s="36" t="s">
        <v>9136</v>
      </c>
      <c r="P546" s="36" t="s">
        <v>9123</v>
      </c>
    </row>
    <row r="547" spans="1:16">
      <c r="A547" s="139">
        <v>546</v>
      </c>
      <c r="B547" s="36" t="s">
        <v>9137</v>
      </c>
      <c r="C547" s="36" t="s">
        <v>9138</v>
      </c>
      <c r="D547" s="36" t="s">
        <v>9139</v>
      </c>
      <c r="E547" s="36" t="s">
        <v>9140</v>
      </c>
      <c r="F547" s="36" t="s">
        <v>9141</v>
      </c>
      <c r="G547" s="36" t="s">
        <v>9142</v>
      </c>
      <c r="H547" s="36" t="s">
        <v>9143</v>
      </c>
      <c r="I547" s="36" t="s">
        <v>9144</v>
      </c>
      <c r="J547" s="36" t="s">
        <v>9145</v>
      </c>
      <c r="K547" s="36" t="s">
        <v>9146</v>
      </c>
      <c r="L547" s="36" t="s">
        <v>9147</v>
      </c>
      <c r="M547" s="36" t="s">
        <v>9148</v>
      </c>
      <c r="N547" s="36" t="s">
        <v>9149</v>
      </c>
      <c r="O547" s="36" t="s">
        <v>9150</v>
      </c>
      <c r="P547" s="36" t="s">
        <v>9137</v>
      </c>
    </row>
    <row r="548" spans="1:16">
      <c r="A548" s="139">
        <v>547</v>
      </c>
      <c r="B548" s="36" t="s">
        <v>1666</v>
      </c>
      <c r="C548" s="36" t="s">
        <v>9151</v>
      </c>
      <c r="D548" s="36" t="s">
        <v>9152</v>
      </c>
      <c r="E548" s="36" t="s">
        <v>9153</v>
      </c>
      <c r="F548" s="36" t="s">
        <v>9154</v>
      </c>
      <c r="G548" s="36" t="s">
        <v>9155</v>
      </c>
      <c r="H548" s="36" t="s">
        <v>9156</v>
      </c>
      <c r="I548" s="36" t="s">
        <v>9157</v>
      </c>
      <c r="J548" s="36" t="s">
        <v>9158</v>
      </c>
      <c r="K548" s="36" t="s">
        <v>9159</v>
      </c>
      <c r="L548" s="36" t="s">
        <v>9158</v>
      </c>
      <c r="M548" s="36" t="s">
        <v>9158</v>
      </c>
      <c r="N548" s="36" t="s">
        <v>9158</v>
      </c>
      <c r="O548" s="36" t="s">
        <v>9159</v>
      </c>
      <c r="P548" s="36" t="s">
        <v>1666</v>
      </c>
    </row>
    <row r="549" spans="1:16">
      <c r="A549" s="139">
        <v>548</v>
      </c>
      <c r="B549" s="36" t="s">
        <v>9160</v>
      </c>
      <c r="C549" s="36" t="s">
        <v>9160</v>
      </c>
      <c r="D549" s="36" t="s">
        <v>9160</v>
      </c>
      <c r="E549" s="36" t="s">
        <v>9160</v>
      </c>
      <c r="F549" s="36" t="s">
        <v>9160</v>
      </c>
      <c r="G549" s="36" t="s">
        <v>9160</v>
      </c>
      <c r="H549" s="36" t="s">
        <v>9160</v>
      </c>
      <c r="I549" s="36" t="s">
        <v>9160</v>
      </c>
      <c r="J549" s="36" t="s">
        <v>9160</v>
      </c>
      <c r="K549" s="36" t="s">
        <v>9160</v>
      </c>
      <c r="L549" s="36" t="s">
        <v>9160</v>
      </c>
      <c r="M549" s="36" t="s">
        <v>9160</v>
      </c>
      <c r="N549" s="36" t="s">
        <v>9160</v>
      </c>
      <c r="O549" s="36" t="s">
        <v>9160</v>
      </c>
      <c r="P549" s="36" t="s">
        <v>9160</v>
      </c>
    </row>
    <row r="550" spans="1:16">
      <c r="A550" s="139">
        <v>549</v>
      </c>
      <c r="B550" s="36" t="s">
        <v>9161</v>
      </c>
      <c r="C550" s="36" t="s">
        <v>9162</v>
      </c>
      <c r="D550" s="36" t="s">
        <v>9163</v>
      </c>
      <c r="E550" s="36" t="s">
        <v>9164</v>
      </c>
      <c r="F550" s="36" t="s">
        <v>9165</v>
      </c>
      <c r="G550" s="36" t="s">
        <v>9166</v>
      </c>
      <c r="H550" s="36" t="s">
        <v>9167</v>
      </c>
      <c r="I550" s="36" t="s">
        <v>9168</v>
      </c>
      <c r="J550" s="36" t="s">
        <v>9169</v>
      </c>
      <c r="K550" s="36" t="s">
        <v>9170</v>
      </c>
      <c r="L550" s="36" t="s">
        <v>9171</v>
      </c>
      <c r="M550" s="36" t="s">
        <v>9172</v>
      </c>
      <c r="N550" s="36" t="s">
        <v>9173</v>
      </c>
      <c r="O550" s="36" t="s">
        <v>9174</v>
      </c>
      <c r="P550" s="36" t="s">
        <v>9161</v>
      </c>
    </row>
    <row r="551" spans="1:16">
      <c r="A551" s="139">
        <v>550</v>
      </c>
      <c r="B551" s="36" t="s">
        <v>9175</v>
      </c>
      <c r="C551" s="36" t="s">
        <v>9176</v>
      </c>
      <c r="D551" s="36" t="s">
        <v>9177</v>
      </c>
      <c r="E551" s="36" t="s">
        <v>9178</v>
      </c>
      <c r="F551" s="36" t="s">
        <v>9179</v>
      </c>
      <c r="G551" s="36" t="s">
        <v>9180</v>
      </c>
      <c r="H551" s="36" t="s">
        <v>9181</v>
      </c>
      <c r="I551" s="36" t="s">
        <v>9182</v>
      </c>
      <c r="J551" s="36" t="s">
        <v>9183</v>
      </c>
      <c r="K551" s="36" t="s">
        <v>9184</v>
      </c>
      <c r="L551" s="36" t="s">
        <v>9185</v>
      </c>
      <c r="M551" s="36" t="s">
        <v>9186</v>
      </c>
      <c r="N551" s="36" t="s">
        <v>9187</v>
      </c>
      <c r="O551" s="36" t="s">
        <v>9188</v>
      </c>
      <c r="P551" s="36" t="s">
        <v>9175</v>
      </c>
    </row>
    <row r="552" spans="1:16">
      <c r="A552" s="139">
        <v>551</v>
      </c>
      <c r="B552" s="36" t="s">
        <v>1667</v>
      </c>
      <c r="C552" s="36" t="s">
        <v>9189</v>
      </c>
      <c r="D552" s="36" t="s">
        <v>9189</v>
      </c>
      <c r="E552" s="36" t="s">
        <v>9190</v>
      </c>
      <c r="F552" s="36" t="s">
        <v>9191</v>
      </c>
      <c r="G552" s="36" t="s">
        <v>9192</v>
      </c>
      <c r="H552" s="36" t="s">
        <v>9193</v>
      </c>
      <c r="I552" s="36" t="s">
        <v>9194</v>
      </c>
      <c r="J552" s="36" t="s">
        <v>1667</v>
      </c>
      <c r="K552" s="36" t="s">
        <v>9195</v>
      </c>
      <c r="L552" s="36" t="s">
        <v>9196</v>
      </c>
      <c r="M552" s="36" t="s">
        <v>1667</v>
      </c>
      <c r="N552" s="36" t="s">
        <v>1667</v>
      </c>
      <c r="O552" s="36" t="s">
        <v>9197</v>
      </c>
      <c r="P552" s="36" t="s">
        <v>1667</v>
      </c>
    </row>
    <row r="553" spans="1:16">
      <c r="A553" s="139">
        <v>552</v>
      </c>
      <c r="B553" s="36" t="s">
        <v>9198</v>
      </c>
      <c r="C553" s="36" t="s">
        <v>9199</v>
      </c>
      <c r="D553" s="36" t="s">
        <v>9200</v>
      </c>
      <c r="E553" s="36" t="s">
        <v>9201</v>
      </c>
      <c r="F553" s="36" t="s">
        <v>9202</v>
      </c>
      <c r="G553" s="36" t="s">
        <v>9203</v>
      </c>
      <c r="H553" s="36" t="s">
        <v>9204</v>
      </c>
      <c r="I553" s="36" t="s">
        <v>9205</v>
      </c>
      <c r="J553" s="36" t="s">
        <v>9206</v>
      </c>
      <c r="K553" s="36" t="s">
        <v>9207</v>
      </c>
      <c r="L553" s="36" t="s">
        <v>9208</v>
      </c>
      <c r="M553" s="36" t="s">
        <v>9209</v>
      </c>
      <c r="N553" s="36" t="s">
        <v>9210</v>
      </c>
      <c r="O553" s="36" t="s">
        <v>9211</v>
      </c>
      <c r="P553" s="36" t="s">
        <v>9198</v>
      </c>
    </row>
    <row r="554" spans="1:16">
      <c r="A554" s="139">
        <v>553</v>
      </c>
      <c r="B554" s="36" t="s">
        <v>9212</v>
      </c>
      <c r="C554" s="36" t="s">
        <v>9213</v>
      </c>
      <c r="D554" s="36" t="s">
        <v>9214</v>
      </c>
      <c r="E554" s="36" t="s">
        <v>9215</v>
      </c>
      <c r="F554" s="36" t="s">
        <v>9216</v>
      </c>
      <c r="G554" s="36" t="s">
        <v>9217</v>
      </c>
      <c r="H554" s="36" t="s">
        <v>9218</v>
      </c>
      <c r="I554" s="36" t="s">
        <v>9219</v>
      </c>
      <c r="J554" s="36" t="s">
        <v>9220</v>
      </c>
      <c r="K554" s="36" t="s">
        <v>9221</v>
      </c>
      <c r="L554" s="36" t="s">
        <v>9222</v>
      </c>
      <c r="M554" s="36" t="s">
        <v>9223</v>
      </c>
      <c r="N554" s="36" t="s">
        <v>9224</v>
      </c>
      <c r="O554" s="36" t="s">
        <v>9225</v>
      </c>
      <c r="P554" s="36" t="s">
        <v>9212</v>
      </c>
    </row>
    <row r="555" spans="1:16">
      <c r="A555" s="139">
        <v>554</v>
      </c>
      <c r="B555" s="36" t="s">
        <v>9226</v>
      </c>
      <c r="C555" s="36" t="s">
        <v>9227</v>
      </c>
      <c r="D555" s="36" t="s">
        <v>9228</v>
      </c>
      <c r="E555" s="36" t="s">
        <v>9229</v>
      </c>
      <c r="F555" s="36" t="s">
        <v>9230</v>
      </c>
      <c r="G555" s="36" t="s">
        <v>9231</v>
      </c>
      <c r="H555" s="36" t="s">
        <v>9232</v>
      </c>
      <c r="I555" s="36" t="s">
        <v>9233</v>
      </c>
      <c r="J555" s="36" t="s">
        <v>9234</v>
      </c>
      <c r="K555" s="36" t="s">
        <v>9235</v>
      </c>
      <c r="L555" s="36" t="s">
        <v>9236</v>
      </c>
      <c r="M555" s="36" t="s">
        <v>9237</v>
      </c>
      <c r="N555" s="36" t="s">
        <v>9238</v>
      </c>
      <c r="O555" s="36" t="s">
        <v>9239</v>
      </c>
      <c r="P555" s="36" t="s">
        <v>9226</v>
      </c>
    </row>
    <row r="556" spans="1:16">
      <c r="A556" s="139">
        <v>555</v>
      </c>
      <c r="B556" s="36" t="s">
        <v>9240</v>
      </c>
      <c r="C556" s="36" t="s">
        <v>9241</v>
      </c>
      <c r="D556" s="36" t="s">
        <v>9242</v>
      </c>
      <c r="E556" s="36" t="s">
        <v>9243</v>
      </c>
      <c r="F556" s="36" t="s">
        <v>9244</v>
      </c>
      <c r="G556" s="36" t="s">
        <v>9245</v>
      </c>
      <c r="H556" s="36" t="s">
        <v>9246</v>
      </c>
      <c r="I556" s="36" t="s">
        <v>9247</v>
      </c>
      <c r="J556" s="36" t="s">
        <v>9248</v>
      </c>
      <c r="K556" s="36" t="s">
        <v>9249</v>
      </c>
      <c r="L556" s="36" t="s">
        <v>9250</v>
      </c>
      <c r="M556" s="36" t="s">
        <v>9251</v>
      </c>
      <c r="N556" s="36" t="s">
        <v>9252</v>
      </c>
      <c r="O556" s="36" t="s">
        <v>9253</v>
      </c>
      <c r="P556" s="36" t="s">
        <v>9240</v>
      </c>
    </row>
    <row r="557" spans="1:16">
      <c r="A557" s="139">
        <v>556</v>
      </c>
      <c r="B557" s="36" t="s">
        <v>9254</v>
      </c>
      <c r="C557" s="36" t="s">
        <v>9255</v>
      </c>
      <c r="D557" s="36" t="s">
        <v>9256</v>
      </c>
      <c r="E557" s="36" t="s">
        <v>9257</v>
      </c>
      <c r="F557" s="36" t="s">
        <v>9258</v>
      </c>
      <c r="G557" s="36" t="s">
        <v>9259</v>
      </c>
      <c r="H557" s="36" t="s">
        <v>9260</v>
      </c>
      <c r="I557" s="36" t="s">
        <v>9261</v>
      </c>
      <c r="J557" s="36" t="s">
        <v>9262</v>
      </c>
      <c r="K557" s="36" t="s">
        <v>9263</v>
      </c>
      <c r="L557" s="36" t="s">
        <v>9264</v>
      </c>
      <c r="M557" s="36" t="s">
        <v>9265</v>
      </c>
      <c r="N557" s="36" t="s">
        <v>9266</v>
      </c>
      <c r="O557" s="36" t="s">
        <v>9267</v>
      </c>
      <c r="P557" s="36" t="s">
        <v>9254</v>
      </c>
    </row>
    <row r="558" spans="1:16">
      <c r="A558" s="139">
        <v>557</v>
      </c>
      <c r="B558" s="36" t="s">
        <v>9268</v>
      </c>
      <c r="C558" s="36" t="s">
        <v>9269</v>
      </c>
      <c r="D558" s="36" t="s">
        <v>9270</v>
      </c>
      <c r="E558" s="36" t="s">
        <v>9271</v>
      </c>
      <c r="F558" s="36" t="s">
        <v>9272</v>
      </c>
      <c r="G558" s="36" t="s">
        <v>9273</v>
      </c>
      <c r="H558" s="36" t="s">
        <v>9274</v>
      </c>
      <c r="I558" s="36" t="s">
        <v>9275</v>
      </c>
      <c r="J558" s="36" t="s">
        <v>9276</v>
      </c>
      <c r="K558" s="36" t="s">
        <v>9277</v>
      </c>
      <c r="L558" s="36" t="s">
        <v>9278</v>
      </c>
      <c r="M558" s="36" t="s">
        <v>9279</v>
      </c>
      <c r="N558" s="36" t="s">
        <v>9280</v>
      </c>
      <c r="O558" s="36" t="s">
        <v>9281</v>
      </c>
      <c r="P558" s="36" t="s">
        <v>9268</v>
      </c>
    </row>
    <row r="559" spans="1:16">
      <c r="A559" s="139">
        <v>558</v>
      </c>
      <c r="B559" s="36" t="s">
        <v>9282</v>
      </c>
      <c r="C559" s="36" t="s">
        <v>9283</v>
      </c>
      <c r="D559" s="36" t="s">
        <v>9284</v>
      </c>
      <c r="E559" s="36" t="s">
        <v>9285</v>
      </c>
      <c r="F559" s="36" t="s">
        <v>9286</v>
      </c>
      <c r="G559" s="36" t="s">
        <v>9287</v>
      </c>
      <c r="H559" s="36" t="s">
        <v>9288</v>
      </c>
      <c r="I559" s="36" t="s">
        <v>9289</v>
      </c>
      <c r="J559" s="36" t="s">
        <v>9290</v>
      </c>
      <c r="K559" s="36" t="s">
        <v>9291</v>
      </c>
      <c r="L559" s="36" t="s">
        <v>9292</v>
      </c>
      <c r="M559" s="36" t="s">
        <v>9293</v>
      </c>
      <c r="N559" s="36" t="s">
        <v>9294</v>
      </c>
      <c r="O559" s="36" t="s">
        <v>9295</v>
      </c>
      <c r="P559" s="36" t="s">
        <v>9282</v>
      </c>
    </row>
    <row r="560" spans="1:16">
      <c r="A560" s="139">
        <v>559</v>
      </c>
      <c r="B560" s="36" t="s">
        <v>9296</v>
      </c>
      <c r="C560" s="36" t="s">
        <v>9297</v>
      </c>
      <c r="D560" s="36" t="s">
        <v>9298</v>
      </c>
      <c r="E560" s="36" t="s">
        <v>9299</v>
      </c>
      <c r="F560" s="36" t="s">
        <v>9300</v>
      </c>
      <c r="G560" s="36" t="s">
        <v>9301</v>
      </c>
      <c r="H560" s="36" t="s">
        <v>9302</v>
      </c>
      <c r="I560" s="36" t="s">
        <v>9303</v>
      </c>
      <c r="J560" s="36" t="s">
        <v>9304</v>
      </c>
      <c r="K560" s="36" t="s">
        <v>9305</v>
      </c>
      <c r="L560" s="36" t="s">
        <v>9306</v>
      </c>
      <c r="M560" s="36" t="s">
        <v>9307</v>
      </c>
      <c r="N560" s="36" t="s">
        <v>9308</v>
      </c>
      <c r="O560" s="36" t="s">
        <v>9309</v>
      </c>
      <c r="P560" s="36" t="s">
        <v>9296</v>
      </c>
    </row>
    <row r="561" spans="1:16">
      <c r="A561" s="139">
        <v>560</v>
      </c>
      <c r="B561" s="36" t="s">
        <v>9310</v>
      </c>
      <c r="C561" s="36" t="s">
        <v>9311</v>
      </c>
      <c r="D561" s="36" t="s">
        <v>9312</v>
      </c>
      <c r="E561" s="36" t="s">
        <v>9313</v>
      </c>
      <c r="F561" s="36" t="s">
        <v>9314</v>
      </c>
      <c r="G561" s="36" t="s">
        <v>9315</v>
      </c>
      <c r="H561" s="36" t="s">
        <v>9316</v>
      </c>
      <c r="I561" s="36" t="s">
        <v>9317</v>
      </c>
      <c r="J561" s="36" t="s">
        <v>9318</v>
      </c>
      <c r="K561" s="36" t="s">
        <v>9319</v>
      </c>
      <c r="L561" s="36" t="s">
        <v>9320</v>
      </c>
      <c r="M561" s="36" t="s">
        <v>9321</v>
      </c>
      <c r="N561" s="36" t="s">
        <v>9322</v>
      </c>
      <c r="O561" s="36" t="s">
        <v>9323</v>
      </c>
      <c r="P561" s="36" t="s">
        <v>9310</v>
      </c>
    </row>
    <row r="562" spans="1:16">
      <c r="A562" s="139">
        <v>561</v>
      </c>
      <c r="B562" s="36" t="s">
        <v>9324</v>
      </c>
      <c r="C562" s="36" t="s">
        <v>9325</v>
      </c>
      <c r="D562" s="36" t="s">
        <v>9326</v>
      </c>
      <c r="E562" s="36" t="s">
        <v>9327</v>
      </c>
      <c r="F562" s="36" t="s">
        <v>9328</v>
      </c>
      <c r="G562" s="36" t="s">
        <v>9329</v>
      </c>
      <c r="H562" s="36" t="s">
        <v>9330</v>
      </c>
      <c r="I562" s="36" t="s">
        <v>9331</v>
      </c>
      <c r="J562" s="36" t="s">
        <v>9332</v>
      </c>
      <c r="K562" s="36" t="s">
        <v>9333</v>
      </c>
      <c r="L562" s="36" t="s">
        <v>9334</v>
      </c>
      <c r="M562" s="36" t="s">
        <v>9335</v>
      </c>
      <c r="N562" s="36" t="s">
        <v>9334</v>
      </c>
      <c r="O562" s="36" t="s">
        <v>9336</v>
      </c>
      <c r="P562" s="36" t="s">
        <v>9324</v>
      </c>
    </row>
    <row r="563" spans="1:16">
      <c r="A563" s="139">
        <v>562</v>
      </c>
      <c r="B563" s="36" t="s">
        <v>9337</v>
      </c>
      <c r="C563" s="36" t="s">
        <v>9338</v>
      </c>
      <c r="D563" s="36" t="s">
        <v>9339</v>
      </c>
      <c r="E563" s="36" t="s">
        <v>9340</v>
      </c>
      <c r="F563" s="36" t="s">
        <v>9341</v>
      </c>
      <c r="G563" s="36" t="s">
        <v>9342</v>
      </c>
      <c r="H563" s="36" t="s">
        <v>9343</v>
      </c>
      <c r="I563" s="36" t="s">
        <v>9344</v>
      </c>
      <c r="J563" s="36" t="s">
        <v>9345</v>
      </c>
      <c r="K563" s="36" t="s">
        <v>9346</v>
      </c>
      <c r="L563" s="36" t="s">
        <v>9347</v>
      </c>
      <c r="M563" s="36" t="s">
        <v>9348</v>
      </c>
      <c r="N563" s="36" t="s">
        <v>9347</v>
      </c>
      <c r="O563" s="36" t="s">
        <v>9349</v>
      </c>
      <c r="P563" s="36" t="s">
        <v>9337</v>
      </c>
    </row>
    <row r="564" spans="1:16">
      <c r="A564" s="139">
        <v>563</v>
      </c>
      <c r="B564" s="36" t="s">
        <v>9350</v>
      </c>
      <c r="C564" s="36" t="s">
        <v>9351</v>
      </c>
      <c r="D564" s="36" t="s">
        <v>9352</v>
      </c>
      <c r="E564" s="36" t="s">
        <v>9353</v>
      </c>
      <c r="F564" s="36" t="s">
        <v>9354</v>
      </c>
      <c r="G564" s="36" t="s">
        <v>9355</v>
      </c>
      <c r="H564" s="36" t="s">
        <v>9356</v>
      </c>
      <c r="I564" s="36" t="s">
        <v>9357</v>
      </c>
      <c r="J564" s="36" t="s">
        <v>9358</v>
      </c>
      <c r="K564" s="36" t="s">
        <v>9359</v>
      </c>
      <c r="L564" s="36" t="s">
        <v>9360</v>
      </c>
      <c r="M564" s="36" t="s">
        <v>9361</v>
      </c>
      <c r="N564" s="36" t="s">
        <v>9360</v>
      </c>
      <c r="O564" s="36" t="s">
        <v>9362</v>
      </c>
      <c r="P564" s="36" t="s">
        <v>9350</v>
      </c>
    </row>
    <row r="565" spans="1:16">
      <c r="A565" s="139">
        <v>564</v>
      </c>
      <c r="B565" s="36" t="s">
        <v>9363</v>
      </c>
      <c r="C565" s="36" t="s">
        <v>9364</v>
      </c>
      <c r="D565" s="36" t="s">
        <v>9365</v>
      </c>
      <c r="E565" s="36" t="s">
        <v>9366</v>
      </c>
      <c r="F565" s="36" t="s">
        <v>9367</v>
      </c>
      <c r="G565" s="36" t="s">
        <v>9368</v>
      </c>
      <c r="H565" s="36" t="s">
        <v>9369</v>
      </c>
      <c r="I565" s="36" t="s">
        <v>9370</v>
      </c>
      <c r="J565" s="36" t="s">
        <v>9371</v>
      </c>
      <c r="K565" s="36" t="s">
        <v>9372</v>
      </c>
      <c r="L565" s="36" t="s">
        <v>9373</v>
      </c>
      <c r="M565" s="36" t="s">
        <v>9374</v>
      </c>
      <c r="N565" s="36" t="s">
        <v>9375</v>
      </c>
      <c r="O565" s="36" t="s">
        <v>9376</v>
      </c>
      <c r="P565" s="36" t="s">
        <v>9363</v>
      </c>
    </row>
    <row r="566" spans="1:16">
      <c r="A566" s="139">
        <v>565</v>
      </c>
      <c r="B566" s="36" t="s">
        <v>9377</v>
      </c>
      <c r="C566" s="36" t="s">
        <v>9378</v>
      </c>
      <c r="D566" s="36" t="s">
        <v>9379</v>
      </c>
      <c r="E566" s="36" t="s">
        <v>9380</v>
      </c>
      <c r="F566" s="36" t="s">
        <v>9381</v>
      </c>
      <c r="G566" s="36" t="s">
        <v>9382</v>
      </c>
      <c r="H566" s="36" t="s">
        <v>9383</v>
      </c>
      <c r="I566" s="36" t="s">
        <v>9384</v>
      </c>
      <c r="J566" s="36" t="s">
        <v>9385</v>
      </c>
      <c r="K566" s="36" t="s">
        <v>9386</v>
      </c>
      <c r="L566" s="36" t="s">
        <v>9387</v>
      </c>
      <c r="M566" s="36" t="s">
        <v>9388</v>
      </c>
      <c r="N566" s="36" t="s">
        <v>9389</v>
      </c>
      <c r="O566" s="36" t="s">
        <v>9390</v>
      </c>
      <c r="P566" s="36" t="s">
        <v>9377</v>
      </c>
    </row>
    <row r="567" spans="1:16">
      <c r="A567" s="139">
        <v>566</v>
      </c>
      <c r="B567" s="36" t="s">
        <v>9391</v>
      </c>
      <c r="C567" s="36" t="s">
        <v>9392</v>
      </c>
      <c r="D567" s="36" t="s">
        <v>9298</v>
      </c>
      <c r="E567" s="36" t="s">
        <v>9299</v>
      </c>
      <c r="F567" s="36" t="s">
        <v>9393</v>
      </c>
      <c r="G567" s="36" t="s">
        <v>9301</v>
      </c>
      <c r="H567" s="36" t="s">
        <v>9394</v>
      </c>
      <c r="I567" s="36" t="s">
        <v>9395</v>
      </c>
      <c r="J567" s="36" t="s">
        <v>9396</v>
      </c>
      <c r="K567" s="36" t="s">
        <v>9397</v>
      </c>
      <c r="L567" s="36" t="s">
        <v>9398</v>
      </c>
      <c r="M567" s="36" t="s">
        <v>9399</v>
      </c>
      <c r="N567" s="36" t="s">
        <v>9400</v>
      </c>
      <c r="O567" s="36" t="s">
        <v>9401</v>
      </c>
      <c r="P567" s="36" t="s">
        <v>9391</v>
      </c>
    </row>
    <row r="568" spans="1:16">
      <c r="A568" s="139">
        <v>567</v>
      </c>
      <c r="B568" s="36" t="s">
        <v>9402</v>
      </c>
      <c r="C568" s="36" t="s">
        <v>9403</v>
      </c>
      <c r="D568" s="36" t="s">
        <v>9404</v>
      </c>
      <c r="E568" s="36" t="s">
        <v>9405</v>
      </c>
      <c r="F568" s="36" t="s">
        <v>9406</v>
      </c>
      <c r="G568" s="36" t="s">
        <v>9407</v>
      </c>
      <c r="H568" s="36" t="s">
        <v>9408</v>
      </c>
      <c r="I568" s="36" t="s">
        <v>9409</v>
      </c>
      <c r="J568" s="36" t="s">
        <v>9410</v>
      </c>
      <c r="K568" s="36" t="s">
        <v>9411</v>
      </c>
      <c r="L568" s="36" t="s">
        <v>9412</v>
      </c>
      <c r="M568" s="36" t="s">
        <v>9413</v>
      </c>
      <c r="N568" s="36" t="s">
        <v>9414</v>
      </c>
      <c r="O568" s="36" t="s">
        <v>9415</v>
      </c>
      <c r="P568" s="36" t="s">
        <v>9402</v>
      </c>
    </row>
    <row r="569" spans="1:16">
      <c r="A569" s="139">
        <v>568</v>
      </c>
      <c r="B569" s="36" t="s">
        <v>9416</v>
      </c>
      <c r="C569" s="36" t="s">
        <v>9417</v>
      </c>
      <c r="D569" s="36" t="s">
        <v>9418</v>
      </c>
      <c r="E569" s="36" t="s">
        <v>9419</v>
      </c>
      <c r="F569" s="36" t="s">
        <v>9420</v>
      </c>
      <c r="G569" s="36" t="s">
        <v>9421</v>
      </c>
      <c r="H569" s="36" t="s">
        <v>9422</v>
      </c>
      <c r="I569" s="36" t="s">
        <v>9423</v>
      </c>
      <c r="J569" s="36" t="s">
        <v>9424</v>
      </c>
      <c r="K569" s="36" t="s">
        <v>9425</v>
      </c>
      <c r="L569" s="36" t="s">
        <v>9426</v>
      </c>
      <c r="M569" s="36" t="s">
        <v>9427</v>
      </c>
      <c r="N569" s="36" t="s">
        <v>9428</v>
      </c>
      <c r="O569" s="36" t="s">
        <v>9429</v>
      </c>
      <c r="P569" s="36" t="s">
        <v>9416</v>
      </c>
    </row>
    <row r="570" spans="1:16">
      <c r="A570" s="139">
        <v>569</v>
      </c>
      <c r="B570" s="36" t="s">
        <v>9430</v>
      </c>
      <c r="C570" s="36" t="s">
        <v>9392</v>
      </c>
      <c r="D570" s="36" t="s">
        <v>9298</v>
      </c>
      <c r="E570" s="36" t="s">
        <v>9299</v>
      </c>
      <c r="F570" s="36" t="s">
        <v>9300</v>
      </c>
      <c r="G570" s="36" t="s">
        <v>9431</v>
      </c>
      <c r="H570" s="36" t="s">
        <v>9432</v>
      </c>
      <c r="I570" s="36" t="s">
        <v>9433</v>
      </c>
      <c r="J570" s="36" t="s">
        <v>9434</v>
      </c>
      <c r="K570" s="36" t="s">
        <v>9435</v>
      </c>
      <c r="L570" s="36" t="s">
        <v>9436</v>
      </c>
      <c r="M570" s="36" t="s">
        <v>9437</v>
      </c>
      <c r="N570" s="36" t="s">
        <v>9438</v>
      </c>
      <c r="O570" s="36" t="s">
        <v>9439</v>
      </c>
      <c r="P570" s="36" t="s">
        <v>9430</v>
      </c>
    </row>
    <row r="571" spans="1:16">
      <c r="A571" s="139">
        <v>570</v>
      </c>
      <c r="B571" s="36" t="s">
        <v>9440</v>
      </c>
      <c r="C571" s="36" t="s">
        <v>9392</v>
      </c>
      <c r="D571" s="36" t="s">
        <v>9298</v>
      </c>
      <c r="E571" s="36" t="s">
        <v>9299</v>
      </c>
      <c r="F571" s="36" t="s">
        <v>9441</v>
      </c>
      <c r="G571" s="36" t="s">
        <v>9442</v>
      </c>
      <c r="H571" s="36" t="s">
        <v>9443</v>
      </c>
      <c r="I571" s="36" t="s">
        <v>9395</v>
      </c>
      <c r="J571" s="36" t="s">
        <v>9444</v>
      </c>
      <c r="K571" s="36" t="s">
        <v>9445</v>
      </c>
      <c r="L571" s="36" t="s">
        <v>9446</v>
      </c>
      <c r="M571" s="36" t="s">
        <v>9447</v>
      </c>
      <c r="N571" s="36" t="s">
        <v>9448</v>
      </c>
      <c r="O571" s="36" t="s">
        <v>9449</v>
      </c>
      <c r="P571" s="36" t="s">
        <v>9440</v>
      </c>
    </row>
    <row r="572" spans="1:16">
      <c r="A572" s="139">
        <v>571</v>
      </c>
      <c r="B572" s="36" t="s">
        <v>9450</v>
      </c>
      <c r="C572" s="36" t="s">
        <v>9451</v>
      </c>
      <c r="D572" s="36" t="s">
        <v>9452</v>
      </c>
      <c r="E572" s="36" t="s">
        <v>9299</v>
      </c>
      <c r="F572" s="36" t="s">
        <v>9441</v>
      </c>
      <c r="G572" s="36" t="s">
        <v>9453</v>
      </c>
      <c r="H572" s="36" t="s">
        <v>9454</v>
      </c>
      <c r="I572" s="36" t="s">
        <v>9455</v>
      </c>
      <c r="J572" s="36" t="s">
        <v>9456</v>
      </c>
      <c r="K572" s="36" t="s">
        <v>9445</v>
      </c>
      <c r="L572" s="36" t="s">
        <v>9457</v>
      </c>
      <c r="M572" s="36" t="s">
        <v>9458</v>
      </c>
      <c r="N572" s="36" t="s">
        <v>9459</v>
      </c>
      <c r="O572" s="36" t="s">
        <v>9460</v>
      </c>
      <c r="P572" s="36" t="s">
        <v>9450</v>
      </c>
    </row>
    <row r="573" spans="1:16">
      <c r="A573" s="139">
        <v>572</v>
      </c>
      <c r="B573" s="36" t="s">
        <v>9461</v>
      </c>
      <c r="C573" s="36" t="s">
        <v>9462</v>
      </c>
      <c r="D573" s="36" t="s">
        <v>9463</v>
      </c>
      <c r="E573" s="36" t="s">
        <v>9464</v>
      </c>
      <c r="F573" s="36" t="s">
        <v>9465</v>
      </c>
      <c r="G573" s="36" t="s">
        <v>9464</v>
      </c>
      <c r="H573" s="36" t="s">
        <v>9466</v>
      </c>
      <c r="I573" s="36" t="s">
        <v>9464</v>
      </c>
      <c r="J573" s="36" t="s">
        <v>9467</v>
      </c>
      <c r="K573" s="36" t="s">
        <v>9464</v>
      </c>
      <c r="L573" s="36" t="s">
        <v>9468</v>
      </c>
      <c r="M573" s="36" t="s">
        <v>9467</v>
      </c>
      <c r="N573" s="36" t="s">
        <v>9469</v>
      </c>
      <c r="O573" s="36" t="s">
        <v>9464</v>
      </c>
      <c r="P573" s="36" t="s">
        <v>9467</v>
      </c>
    </row>
    <row r="574" spans="1:16">
      <c r="A574" s="139">
        <v>573</v>
      </c>
      <c r="B574" s="36" t="s">
        <v>9470</v>
      </c>
      <c r="C574" s="36" t="s">
        <v>9471</v>
      </c>
      <c r="D574" s="36" t="s">
        <v>9472</v>
      </c>
      <c r="E574" s="36" t="s">
        <v>9473</v>
      </c>
      <c r="F574" s="36" t="s">
        <v>9474</v>
      </c>
      <c r="G574" s="36" t="s">
        <v>9475</v>
      </c>
      <c r="H574" s="36" t="s">
        <v>9476</v>
      </c>
      <c r="I574" s="36" t="s">
        <v>9477</v>
      </c>
      <c r="J574" s="36" t="s">
        <v>9478</v>
      </c>
      <c r="K574" s="36" t="s">
        <v>9479</v>
      </c>
      <c r="L574" s="36" t="s">
        <v>9480</v>
      </c>
      <c r="M574" s="36" t="s">
        <v>9481</v>
      </c>
      <c r="N574" s="36" t="s">
        <v>9482</v>
      </c>
      <c r="O574" s="36" t="s">
        <v>9483</v>
      </c>
      <c r="P574" s="36" t="s">
        <v>9470</v>
      </c>
    </row>
    <row r="575" spans="1:16">
      <c r="A575" s="139">
        <v>574</v>
      </c>
      <c r="B575" s="36" t="s">
        <v>9484</v>
      </c>
      <c r="C575" s="36" t="s">
        <v>9485</v>
      </c>
      <c r="D575" s="36" t="s">
        <v>9486</v>
      </c>
      <c r="E575" s="36" t="s">
        <v>9487</v>
      </c>
      <c r="F575" s="36" t="s">
        <v>9488</v>
      </c>
      <c r="G575" s="36" t="s">
        <v>9489</v>
      </c>
      <c r="H575" s="36" t="s">
        <v>9490</v>
      </c>
      <c r="I575" s="36" t="s">
        <v>9491</v>
      </c>
      <c r="J575" s="36" t="s">
        <v>9492</v>
      </c>
      <c r="K575" s="36" t="s">
        <v>9493</v>
      </c>
      <c r="L575" s="36" t="s">
        <v>9494</v>
      </c>
      <c r="M575" s="36" t="s">
        <v>9495</v>
      </c>
      <c r="N575" s="36" t="s">
        <v>9496</v>
      </c>
      <c r="O575" s="36" t="s">
        <v>9497</v>
      </c>
      <c r="P575" s="36" t="s">
        <v>9484</v>
      </c>
    </row>
    <row r="576" spans="1:16">
      <c r="A576" s="139">
        <v>575</v>
      </c>
      <c r="B576" s="36" t="s">
        <v>9498</v>
      </c>
      <c r="C576" s="36" t="s">
        <v>9499</v>
      </c>
      <c r="D576" s="36" t="s">
        <v>9500</v>
      </c>
      <c r="E576" s="36" t="s">
        <v>9501</v>
      </c>
      <c r="F576" s="36" t="s">
        <v>9502</v>
      </c>
      <c r="G576" s="36" t="s">
        <v>9503</v>
      </c>
      <c r="H576" s="36" t="s">
        <v>9504</v>
      </c>
      <c r="I576" s="36" t="s">
        <v>9505</v>
      </c>
      <c r="J576" s="36" t="s">
        <v>9506</v>
      </c>
      <c r="K576" s="36" t="s">
        <v>9507</v>
      </c>
      <c r="L576" s="36" t="s">
        <v>9508</v>
      </c>
      <c r="M576" s="36" t="s">
        <v>9509</v>
      </c>
      <c r="N576" s="36" t="s">
        <v>9509</v>
      </c>
      <c r="O576" s="36" t="s">
        <v>9510</v>
      </c>
      <c r="P576" s="36" t="s">
        <v>9498</v>
      </c>
    </row>
    <row r="577" spans="1:16">
      <c r="A577" s="139">
        <v>576</v>
      </c>
      <c r="B577" s="36" t="s">
        <v>9511</v>
      </c>
      <c r="C577" s="36" t="s">
        <v>9512</v>
      </c>
      <c r="D577" s="36" t="s">
        <v>9513</v>
      </c>
      <c r="E577" s="36" t="s">
        <v>9514</v>
      </c>
      <c r="F577" s="36" t="s">
        <v>9515</v>
      </c>
      <c r="G577" s="36" t="s">
        <v>9516</v>
      </c>
      <c r="H577" s="36" t="s">
        <v>9517</v>
      </c>
      <c r="I577" s="36" t="s">
        <v>9518</v>
      </c>
      <c r="J577" s="36" t="s">
        <v>9519</v>
      </c>
      <c r="K577" s="36" t="s">
        <v>9520</v>
      </c>
      <c r="L577" s="36" t="s">
        <v>9521</v>
      </c>
      <c r="M577" s="36" t="s">
        <v>9522</v>
      </c>
      <c r="N577" s="36" t="s">
        <v>9523</v>
      </c>
      <c r="O577" s="36" t="s">
        <v>9524</v>
      </c>
      <c r="P577" s="36" t="s">
        <v>9511</v>
      </c>
    </row>
    <row r="578" spans="1:16">
      <c r="A578" s="139">
        <v>577</v>
      </c>
      <c r="B578" s="36" t="s">
        <v>9525</v>
      </c>
      <c r="C578" s="36" t="s">
        <v>9526</v>
      </c>
      <c r="D578" s="36" t="s">
        <v>9527</v>
      </c>
      <c r="E578" s="36" t="s">
        <v>9528</v>
      </c>
      <c r="F578" s="36" t="s">
        <v>9529</v>
      </c>
      <c r="G578" s="36" t="s">
        <v>9530</v>
      </c>
      <c r="H578" s="36" t="s">
        <v>9531</v>
      </c>
      <c r="I578" s="36" t="s">
        <v>9532</v>
      </c>
      <c r="J578" s="36" t="s">
        <v>9533</v>
      </c>
      <c r="K578" s="36" t="s">
        <v>9534</v>
      </c>
      <c r="L578" s="36" t="s">
        <v>9535</v>
      </c>
      <c r="M578" s="36" t="s">
        <v>9536</v>
      </c>
      <c r="N578" s="36" t="s">
        <v>9537</v>
      </c>
      <c r="O578" s="36" t="s">
        <v>9538</v>
      </c>
      <c r="P578" s="36" t="s">
        <v>9525</v>
      </c>
    </row>
    <row r="579" spans="1:16">
      <c r="A579" s="139">
        <v>578</v>
      </c>
      <c r="B579" s="36" t="s">
        <v>9539</v>
      </c>
      <c r="C579" s="36" t="s">
        <v>9540</v>
      </c>
      <c r="D579" s="36" t="s">
        <v>9541</v>
      </c>
      <c r="E579" s="36" t="s">
        <v>9542</v>
      </c>
      <c r="F579" s="36" t="s">
        <v>9543</v>
      </c>
      <c r="G579" s="36" t="s">
        <v>9544</v>
      </c>
      <c r="H579" s="36" t="s">
        <v>9545</v>
      </c>
      <c r="I579" s="36" t="s">
        <v>9546</v>
      </c>
      <c r="J579" s="36" t="s">
        <v>9547</v>
      </c>
      <c r="K579" s="36" t="s">
        <v>9548</v>
      </c>
      <c r="L579" s="36" t="s">
        <v>9549</v>
      </c>
      <c r="M579" s="36" t="s">
        <v>9550</v>
      </c>
      <c r="N579" s="36" t="s">
        <v>9551</v>
      </c>
      <c r="O579" s="36" t="s">
        <v>9552</v>
      </c>
      <c r="P579" s="36" t="s">
        <v>9539</v>
      </c>
    </row>
    <row r="580" spans="1:16" ht="16.2">
      <c r="A580" s="139">
        <v>579</v>
      </c>
      <c r="B580" s="36" t="s">
        <v>9553</v>
      </c>
      <c r="C580" s="36" t="s">
        <v>9553</v>
      </c>
      <c r="D580" s="36" t="s">
        <v>9553</v>
      </c>
      <c r="E580" s="36" t="s">
        <v>9553</v>
      </c>
      <c r="F580" s="36" t="s">
        <v>9554</v>
      </c>
      <c r="G580" s="36" t="s">
        <v>9555</v>
      </c>
      <c r="H580" s="36" t="s">
        <v>9556</v>
      </c>
      <c r="I580" s="36" t="s">
        <v>9554</v>
      </c>
      <c r="J580" s="36" t="s">
        <v>9557</v>
      </c>
      <c r="K580" s="36" t="s">
        <v>9558</v>
      </c>
      <c r="L580" s="36" t="s">
        <v>9559</v>
      </c>
      <c r="M580" s="36" t="s">
        <v>9560</v>
      </c>
      <c r="N580" s="36" t="s">
        <v>9561</v>
      </c>
      <c r="O580" s="36" t="s">
        <v>9553</v>
      </c>
      <c r="P580" s="36" t="s">
        <v>9553</v>
      </c>
    </row>
    <row r="581" spans="1:16">
      <c r="A581" s="139">
        <v>580</v>
      </c>
      <c r="B581" s="36" t="s">
        <v>9562</v>
      </c>
      <c r="C581" s="36" t="s">
        <v>9563</v>
      </c>
      <c r="D581" s="36" t="s">
        <v>9564</v>
      </c>
      <c r="E581" s="36" t="s">
        <v>9565</v>
      </c>
      <c r="F581" s="36" t="s">
        <v>9566</v>
      </c>
      <c r="G581" s="36" t="s">
        <v>9567</v>
      </c>
      <c r="H581" s="36" t="s">
        <v>9568</v>
      </c>
      <c r="I581" s="36" t="s">
        <v>9569</v>
      </c>
      <c r="J581" s="36" t="s">
        <v>9570</v>
      </c>
      <c r="K581" s="36" t="s">
        <v>9571</v>
      </c>
      <c r="L581" s="36" t="s">
        <v>9572</v>
      </c>
      <c r="M581" s="36" t="s">
        <v>9573</v>
      </c>
      <c r="N581" s="36" t="s">
        <v>9573</v>
      </c>
      <c r="O581" s="36" t="s">
        <v>9574</v>
      </c>
      <c r="P581" s="36" t="s">
        <v>9562</v>
      </c>
    </row>
    <row r="582" spans="1:16">
      <c r="A582" s="139">
        <v>581</v>
      </c>
      <c r="B582" s="36" t="s">
        <v>9575</v>
      </c>
      <c r="C582" s="36" t="s">
        <v>9576</v>
      </c>
      <c r="D582" s="36" t="s">
        <v>9577</v>
      </c>
      <c r="E582" s="36" t="s">
        <v>9578</v>
      </c>
      <c r="F582" s="36" t="s">
        <v>9579</v>
      </c>
      <c r="G582" s="36" t="s">
        <v>9580</v>
      </c>
      <c r="H582" s="36" t="s">
        <v>9581</v>
      </c>
      <c r="I582" s="36" t="s">
        <v>9582</v>
      </c>
      <c r="J582" s="36" t="s">
        <v>9583</v>
      </c>
      <c r="K582" s="36" t="s">
        <v>9584</v>
      </c>
      <c r="L582" s="36" t="s">
        <v>9585</v>
      </c>
      <c r="M582" s="36" t="s">
        <v>9586</v>
      </c>
      <c r="N582" s="36" t="s">
        <v>9587</v>
      </c>
      <c r="O582" s="36" t="s">
        <v>9588</v>
      </c>
      <c r="P582" s="36" t="s">
        <v>9575</v>
      </c>
    </row>
    <row r="583" spans="1:16">
      <c r="A583" s="139">
        <v>582</v>
      </c>
      <c r="B583" s="36" t="s">
        <v>9589</v>
      </c>
      <c r="C583" s="36" t="s">
        <v>9590</v>
      </c>
      <c r="D583" s="36" t="s">
        <v>9591</v>
      </c>
      <c r="E583" s="36" t="s">
        <v>9592</v>
      </c>
      <c r="F583" s="36" t="s">
        <v>9593</v>
      </c>
      <c r="G583" s="36" t="s">
        <v>9594</v>
      </c>
      <c r="H583" s="36" t="s">
        <v>9595</v>
      </c>
      <c r="I583" s="36" t="s">
        <v>9596</v>
      </c>
      <c r="J583" s="36" t="s">
        <v>9597</v>
      </c>
      <c r="K583" s="36" t="s">
        <v>9598</v>
      </c>
      <c r="L583" s="36" t="s">
        <v>9599</v>
      </c>
      <c r="M583" s="36" t="s">
        <v>9600</v>
      </c>
      <c r="N583" s="36" t="s">
        <v>9601</v>
      </c>
      <c r="O583" s="36" t="s">
        <v>9602</v>
      </c>
      <c r="P583" s="36" t="s">
        <v>9589</v>
      </c>
    </row>
    <row r="584" spans="1:16">
      <c r="A584" s="139">
        <v>583</v>
      </c>
      <c r="B584" s="36" t="s">
        <v>9603</v>
      </c>
      <c r="C584" s="36" t="s">
        <v>9604</v>
      </c>
      <c r="D584" s="36" t="s">
        <v>9605</v>
      </c>
      <c r="E584" s="36" t="s">
        <v>9606</v>
      </c>
      <c r="F584" s="36" t="s">
        <v>9607</v>
      </c>
      <c r="G584" s="36" t="s">
        <v>9608</v>
      </c>
      <c r="H584" s="36" t="s">
        <v>9609</v>
      </c>
      <c r="I584" s="36" t="s">
        <v>9610</v>
      </c>
      <c r="J584" s="36" t="s">
        <v>9611</v>
      </c>
      <c r="K584" s="36" t="s">
        <v>9612</v>
      </c>
      <c r="L584" s="36" t="s">
        <v>9613</v>
      </c>
      <c r="M584" s="36" t="s">
        <v>9614</v>
      </c>
      <c r="N584" s="36" t="s">
        <v>9615</v>
      </c>
      <c r="O584" s="36" t="s">
        <v>9616</v>
      </c>
      <c r="P584" s="36" t="s">
        <v>9603</v>
      </c>
    </row>
    <row r="585" spans="1:16">
      <c r="A585" s="139">
        <v>584</v>
      </c>
      <c r="B585" s="36" t="s">
        <v>9617</v>
      </c>
      <c r="C585" s="36" t="s">
        <v>9618</v>
      </c>
      <c r="D585" s="36" t="s">
        <v>9619</v>
      </c>
      <c r="E585" s="36" t="s">
        <v>9620</v>
      </c>
      <c r="F585" s="36" t="s">
        <v>9621</v>
      </c>
      <c r="G585" s="36" t="s">
        <v>9622</v>
      </c>
      <c r="H585" s="36" t="s">
        <v>9623</v>
      </c>
      <c r="I585" s="36" t="s">
        <v>9624</v>
      </c>
      <c r="J585" s="36" t="s">
        <v>9625</v>
      </c>
      <c r="K585" s="36" t="s">
        <v>9626</v>
      </c>
      <c r="L585" s="36" t="s">
        <v>9627</v>
      </c>
      <c r="M585" s="36" t="s">
        <v>9628</v>
      </c>
      <c r="N585" s="36" t="s">
        <v>9629</v>
      </c>
      <c r="O585" s="36" t="s">
        <v>9630</v>
      </c>
      <c r="P585" s="36" t="s">
        <v>9617</v>
      </c>
    </row>
    <row r="586" spans="1:16">
      <c r="A586" s="139">
        <v>585</v>
      </c>
      <c r="B586" s="36" t="s">
        <v>9631</v>
      </c>
      <c r="C586" s="36" t="s">
        <v>9632</v>
      </c>
      <c r="D586" s="36" t="s">
        <v>9633</v>
      </c>
      <c r="E586" s="36" t="s">
        <v>9634</v>
      </c>
      <c r="F586" s="36" t="s">
        <v>9635</v>
      </c>
      <c r="G586" s="36" t="s">
        <v>9636</v>
      </c>
      <c r="H586" s="36" t="s">
        <v>9637</v>
      </c>
      <c r="I586" s="36" t="s">
        <v>9638</v>
      </c>
      <c r="J586" s="36" t="s">
        <v>9639</v>
      </c>
      <c r="K586" s="36" t="s">
        <v>9640</v>
      </c>
      <c r="L586" s="36" t="s">
        <v>9641</v>
      </c>
      <c r="M586" s="36" t="s">
        <v>9642</v>
      </c>
      <c r="N586" s="36" t="s">
        <v>9643</v>
      </c>
      <c r="O586" s="36" t="s">
        <v>9644</v>
      </c>
      <c r="P586" s="36" t="s">
        <v>9631</v>
      </c>
    </row>
    <row r="587" spans="1:16">
      <c r="A587" s="139">
        <v>586</v>
      </c>
      <c r="B587" s="36" t="s">
        <v>9645</v>
      </c>
      <c r="C587" s="36" t="s">
        <v>9646</v>
      </c>
      <c r="D587" s="36" t="s">
        <v>9647</v>
      </c>
      <c r="E587" s="36" t="s">
        <v>9648</v>
      </c>
      <c r="F587" s="36" t="s">
        <v>9649</v>
      </c>
      <c r="G587" s="36" t="s">
        <v>9650</v>
      </c>
      <c r="H587" s="36" t="s">
        <v>9651</v>
      </c>
      <c r="I587" s="36" t="s">
        <v>9652</v>
      </c>
      <c r="J587" s="36" t="s">
        <v>9653</v>
      </c>
      <c r="K587" s="36" t="s">
        <v>9654</v>
      </c>
      <c r="L587" s="36" t="s">
        <v>9655</v>
      </c>
      <c r="M587" s="36" t="s">
        <v>9656</v>
      </c>
      <c r="N587" s="36" t="s">
        <v>9657</v>
      </c>
      <c r="O587" s="36" t="s">
        <v>9658</v>
      </c>
      <c r="P587" s="36" t="s">
        <v>9645</v>
      </c>
    </row>
    <row r="588" spans="1:16">
      <c r="A588" s="139">
        <v>587</v>
      </c>
      <c r="B588" s="36" t="s">
        <v>9659</v>
      </c>
      <c r="C588" s="36" t="s">
        <v>9660</v>
      </c>
      <c r="D588" s="36" t="s">
        <v>9661</v>
      </c>
      <c r="E588" s="36" t="s">
        <v>9662</v>
      </c>
      <c r="F588" s="36" t="s">
        <v>9663</v>
      </c>
      <c r="G588" s="36" t="s">
        <v>9664</v>
      </c>
      <c r="H588" s="36" t="s">
        <v>9665</v>
      </c>
      <c r="I588" s="36" t="s">
        <v>9666</v>
      </c>
      <c r="J588" s="36" t="s">
        <v>9667</v>
      </c>
      <c r="K588" s="36" t="s">
        <v>9668</v>
      </c>
      <c r="L588" s="36" t="s">
        <v>9669</v>
      </c>
      <c r="M588" s="36" t="s">
        <v>9670</v>
      </c>
      <c r="N588" s="36" t="s">
        <v>9671</v>
      </c>
      <c r="O588" s="36" t="s">
        <v>9672</v>
      </c>
      <c r="P588" s="36" t="s">
        <v>9673</v>
      </c>
    </row>
    <row r="589" spans="1:16">
      <c r="A589" s="139">
        <v>588</v>
      </c>
      <c r="B589" s="36" t="s">
        <v>9674</v>
      </c>
      <c r="C589" s="36" t="s">
        <v>9674</v>
      </c>
      <c r="D589" s="36" t="s">
        <v>9674</v>
      </c>
      <c r="E589" s="36" t="s">
        <v>9674</v>
      </c>
      <c r="F589" s="36" t="s">
        <v>9674</v>
      </c>
      <c r="G589" s="36" t="s">
        <v>9674</v>
      </c>
      <c r="H589" s="36" t="s">
        <v>9674</v>
      </c>
      <c r="I589" s="36" t="s">
        <v>9674</v>
      </c>
      <c r="J589" s="36" t="s">
        <v>9674</v>
      </c>
      <c r="K589" s="36" t="s">
        <v>9674</v>
      </c>
      <c r="L589" s="36" t="s">
        <v>9674</v>
      </c>
      <c r="M589" s="36" t="s">
        <v>9674</v>
      </c>
      <c r="N589" s="36" t="s">
        <v>9674</v>
      </c>
      <c r="O589" s="36" t="s">
        <v>9674</v>
      </c>
      <c r="P589" s="36" t="s">
        <v>9674</v>
      </c>
    </row>
    <row r="590" spans="1:16">
      <c r="A590" s="139">
        <v>589</v>
      </c>
      <c r="B590" s="36" t="s">
        <v>9675</v>
      </c>
      <c r="C590" s="36" t="s">
        <v>9676</v>
      </c>
      <c r="D590" s="36" t="s">
        <v>9677</v>
      </c>
      <c r="E590" s="36" t="s">
        <v>9678</v>
      </c>
      <c r="F590" s="36" t="s">
        <v>9679</v>
      </c>
      <c r="G590" s="36" t="s">
        <v>9680</v>
      </c>
      <c r="H590" s="36" t="s">
        <v>9681</v>
      </c>
      <c r="I590" s="36" t="s">
        <v>9682</v>
      </c>
      <c r="J590" s="36" t="s">
        <v>9683</v>
      </c>
      <c r="K590" s="36" t="s">
        <v>9684</v>
      </c>
      <c r="L590" s="36" t="s">
        <v>9685</v>
      </c>
      <c r="M590" s="36" t="s">
        <v>9686</v>
      </c>
      <c r="N590" s="36" t="s">
        <v>9687</v>
      </c>
      <c r="O590" s="36" t="s">
        <v>9688</v>
      </c>
      <c r="P590" s="36" t="s">
        <v>9675</v>
      </c>
    </row>
    <row r="591" spans="1:16">
      <c r="A591" s="139">
        <v>590</v>
      </c>
      <c r="B591" s="36" t="s">
        <v>9689</v>
      </c>
      <c r="C591" s="36" t="s">
        <v>9690</v>
      </c>
      <c r="D591" s="36" t="s">
        <v>9691</v>
      </c>
      <c r="E591" s="36" t="s">
        <v>9692</v>
      </c>
      <c r="F591" s="36" t="s">
        <v>9693</v>
      </c>
      <c r="G591" s="36" t="s">
        <v>9694</v>
      </c>
      <c r="H591" s="36" t="s">
        <v>9695</v>
      </c>
      <c r="I591" s="36" t="s">
        <v>9696</v>
      </c>
      <c r="J591" s="36" t="s">
        <v>9697</v>
      </c>
      <c r="K591" s="36" t="s">
        <v>9698</v>
      </c>
      <c r="L591" s="36" t="s">
        <v>9699</v>
      </c>
      <c r="M591" s="36" t="s">
        <v>9700</v>
      </c>
      <c r="N591" s="36" t="s">
        <v>9701</v>
      </c>
      <c r="O591" s="36" t="s">
        <v>9702</v>
      </c>
      <c r="P591" s="36" t="s">
        <v>9689</v>
      </c>
    </row>
    <row r="592" spans="1:16">
      <c r="A592" s="139">
        <v>591</v>
      </c>
      <c r="B592" s="36" t="s">
        <v>9703</v>
      </c>
      <c r="C592" s="36" t="s">
        <v>9704</v>
      </c>
      <c r="D592" s="36" t="s">
        <v>5988</v>
      </c>
      <c r="E592" s="36" t="s">
        <v>3889</v>
      </c>
      <c r="F592" s="36" t="s">
        <v>3807</v>
      </c>
      <c r="G592" s="36" t="s">
        <v>9705</v>
      </c>
      <c r="H592" s="36" t="s">
        <v>5992</v>
      </c>
      <c r="I592" s="36" t="s">
        <v>9706</v>
      </c>
      <c r="J592" s="36" t="s">
        <v>9707</v>
      </c>
      <c r="K592" s="36" t="s">
        <v>3812</v>
      </c>
      <c r="L592" s="36" t="s">
        <v>5996</v>
      </c>
      <c r="M592" s="36" t="s">
        <v>9708</v>
      </c>
      <c r="N592" s="36" t="s">
        <v>9708</v>
      </c>
      <c r="O592" s="36" t="s">
        <v>5995</v>
      </c>
      <c r="P592" s="36" t="s">
        <v>9703</v>
      </c>
    </row>
    <row r="593" spans="1:16">
      <c r="A593" s="139">
        <v>592</v>
      </c>
      <c r="B593" s="36" t="s">
        <v>9709</v>
      </c>
      <c r="C593" s="36" t="s">
        <v>9710</v>
      </c>
      <c r="D593" s="36" t="s">
        <v>9711</v>
      </c>
      <c r="E593" s="36" t="s">
        <v>9712</v>
      </c>
      <c r="F593" s="36" t="s">
        <v>9713</v>
      </c>
      <c r="G593" s="36" t="s">
        <v>9714</v>
      </c>
      <c r="H593" s="36" t="s">
        <v>9715</v>
      </c>
      <c r="I593" s="36" t="s">
        <v>9716</v>
      </c>
      <c r="J593" s="36" t="s">
        <v>9717</v>
      </c>
      <c r="K593" s="36" t="s">
        <v>9718</v>
      </c>
      <c r="L593" s="36" t="s">
        <v>9719</v>
      </c>
      <c r="M593" s="36" t="s">
        <v>9720</v>
      </c>
      <c r="N593" s="36" t="s">
        <v>9721</v>
      </c>
      <c r="O593" s="36" t="s">
        <v>9718</v>
      </c>
      <c r="P593" s="36" t="s">
        <v>9709</v>
      </c>
    </row>
    <row r="594" spans="1:16">
      <c r="A594" s="139">
        <v>593</v>
      </c>
      <c r="B594" s="36" t="s">
        <v>9722</v>
      </c>
      <c r="C594" s="36" t="s">
        <v>9723</v>
      </c>
      <c r="D594" s="36" t="s">
        <v>9724</v>
      </c>
      <c r="E594" s="36" t="s">
        <v>9725</v>
      </c>
      <c r="F594" s="36" t="s">
        <v>9726</v>
      </c>
      <c r="G594" s="36" t="s">
        <v>9727</v>
      </c>
      <c r="H594" s="36" t="s">
        <v>9728</v>
      </c>
      <c r="I594" s="36" t="s">
        <v>9729</v>
      </c>
      <c r="J594" s="36" t="s">
        <v>9730</v>
      </c>
      <c r="K594" s="36" t="s">
        <v>9731</v>
      </c>
      <c r="L594" s="36" t="s">
        <v>9732</v>
      </c>
      <c r="M594" s="36" t="s">
        <v>9733</v>
      </c>
      <c r="N594" s="36" t="s">
        <v>9734</v>
      </c>
      <c r="O594" s="36" t="s">
        <v>9735</v>
      </c>
      <c r="P594" s="36" t="s">
        <v>9722</v>
      </c>
    </row>
    <row r="595" spans="1:16">
      <c r="A595" s="139">
        <v>594</v>
      </c>
      <c r="B595" s="36" t="s">
        <v>9736</v>
      </c>
      <c r="C595" s="36" t="s">
        <v>9737</v>
      </c>
      <c r="D595" s="36" t="s">
        <v>9738</v>
      </c>
      <c r="E595" s="36" t="s">
        <v>9739</v>
      </c>
      <c r="F595" s="36" t="s">
        <v>9740</v>
      </c>
      <c r="G595" s="36" t="s">
        <v>9741</v>
      </c>
      <c r="H595" s="36" t="s">
        <v>9742</v>
      </c>
      <c r="I595" s="36" t="s">
        <v>9743</v>
      </c>
      <c r="J595" s="36" t="s">
        <v>9744</v>
      </c>
      <c r="K595" s="36" t="s">
        <v>9745</v>
      </c>
      <c r="L595" s="36" t="s">
        <v>9746</v>
      </c>
      <c r="M595" s="36" t="s">
        <v>9747</v>
      </c>
      <c r="N595" s="36" t="s">
        <v>9748</v>
      </c>
      <c r="O595" s="36" t="s">
        <v>9749</v>
      </c>
      <c r="P595" s="36" t="s">
        <v>9736</v>
      </c>
    </row>
    <row r="596" spans="1:16">
      <c r="A596" s="139">
        <v>595</v>
      </c>
      <c r="B596" s="36" t="s">
        <v>9750</v>
      </c>
      <c r="C596" s="36" t="s">
        <v>9751</v>
      </c>
      <c r="D596" s="36" t="s">
        <v>9750</v>
      </c>
      <c r="E596" s="36" t="s">
        <v>9750</v>
      </c>
      <c r="F596" s="36" t="s">
        <v>9750</v>
      </c>
      <c r="G596" s="36" t="s">
        <v>9752</v>
      </c>
      <c r="H596" s="36" t="s">
        <v>9750</v>
      </c>
      <c r="I596" s="36" t="s">
        <v>9750</v>
      </c>
      <c r="J596" s="36" t="s">
        <v>9750</v>
      </c>
      <c r="K596" s="36" t="s">
        <v>9753</v>
      </c>
      <c r="L596" s="36" t="s">
        <v>9750</v>
      </c>
      <c r="M596" s="36" t="s">
        <v>9752</v>
      </c>
      <c r="N596" s="36" t="s">
        <v>9752</v>
      </c>
      <c r="O596" s="36" t="s">
        <v>9752</v>
      </c>
      <c r="P596" s="36" t="s">
        <v>9750</v>
      </c>
    </row>
    <row r="597" spans="1:16">
      <c r="A597" s="139">
        <v>596</v>
      </c>
      <c r="B597" s="36" t="s">
        <v>9754</v>
      </c>
      <c r="C597" s="36" t="s">
        <v>9755</v>
      </c>
      <c r="D597" s="36" t="s">
        <v>9756</v>
      </c>
      <c r="E597" s="36" t="s">
        <v>9757</v>
      </c>
      <c r="F597" s="36" t="s">
        <v>9758</v>
      </c>
      <c r="G597" s="36" t="s">
        <v>9759</v>
      </c>
      <c r="H597" s="36" t="s">
        <v>9760</v>
      </c>
      <c r="I597" s="36" t="s">
        <v>9761</v>
      </c>
      <c r="J597" s="36" t="s">
        <v>9762</v>
      </c>
      <c r="K597" s="36" t="s">
        <v>9763</v>
      </c>
      <c r="L597" s="36" t="s">
        <v>9764</v>
      </c>
      <c r="M597" s="36" t="s">
        <v>9765</v>
      </c>
      <c r="N597" s="36" t="s">
        <v>9766</v>
      </c>
      <c r="O597" s="36" t="s">
        <v>9767</v>
      </c>
      <c r="P597" s="36" t="s">
        <v>9754</v>
      </c>
    </row>
    <row r="598" spans="1:16">
      <c r="A598" s="139">
        <v>597</v>
      </c>
      <c r="B598" s="36" t="s">
        <v>9768</v>
      </c>
      <c r="C598" s="36" t="s">
        <v>9769</v>
      </c>
      <c r="D598" s="36" t="s">
        <v>9770</v>
      </c>
      <c r="E598" s="36" t="s">
        <v>9771</v>
      </c>
      <c r="F598" s="36" t="s">
        <v>9772</v>
      </c>
      <c r="G598" s="36" t="s">
        <v>9773</v>
      </c>
      <c r="H598" s="36" t="s">
        <v>9774</v>
      </c>
      <c r="I598" s="36" t="s">
        <v>9775</v>
      </c>
      <c r="J598" s="36" t="s">
        <v>9776</v>
      </c>
      <c r="K598" s="36" t="s">
        <v>9777</v>
      </c>
      <c r="L598" s="36" t="s">
        <v>9778</v>
      </c>
      <c r="M598" s="36" t="s">
        <v>9779</v>
      </c>
      <c r="N598" s="36" t="s">
        <v>9780</v>
      </c>
      <c r="O598" s="36" t="s">
        <v>9781</v>
      </c>
      <c r="P598" s="36" t="s">
        <v>9768</v>
      </c>
    </row>
    <row r="599" spans="1:16">
      <c r="A599" s="139">
        <v>598</v>
      </c>
      <c r="B599" s="36" t="s">
        <v>9782</v>
      </c>
      <c r="C599" s="36" t="s">
        <v>9783</v>
      </c>
      <c r="D599" s="36" t="s">
        <v>9784</v>
      </c>
      <c r="E599" s="36" t="s">
        <v>9785</v>
      </c>
      <c r="F599" s="36" t="s">
        <v>9786</v>
      </c>
      <c r="G599" s="36" t="s">
        <v>9787</v>
      </c>
      <c r="H599" s="36" t="s">
        <v>9788</v>
      </c>
      <c r="I599" s="36" t="s">
        <v>9789</v>
      </c>
      <c r="J599" s="36" t="s">
        <v>9790</v>
      </c>
      <c r="K599" s="36" t="s">
        <v>9791</v>
      </c>
      <c r="L599" s="36" t="s">
        <v>9792</v>
      </c>
      <c r="M599" s="36" t="s">
        <v>9793</v>
      </c>
      <c r="N599" s="36" t="s">
        <v>9794</v>
      </c>
      <c r="O599" s="36" t="s">
        <v>9795</v>
      </c>
      <c r="P599" s="36" t="s">
        <v>9782</v>
      </c>
    </row>
    <row r="600" spans="1:16">
      <c r="A600" s="139">
        <v>599</v>
      </c>
      <c r="B600" s="36" t="s">
        <v>9796</v>
      </c>
      <c r="C600" s="36" t="s">
        <v>9797</v>
      </c>
      <c r="D600" s="36" t="s">
        <v>9798</v>
      </c>
      <c r="E600" s="36" t="s">
        <v>9799</v>
      </c>
      <c r="F600" s="36" t="s">
        <v>9800</v>
      </c>
      <c r="G600" s="36" t="s">
        <v>9801</v>
      </c>
      <c r="H600" s="36" t="s">
        <v>9788</v>
      </c>
      <c r="I600" s="36" t="s">
        <v>9802</v>
      </c>
      <c r="J600" s="36" t="s">
        <v>9803</v>
      </c>
      <c r="K600" s="36" t="s">
        <v>9791</v>
      </c>
      <c r="L600" s="36" t="s">
        <v>9804</v>
      </c>
      <c r="M600" s="36" t="s">
        <v>9805</v>
      </c>
      <c r="N600" s="36" t="s">
        <v>9806</v>
      </c>
      <c r="O600" s="36" t="s">
        <v>9807</v>
      </c>
      <c r="P600" s="36" t="s">
        <v>9796</v>
      </c>
    </row>
    <row r="601" spans="1:16">
      <c r="A601" s="139">
        <v>600</v>
      </c>
      <c r="B601" s="36" t="s">
        <v>9808</v>
      </c>
      <c r="C601" s="36" t="s">
        <v>9809</v>
      </c>
      <c r="D601" s="36" t="s">
        <v>9810</v>
      </c>
      <c r="E601" s="36" t="s">
        <v>9811</v>
      </c>
      <c r="F601" s="36" t="s">
        <v>9812</v>
      </c>
      <c r="G601" s="36" t="s">
        <v>9813</v>
      </c>
      <c r="H601" s="36" t="s">
        <v>9814</v>
      </c>
      <c r="I601" s="36" t="s">
        <v>9812</v>
      </c>
      <c r="J601" s="36" t="s">
        <v>9815</v>
      </c>
      <c r="K601" s="36" t="s">
        <v>9816</v>
      </c>
      <c r="L601" s="36" t="s">
        <v>9817</v>
      </c>
      <c r="M601" s="36" t="s">
        <v>9818</v>
      </c>
      <c r="N601" s="36" t="s">
        <v>9819</v>
      </c>
      <c r="O601" s="36" t="s">
        <v>9820</v>
      </c>
      <c r="P601" s="36" t="s">
        <v>9808</v>
      </c>
    </row>
    <row r="602" spans="1:16">
      <c r="A602" s="139">
        <v>601</v>
      </c>
      <c r="B602" s="36" t="s">
        <v>9821</v>
      </c>
      <c r="C602" s="36" t="s">
        <v>9822</v>
      </c>
      <c r="D602" s="36" t="s">
        <v>9823</v>
      </c>
      <c r="E602" s="36" t="s">
        <v>9824</v>
      </c>
      <c r="F602" s="36" t="s">
        <v>9825</v>
      </c>
      <c r="G602" s="36" t="s">
        <v>9813</v>
      </c>
      <c r="H602" s="36" t="s">
        <v>9826</v>
      </c>
      <c r="I602" s="36" t="s">
        <v>9827</v>
      </c>
      <c r="J602" s="36" t="s">
        <v>9828</v>
      </c>
      <c r="K602" s="36" t="s">
        <v>9829</v>
      </c>
      <c r="L602" s="36" t="s">
        <v>9830</v>
      </c>
      <c r="M602" s="36" t="s">
        <v>9831</v>
      </c>
      <c r="N602" s="36" t="s">
        <v>9832</v>
      </c>
      <c r="O602" s="36" t="s">
        <v>9833</v>
      </c>
      <c r="P602" s="36" t="s">
        <v>9821</v>
      </c>
    </row>
    <row r="603" spans="1:16">
      <c r="A603" s="139">
        <v>602</v>
      </c>
      <c r="B603" s="36" t="s">
        <v>9834</v>
      </c>
      <c r="C603" s="36" t="s">
        <v>9835</v>
      </c>
      <c r="D603" s="36" t="s">
        <v>9836</v>
      </c>
      <c r="E603" s="36" t="s">
        <v>9837</v>
      </c>
      <c r="F603" s="36" t="s">
        <v>9838</v>
      </c>
      <c r="G603" s="36" t="s">
        <v>9839</v>
      </c>
      <c r="H603" s="36" t="s">
        <v>9840</v>
      </c>
      <c r="I603" s="36" t="s">
        <v>9841</v>
      </c>
      <c r="J603" s="36" t="s">
        <v>9842</v>
      </c>
      <c r="K603" s="36" t="s">
        <v>9843</v>
      </c>
      <c r="L603" s="36" t="s">
        <v>9844</v>
      </c>
      <c r="M603" s="36" t="s">
        <v>9845</v>
      </c>
      <c r="N603" s="36" t="s">
        <v>9846</v>
      </c>
      <c r="O603" s="36" t="s">
        <v>9847</v>
      </c>
      <c r="P603" s="36" t="s">
        <v>9834</v>
      </c>
    </row>
    <row r="604" spans="1:16">
      <c r="A604" s="139">
        <v>603</v>
      </c>
      <c r="B604" s="36" t="s">
        <v>9848</v>
      </c>
      <c r="C604" s="36" t="s">
        <v>9849</v>
      </c>
      <c r="D604" s="36" t="s">
        <v>9848</v>
      </c>
      <c r="E604" s="36" t="s">
        <v>9848</v>
      </c>
      <c r="F604" s="36" t="s">
        <v>9848</v>
      </c>
      <c r="G604" s="36" t="s">
        <v>9848</v>
      </c>
      <c r="H604" s="36" t="s">
        <v>9848</v>
      </c>
      <c r="I604" s="36" t="s">
        <v>9848</v>
      </c>
      <c r="J604" s="36" t="s">
        <v>9848</v>
      </c>
      <c r="K604" s="36" t="s">
        <v>9850</v>
      </c>
      <c r="L604" s="36" t="s">
        <v>9848</v>
      </c>
      <c r="M604" s="36" t="s">
        <v>9848</v>
      </c>
      <c r="N604" s="36" t="s">
        <v>9848</v>
      </c>
      <c r="O604" s="36" t="s">
        <v>9848</v>
      </c>
      <c r="P604" s="36" t="s">
        <v>9848</v>
      </c>
    </row>
    <row r="605" spans="1:16">
      <c r="A605" s="139">
        <v>604</v>
      </c>
      <c r="B605" s="36" t="s">
        <v>9851</v>
      </c>
      <c r="C605" s="36" t="s">
        <v>9852</v>
      </c>
      <c r="D605" s="36" t="s">
        <v>9853</v>
      </c>
      <c r="E605" s="36" t="s">
        <v>9854</v>
      </c>
      <c r="F605" s="36" t="s">
        <v>9855</v>
      </c>
      <c r="G605" s="36" t="s">
        <v>9856</v>
      </c>
      <c r="H605" s="36" t="s">
        <v>9857</v>
      </c>
      <c r="I605" s="36" t="s">
        <v>9858</v>
      </c>
      <c r="J605" s="36" t="s">
        <v>9859</v>
      </c>
      <c r="K605" s="36" t="s">
        <v>9860</v>
      </c>
      <c r="L605" s="36" t="s">
        <v>9861</v>
      </c>
      <c r="M605" s="36" t="s">
        <v>9862</v>
      </c>
      <c r="N605" s="36" t="s">
        <v>9863</v>
      </c>
      <c r="O605" s="36" t="s">
        <v>9864</v>
      </c>
      <c r="P605" s="36" t="s">
        <v>9851</v>
      </c>
    </row>
    <row r="606" spans="1:16">
      <c r="A606" s="139">
        <v>605</v>
      </c>
      <c r="B606" s="36" t="s">
        <v>9865</v>
      </c>
      <c r="C606" s="36" t="s">
        <v>9866</v>
      </c>
      <c r="D606" s="36" t="s">
        <v>9867</v>
      </c>
      <c r="E606" s="36" t="s">
        <v>9854</v>
      </c>
      <c r="F606" s="36" t="s">
        <v>9868</v>
      </c>
      <c r="G606" s="36" t="s">
        <v>9869</v>
      </c>
      <c r="H606" s="36" t="s">
        <v>9870</v>
      </c>
      <c r="I606" s="36" t="s">
        <v>9871</v>
      </c>
      <c r="J606" s="36" t="s">
        <v>9872</v>
      </c>
      <c r="K606" s="36" t="s">
        <v>9873</v>
      </c>
      <c r="L606" s="36" t="s">
        <v>9874</v>
      </c>
      <c r="M606" s="36" t="s">
        <v>9875</v>
      </c>
      <c r="N606" s="36" t="s">
        <v>9876</v>
      </c>
      <c r="O606" s="36" t="s">
        <v>9877</v>
      </c>
      <c r="P606" s="36" t="s">
        <v>9865</v>
      </c>
    </row>
    <row r="607" spans="1:16">
      <c r="A607" s="139">
        <v>606</v>
      </c>
      <c r="B607" s="36" t="s">
        <v>9878</v>
      </c>
      <c r="C607" s="36" t="s">
        <v>9879</v>
      </c>
      <c r="D607" s="36" t="s">
        <v>9880</v>
      </c>
      <c r="E607" s="36" t="s">
        <v>9881</v>
      </c>
      <c r="F607" s="36" t="s">
        <v>9882</v>
      </c>
      <c r="G607" s="36" t="s">
        <v>9883</v>
      </c>
      <c r="H607" s="36" t="s">
        <v>9884</v>
      </c>
      <c r="I607" s="36" t="s">
        <v>9885</v>
      </c>
      <c r="J607" s="36" t="s">
        <v>9886</v>
      </c>
      <c r="K607" s="36" t="s">
        <v>9887</v>
      </c>
      <c r="L607" s="36" t="s">
        <v>9888</v>
      </c>
      <c r="M607" s="36" t="s">
        <v>9889</v>
      </c>
      <c r="N607" s="36" t="s">
        <v>9890</v>
      </c>
      <c r="O607" s="36" t="s">
        <v>9891</v>
      </c>
      <c r="P607" s="36" t="s">
        <v>9878</v>
      </c>
    </row>
    <row r="608" spans="1:16">
      <c r="A608" s="139">
        <v>607</v>
      </c>
      <c r="B608" s="36" t="s">
        <v>9892</v>
      </c>
      <c r="C608" s="36" t="s">
        <v>9893</v>
      </c>
      <c r="D608" s="36" t="s">
        <v>9894</v>
      </c>
      <c r="E608" s="36" t="s">
        <v>9895</v>
      </c>
      <c r="F608" s="36" t="s">
        <v>9896</v>
      </c>
      <c r="G608" s="36" t="s">
        <v>9897</v>
      </c>
      <c r="H608" s="36" t="s">
        <v>9898</v>
      </c>
      <c r="I608" s="36" t="s">
        <v>9899</v>
      </c>
      <c r="J608" s="36" t="s">
        <v>9900</v>
      </c>
      <c r="K608" s="36" t="s">
        <v>9901</v>
      </c>
      <c r="L608" s="36" t="s">
        <v>9902</v>
      </c>
      <c r="M608" s="36" t="s">
        <v>9903</v>
      </c>
      <c r="N608" s="36" t="s">
        <v>9904</v>
      </c>
      <c r="O608" s="36" t="s">
        <v>9905</v>
      </c>
      <c r="P608" s="36" t="s">
        <v>9892</v>
      </c>
    </row>
    <row r="609" spans="1:16">
      <c r="A609" s="139">
        <v>608</v>
      </c>
      <c r="B609" s="36" t="s">
        <v>9906</v>
      </c>
      <c r="C609" s="36" t="s">
        <v>9907</v>
      </c>
      <c r="D609" s="36" t="s">
        <v>9908</v>
      </c>
      <c r="E609" s="36" t="s">
        <v>9909</v>
      </c>
      <c r="F609" s="36" t="s">
        <v>9910</v>
      </c>
      <c r="G609" s="36" t="s">
        <v>9911</v>
      </c>
      <c r="H609" s="36" t="s">
        <v>9912</v>
      </c>
      <c r="I609" s="36" t="s">
        <v>9913</v>
      </c>
      <c r="J609" s="36" t="s">
        <v>9914</v>
      </c>
      <c r="K609" s="36" t="s">
        <v>9915</v>
      </c>
      <c r="L609" s="36" t="s">
        <v>9916</v>
      </c>
      <c r="M609" s="36" t="s">
        <v>9917</v>
      </c>
      <c r="N609" s="36" t="s">
        <v>9918</v>
      </c>
      <c r="O609" s="36" t="s">
        <v>9919</v>
      </c>
      <c r="P609" s="36" t="s">
        <v>9906</v>
      </c>
    </row>
    <row r="610" spans="1:16">
      <c r="A610" s="139">
        <v>609</v>
      </c>
      <c r="B610" s="36" t="s">
        <v>9920</v>
      </c>
      <c r="C610" s="36" t="s">
        <v>9921</v>
      </c>
      <c r="D610" s="36" t="s">
        <v>9922</v>
      </c>
      <c r="E610" s="36" t="s">
        <v>9923</v>
      </c>
      <c r="F610" s="36" t="s">
        <v>9924</v>
      </c>
      <c r="G610" s="36" t="s">
        <v>9925</v>
      </c>
      <c r="H610" s="36" t="s">
        <v>9926</v>
      </c>
      <c r="I610" s="36" t="s">
        <v>9927</v>
      </c>
      <c r="J610" s="36" t="s">
        <v>9928</v>
      </c>
      <c r="K610" s="36" t="s">
        <v>9929</v>
      </c>
      <c r="L610" s="36" t="s">
        <v>9930</v>
      </c>
      <c r="M610" s="36" t="s">
        <v>9931</v>
      </c>
      <c r="N610" s="36" t="s">
        <v>9932</v>
      </c>
      <c r="O610" s="36" t="s">
        <v>9933</v>
      </c>
      <c r="P610" s="36" t="s">
        <v>9920</v>
      </c>
    </row>
    <row r="611" spans="1:16">
      <c r="A611" s="139">
        <v>610</v>
      </c>
      <c r="B611" s="36" t="s">
        <v>9934</v>
      </c>
      <c r="C611" s="36" t="s">
        <v>9935</v>
      </c>
      <c r="D611" s="36" t="s">
        <v>9936</v>
      </c>
      <c r="E611" s="36" t="s">
        <v>9937</v>
      </c>
      <c r="F611" s="36" t="s">
        <v>9938</v>
      </c>
      <c r="G611" s="36" t="s">
        <v>9939</v>
      </c>
      <c r="H611" s="36" t="s">
        <v>9940</v>
      </c>
      <c r="I611" s="36" t="s">
        <v>9941</v>
      </c>
      <c r="J611" s="36" t="s">
        <v>9942</v>
      </c>
      <c r="K611" s="36" t="s">
        <v>9943</v>
      </c>
      <c r="L611" s="36" t="s">
        <v>9944</v>
      </c>
      <c r="M611" s="36" t="s">
        <v>9945</v>
      </c>
      <c r="N611" s="36" t="s">
        <v>9946</v>
      </c>
      <c r="O611" s="36" t="s">
        <v>9947</v>
      </c>
      <c r="P611" s="36" t="s">
        <v>9934</v>
      </c>
    </row>
    <row r="612" spans="1:16">
      <c r="A612" s="139">
        <v>611</v>
      </c>
      <c r="B612" s="36" t="s">
        <v>9948</v>
      </c>
      <c r="C612" s="36" t="s">
        <v>9949</v>
      </c>
      <c r="D612" s="36" t="s">
        <v>9950</v>
      </c>
      <c r="E612" s="36" t="s">
        <v>9951</v>
      </c>
      <c r="F612" s="36" t="s">
        <v>9952</v>
      </c>
      <c r="G612" s="36" t="s">
        <v>9953</v>
      </c>
      <c r="H612" s="36" t="s">
        <v>9954</v>
      </c>
      <c r="I612" s="36" t="s">
        <v>9955</v>
      </c>
      <c r="J612" s="36" t="s">
        <v>9956</v>
      </c>
      <c r="K612" s="36" t="s">
        <v>9957</v>
      </c>
      <c r="L612" s="36" t="s">
        <v>9958</v>
      </c>
      <c r="M612" s="36" t="s">
        <v>9959</v>
      </c>
      <c r="N612" s="36" t="s">
        <v>9960</v>
      </c>
      <c r="O612" s="36" t="s">
        <v>9961</v>
      </c>
      <c r="P612" s="36" t="s">
        <v>9948</v>
      </c>
    </row>
    <row r="613" spans="1:16">
      <c r="A613" s="139">
        <v>612</v>
      </c>
      <c r="B613" s="36" t="s">
        <v>9962</v>
      </c>
      <c r="C613" s="36" t="s">
        <v>9963</v>
      </c>
      <c r="D613" s="36" t="s">
        <v>9964</v>
      </c>
      <c r="E613" s="36" t="s">
        <v>9965</v>
      </c>
      <c r="F613" s="36" t="s">
        <v>9966</v>
      </c>
      <c r="G613" s="36" t="s">
        <v>9967</v>
      </c>
      <c r="H613" s="36" t="s">
        <v>9968</v>
      </c>
      <c r="I613" s="36" t="s">
        <v>9969</v>
      </c>
      <c r="J613" s="36" t="s">
        <v>9970</v>
      </c>
      <c r="K613" s="36" t="s">
        <v>9971</v>
      </c>
      <c r="L613" s="36" t="s">
        <v>9972</v>
      </c>
      <c r="M613" s="36" t="s">
        <v>9973</v>
      </c>
      <c r="N613" s="36" t="s">
        <v>9974</v>
      </c>
      <c r="O613" s="36" t="s">
        <v>9975</v>
      </c>
      <c r="P613" s="36" t="s">
        <v>9962</v>
      </c>
    </row>
    <row r="614" spans="1:16">
      <c r="A614" s="139">
        <v>613</v>
      </c>
      <c r="B614" s="36" t="s">
        <v>9976</v>
      </c>
      <c r="C614" s="36" t="s">
        <v>9977</v>
      </c>
      <c r="D614" s="36" t="s">
        <v>9978</v>
      </c>
      <c r="E614" s="36" t="s">
        <v>9979</v>
      </c>
      <c r="F614" s="36" t="s">
        <v>9980</v>
      </c>
      <c r="G614" s="36" t="s">
        <v>9981</v>
      </c>
      <c r="H614" s="36" t="s">
        <v>9982</v>
      </c>
      <c r="I614" s="36" t="s">
        <v>9983</v>
      </c>
      <c r="J614" s="36" t="s">
        <v>9984</v>
      </c>
      <c r="K614" s="36" t="s">
        <v>9985</v>
      </c>
      <c r="L614" s="36" t="s">
        <v>9986</v>
      </c>
      <c r="M614" s="36" t="s">
        <v>9987</v>
      </c>
      <c r="N614" s="36" t="s">
        <v>9988</v>
      </c>
      <c r="O614" s="36" t="s">
        <v>9989</v>
      </c>
      <c r="P614" s="36" t="s">
        <v>9976</v>
      </c>
    </row>
    <row r="615" spans="1:16">
      <c r="A615" s="139">
        <v>614</v>
      </c>
      <c r="B615" s="36" t="s">
        <v>9990</v>
      </c>
      <c r="C615" s="36" t="s">
        <v>9991</v>
      </c>
      <c r="D615" s="36" t="s">
        <v>9992</v>
      </c>
      <c r="E615" s="36" t="s">
        <v>9993</v>
      </c>
      <c r="F615" s="36" t="s">
        <v>9994</v>
      </c>
      <c r="G615" s="36" t="s">
        <v>9995</v>
      </c>
      <c r="H615" s="36" t="s">
        <v>9996</v>
      </c>
      <c r="I615" s="36" t="s">
        <v>9997</v>
      </c>
      <c r="J615" s="36" t="s">
        <v>9998</v>
      </c>
      <c r="K615" s="36" t="s">
        <v>9999</v>
      </c>
      <c r="L615" s="36" t="s">
        <v>10000</v>
      </c>
      <c r="M615" s="36" t="s">
        <v>10001</v>
      </c>
      <c r="N615" s="36" t="s">
        <v>10002</v>
      </c>
      <c r="O615" s="36" t="s">
        <v>10003</v>
      </c>
      <c r="P615" s="36" t="s">
        <v>9990</v>
      </c>
    </row>
    <row r="616" spans="1:16">
      <c r="A616" s="139">
        <v>615</v>
      </c>
      <c r="B616" s="36" t="s">
        <v>10004</v>
      </c>
      <c r="C616" s="36" t="s">
        <v>10005</v>
      </c>
      <c r="D616" s="36" t="s">
        <v>10006</v>
      </c>
      <c r="E616" s="36" t="s">
        <v>10007</v>
      </c>
      <c r="F616" s="36" t="s">
        <v>10008</v>
      </c>
      <c r="G616" s="36" t="s">
        <v>10009</v>
      </c>
      <c r="H616" s="36" t="s">
        <v>10010</v>
      </c>
      <c r="I616" s="36" t="s">
        <v>10011</v>
      </c>
      <c r="J616" s="36" t="s">
        <v>10012</v>
      </c>
      <c r="K616" s="36" t="s">
        <v>10013</v>
      </c>
      <c r="L616" s="36" t="s">
        <v>10014</v>
      </c>
      <c r="M616" s="36" t="s">
        <v>10015</v>
      </c>
      <c r="N616" s="36" t="s">
        <v>10016</v>
      </c>
      <c r="O616" s="36" t="s">
        <v>10017</v>
      </c>
      <c r="P616" s="36" t="s">
        <v>10004</v>
      </c>
    </row>
    <row r="617" spans="1:16">
      <c r="A617" s="139">
        <v>616</v>
      </c>
      <c r="B617" s="36" t="s">
        <v>10018</v>
      </c>
      <c r="C617" s="36" t="s">
        <v>10019</v>
      </c>
      <c r="D617" s="36" t="s">
        <v>10020</v>
      </c>
      <c r="E617" s="36" t="s">
        <v>10021</v>
      </c>
      <c r="F617" s="36" t="s">
        <v>10022</v>
      </c>
      <c r="G617" s="36" t="s">
        <v>10023</v>
      </c>
      <c r="H617" s="36" t="s">
        <v>10024</v>
      </c>
      <c r="I617" s="36" t="s">
        <v>10025</v>
      </c>
      <c r="J617" s="36" t="s">
        <v>10026</v>
      </c>
      <c r="K617" s="36" t="s">
        <v>10027</v>
      </c>
      <c r="L617" s="36" t="s">
        <v>10028</v>
      </c>
      <c r="M617" s="36" t="s">
        <v>10029</v>
      </c>
      <c r="N617" s="36" t="s">
        <v>10030</v>
      </c>
      <c r="O617" s="36" t="s">
        <v>10031</v>
      </c>
      <c r="P617" s="36" t="s">
        <v>10018</v>
      </c>
    </row>
    <row r="618" spans="1:16">
      <c r="A618" s="139">
        <v>617</v>
      </c>
      <c r="B618" s="36" t="s">
        <v>10032</v>
      </c>
      <c r="C618" s="36" t="s">
        <v>10033</v>
      </c>
      <c r="D618" s="36" t="s">
        <v>10034</v>
      </c>
      <c r="E618" s="36" t="s">
        <v>10035</v>
      </c>
      <c r="F618" s="36" t="s">
        <v>10036</v>
      </c>
      <c r="G618" s="36" t="s">
        <v>10037</v>
      </c>
      <c r="H618" s="36" t="s">
        <v>10038</v>
      </c>
      <c r="I618" s="36" t="s">
        <v>10039</v>
      </c>
      <c r="J618" s="36" t="s">
        <v>10040</v>
      </c>
      <c r="K618" s="36" t="s">
        <v>10041</v>
      </c>
      <c r="L618" s="36" t="s">
        <v>10042</v>
      </c>
      <c r="M618" s="36" t="s">
        <v>10043</v>
      </c>
      <c r="N618" s="36" t="s">
        <v>10044</v>
      </c>
      <c r="O618" s="36" t="s">
        <v>10045</v>
      </c>
      <c r="P618" s="36" t="s">
        <v>10032</v>
      </c>
    </row>
    <row r="619" spans="1:16">
      <c r="A619" s="139">
        <v>618</v>
      </c>
      <c r="B619" s="36" t="s">
        <v>10046</v>
      </c>
      <c r="C619" s="36" t="s">
        <v>10047</v>
      </c>
      <c r="D619" s="36" t="s">
        <v>10048</v>
      </c>
      <c r="E619" s="36" t="s">
        <v>10049</v>
      </c>
      <c r="F619" s="36" t="s">
        <v>10050</v>
      </c>
      <c r="G619" s="36" t="s">
        <v>10051</v>
      </c>
      <c r="H619" s="36" t="s">
        <v>10052</v>
      </c>
      <c r="I619" s="36" t="s">
        <v>10053</v>
      </c>
      <c r="J619" s="36" t="s">
        <v>10054</v>
      </c>
      <c r="K619" s="36" t="s">
        <v>10055</v>
      </c>
      <c r="L619" s="36" t="s">
        <v>10056</v>
      </c>
      <c r="M619" s="36" t="s">
        <v>10057</v>
      </c>
      <c r="N619" s="36" t="s">
        <v>10058</v>
      </c>
      <c r="O619" s="36" t="s">
        <v>10059</v>
      </c>
      <c r="P619" s="36" t="s">
        <v>10046</v>
      </c>
    </row>
    <row r="620" spans="1:16">
      <c r="A620" s="139">
        <v>619</v>
      </c>
      <c r="B620" s="36" t="s">
        <v>10060</v>
      </c>
      <c r="C620" s="36" t="s">
        <v>10061</v>
      </c>
      <c r="D620" s="36" t="s">
        <v>10062</v>
      </c>
      <c r="E620" s="36" t="s">
        <v>10063</v>
      </c>
      <c r="F620" s="36" t="s">
        <v>10064</v>
      </c>
      <c r="G620" s="36" t="s">
        <v>10065</v>
      </c>
      <c r="H620" s="36" t="s">
        <v>10066</v>
      </c>
      <c r="I620" s="36" t="s">
        <v>10067</v>
      </c>
      <c r="J620" s="36" t="s">
        <v>10068</v>
      </c>
      <c r="K620" s="36" t="s">
        <v>10069</v>
      </c>
      <c r="L620" s="36" t="s">
        <v>10070</v>
      </c>
      <c r="M620" s="36" t="s">
        <v>10071</v>
      </c>
      <c r="N620" s="36" t="s">
        <v>10072</v>
      </c>
      <c r="O620" s="36" t="s">
        <v>10073</v>
      </c>
      <c r="P620" s="36" t="s">
        <v>10060</v>
      </c>
    </row>
    <row r="621" spans="1:16">
      <c r="A621" s="139">
        <v>620</v>
      </c>
      <c r="B621" s="36" t="s">
        <v>10074</v>
      </c>
      <c r="C621" s="36" t="s">
        <v>10075</v>
      </c>
      <c r="D621" s="36" t="s">
        <v>10076</v>
      </c>
      <c r="E621" s="36" t="s">
        <v>10077</v>
      </c>
      <c r="F621" s="36" t="s">
        <v>10078</v>
      </c>
      <c r="G621" s="36" t="s">
        <v>10079</v>
      </c>
      <c r="H621" s="36" t="s">
        <v>10080</v>
      </c>
      <c r="I621" s="36" t="s">
        <v>10081</v>
      </c>
      <c r="J621" s="36" t="s">
        <v>10082</v>
      </c>
      <c r="K621" s="36" t="s">
        <v>10083</v>
      </c>
      <c r="L621" s="36" t="s">
        <v>10084</v>
      </c>
      <c r="M621" s="36" t="s">
        <v>10085</v>
      </c>
      <c r="N621" s="36" t="s">
        <v>10086</v>
      </c>
      <c r="O621" s="36" t="s">
        <v>10087</v>
      </c>
      <c r="P621" s="36" t="s">
        <v>10074</v>
      </c>
    </row>
    <row r="622" spans="1:16">
      <c r="A622" s="139">
        <v>621</v>
      </c>
      <c r="B622" s="36" t="s">
        <v>10088</v>
      </c>
      <c r="C622" s="36" t="s">
        <v>10089</v>
      </c>
      <c r="D622" s="36" t="s">
        <v>10090</v>
      </c>
      <c r="E622" s="36" t="s">
        <v>10091</v>
      </c>
      <c r="F622" s="36" t="s">
        <v>10092</v>
      </c>
      <c r="G622" s="36" t="s">
        <v>10093</v>
      </c>
      <c r="H622" s="36" t="s">
        <v>10094</v>
      </c>
      <c r="I622" s="36" t="s">
        <v>10095</v>
      </c>
      <c r="J622" s="36" t="s">
        <v>10096</v>
      </c>
      <c r="K622" s="36" t="s">
        <v>10097</v>
      </c>
      <c r="L622" s="36" t="s">
        <v>10098</v>
      </c>
      <c r="M622" s="36" t="s">
        <v>10099</v>
      </c>
      <c r="N622" s="36" t="s">
        <v>10100</v>
      </c>
      <c r="O622" s="36" t="s">
        <v>10101</v>
      </c>
      <c r="P622" s="36" t="s">
        <v>10088</v>
      </c>
    </row>
    <row r="623" spans="1:16">
      <c r="A623" s="139">
        <v>622</v>
      </c>
      <c r="B623" s="36" t="s">
        <v>10102</v>
      </c>
      <c r="C623" s="36" t="s">
        <v>10102</v>
      </c>
      <c r="D623" s="36" t="s">
        <v>10103</v>
      </c>
      <c r="E623" s="36" t="s">
        <v>10104</v>
      </c>
      <c r="F623" s="36" t="s">
        <v>10105</v>
      </c>
      <c r="G623" s="36" t="s">
        <v>10106</v>
      </c>
      <c r="H623" s="36" t="s">
        <v>10107</v>
      </c>
      <c r="I623" s="36" t="s">
        <v>10108</v>
      </c>
      <c r="J623" s="36" t="s">
        <v>10109</v>
      </c>
      <c r="K623" s="36" t="s">
        <v>10110</v>
      </c>
      <c r="L623" s="36" t="s">
        <v>10111</v>
      </c>
      <c r="M623" s="36" t="s">
        <v>10112</v>
      </c>
      <c r="N623" s="36" t="s">
        <v>10112</v>
      </c>
      <c r="O623" s="36" t="s">
        <v>10113</v>
      </c>
      <c r="P623" s="36" t="s">
        <v>10102</v>
      </c>
    </row>
    <row r="624" spans="1:16">
      <c r="A624" s="139">
        <v>623</v>
      </c>
      <c r="B624" s="36" t="s">
        <v>10114</v>
      </c>
      <c r="C624" s="36" t="s">
        <v>10115</v>
      </c>
      <c r="D624" s="36" t="s">
        <v>10116</v>
      </c>
      <c r="E624" s="36" t="s">
        <v>10117</v>
      </c>
      <c r="F624" s="36" t="s">
        <v>10118</v>
      </c>
      <c r="G624" s="36" t="s">
        <v>10119</v>
      </c>
      <c r="H624" s="36" t="s">
        <v>10120</v>
      </c>
      <c r="I624" s="36" t="s">
        <v>10121</v>
      </c>
      <c r="J624" s="36" t="s">
        <v>10122</v>
      </c>
      <c r="K624" s="36" t="s">
        <v>10123</v>
      </c>
      <c r="L624" s="36" t="s">
        <v>10124</v>
      </c>
      <c r="M624" s="36" t="s">
        <v>10125</v>
      </c>
      <c r="N624" s="36" t="s">
        <v>10126</v>
      </c>
      <c r="O624" s="36" t="s">
        <v>10127</v>
      </c>
      <c r="P624" s="36" t="s">
        <v>10114</v>
      </c>
    </row>
    <row r="625" spans="1:16">
      <c r="A625" s="139">
        <v>624</v>
      </c>
      <c r="B625" s="36" t="s">
        <v>10128</v>
      </c>
      <c r="C625" s="36" t="s">
        <v>10129</v>
      </c>
      <c r="D625" s="36" t="s">
        <v>10130</v>
      </c>
      <c r="E625" s="36" t="s">
        <v>10131</v>
      </c>
      <c r="F625" s="36" t="s">
        <v>10132</v>
      </c>
      <c r="G625" s="36" t="s">
        <v>10133</v>
      </c>
      <c r="H625" s="36" t="s">
        <v>10134</v>
      </c>
      <c r="I625" s="36" t="s">
        <v>10135</v>
      </c>
      <c r="J625" s="36" t="s">
        <v>10136</v>
      </c>
      <c r="K625" s="36" t="s">
        <v>10137</v>
      </c>
      <c r="L625" s="36" t="s">
        <v>10138</v>
      </c>
      <c r="M625" s="36" t="s">
        <v>10139</v>
      </c>
      <c r="N625" s="36" t="s">
        <v>10140</v>
      </c>
      <c r="O625" s="36" t="s">
        <v>10141</v>
      </c>
      <c r="P625" s="36" t="s">
        <v>10128</v>
      </c>
    </row>
    <row r="626" spans="1:16">
      <c r="A626" s="139">
        <v>625</v>
      </c>
      <c r="B626" s="36" t="s">
        <v>10142</v>
      </c>
      <c r="C626" s="36" t="s">
        <v>10143</v>
      </c>
      <c r="D626" s="36" t="s">
        <v>10144</v>
      </c>
      <c r="E626" s="36" t="s">
        <v>10143</v>
      </c>
      <c r="F626" s="36" t="s">
        <v>10145</v>
      </c>
      <c r="G626" s="36" t="s">
        <v>10146</v>
      </c>
      <c r="H626" s="36" t="s">
        <v>10147</v>
      </c>
      <c r="I626" s="36" t="s">
        <v>10148</v>
      </c>
      <c r="J626" s="36" t="s">
        <v>10149</v>
      </c>
      <c r="K626" s="36" t="s">
        <v>10150</v>
      </c>
      <c r="L626" s="36" t="s">
        <v>10151</v>
      </c>
      <c r="M626" s="36" t="s">
        <v>10152</v>
      </c>
      <c r="N626" s="36" t="s">
        <v>10153</v>
      </c>
      <c r="O626" s="36" t="s">
        <v>10150</v>
      </c>
      <c r="P626" s="36" t="s">
        <v>10142</v>
      </c>
    </row>
    <row r="627" spans="1:16">
      <c r="A627" s="139">
        <v>626</v>
      </c>
      <c r="B627" s="36" t="s">
        <v>10154</v>
      </c>
      <c r="C627" s="36" t="s">
        <v>10155</v>
      </c>
      <c r="D627" s="36" t="s">
        <v>10156</v>
      </c>
      <c r="E627" s="36" t="s">
        <v>10157</v>
      </c>
      <c r="F627" s="36" t="s">
        <v>10158</v>
      </c>
      <c r="G627" s="36" t="s">
        <v>10154</v>
      </c>
      <c r="H627" s="36" t="s">
        <v>10159</v>
      </c>
      <c r="I627" s="36" t="s">
        <v>10160</v>
      </c>
      <c r="J627" s="36" t="s">
        <v>10161</v>
      </c>
      <c r="K627" s="36" t="s">
        <v>10162</v>
      </c>
      <c r="L627" s="36" t="s">
        <v>10163</v>
      </c>
      <c r="M627" s="36" t="s">
        <v>10164</v>
      </c>
      <c r="N627" s="36" t="s">
        <v>10165</v>
      </c>
      <c r="O627" s="36" t="s">
        <v>10166</v>
      </c>
      <c r="P627" s="36" t="s">
        <v>10154</v>
      </c>
    </row>
    <row r="628" spans="1:16">
      <c r="A628" s="139">
        <v>627</v>
      </c>
      <c r="B628" s="36" t="s">
        <v>10167</v>
      </c>
      <c r="C628" s="36" t="s">
        <v>10168</v>
      </c>
      <c r="D628" s="36" t="s">
        <v>10169</v>
      </c>
      <c r="E628" s="36" t="s">
        <v>10170</v>
      </c>
      <c r="F628" s="36" t="s">
        <v>10171</v>
      </c>
      <c r="G628" s="36" t="s">
        <v>10172</v>
      </c>
      <c r="H628" s="36" t="s">
        <v>10173</v>
      </c>
      <c r="I628" s="36" t="s">
        <v>10174</v>
      </c>
      <c r="J628" s="36" t="s">
        <v>10175</v>
      </c>
      <c r="K628" s="36" t="s">
        <v>10176</v>
      </c>
      <c r="L628" s="36" t="s">
        <v>10177</v>
      </c>
      <c r="M628" s="36" t="s">
        <v>10178</v>
      </c>
      <c r="N628" s="36" t="s">
        <v>10179</v>
      </c>
      <c r="O628" s="36" t="s">
        <v>10180</v>
      </c>
      <c r="P628" s="36" t="s">
        <v>10167</v>
      </c>
    </row>
    <row r="629" spans="1:16">
      <c r="A629" s="139">
        <v>628</v>
      </c>
      <c r="B629" s="36" t="s">
        <v>10181</v>
      </c>
      <c r="C629" s="36" t="s">
        <v>10182</v>
      </c>
      <c r="D629" s="36" t="s">
        <v>10183</v>
      </c>
      <c r="E629" s="36" t="s">
        <v>10184</v>
      </c>
      <c r="F629" s="36" t="s">
        <v>10185</v>
      </c>
      <c r="G629" s="36" t="s">
        <v>10186</v>
      </c>
      <c r="H629" s="36" t="s">
        <v>10187</v>
      </c>
      <c r="I629" s="36" t="s">
        <v>10188</v>
      </c>
      <c r="J629" s="36" t="s">
        <v>10189</v>
      </c>
      <c r="K629" s="36" t="s">
        <v>10190</v>
      </c>
      <c r="L629" s="36" t="s">
        <v>10191</v>
      </c>
      <c r="M629" s="36" t="s">
        <v>10192</v>
      </c>
      <c r="N629" s="36" t="s">
        <v>10193</v>
      </c>
      <c r="O629" s="36" t="s">
        <v>10194</v>
      </c>
      <c r="P629" s="36" t="s">
        <v>10181</v>
      </c>
    </row>
    <row r="630" spans="1:16">
      <c r="A630" s="139">
        <v>629</v>
      </c>
      <c r="B630" s="36" t="s">
        <v>10195</v>
      </c>
      <c r="C630" s="36" t="s">
        <v>10196</v>
      </c>
      <c r="D630" s="36" t="s">
        <v>10197</v>
      </c>
      <c r="E630" s="36" t="s">
        <v>10198</v>
      </c>
      <c r="F630" s="36" t="s">
        <v>10199</v>
      </c>
      <c r="G630" s="36" t="s">
        <v>10200</v>
      </c>
      <c r="H630" s="36" t="s">
        <v>10201</v>
      </c>
      <c r="I630" s="36" t="s">
        <v>10202</v>
      </c>
      <c r="J630" s="36" t="s">
        <v>10203</v>
      </c>
      <c r="K630" s="36" t="s">
        <v>10204</v>
      </c>
      <c r="L630" s="36" t="s">
        <v>10205</v>
      </c>
      <c r="M630" s="36" t="s">
        <v>10206</v>
      </c>
      <c r="N630" s="36" t="s">
        <v>10207</v>
      </c>
      <c r="O630" s="36" t="s">
        <v>10208</v>
      </c>
      <c r="P630" s="36" t="s">
        <v>10195</v>
      </c>
    </row>
    <row r="631" spans="1:16" ht="13.95" customHeight="1">
      <c r="A631" s="139">
        <v>630</v>
      </c>
      <c r="B631" s="36" t="s">
        <v>10209</v>
      </c>
      <c r="C631" s="36" t="s">
        <v>10210</v>
      </c>
      <c r="D631" s="36" t="s">
        <v>10211</v>
      </c>
      <c r="E631" s="36" t="s">
        <v>10212</v>
      </c>
      <c r="F631" s="36" t="s">
        <v>10213</v>
      </c>
      <c r="G631" s="36" t="s">
        <v>10214</v>
      </c>
      <c r="H631" s="36" t="s">
        <v>10215</v>
      </c>
      <c r="I631" s="36" t="s">
        <v>10216</v>
      </c>
      <c r="J631" s="36" t="s">
        <v>10217</v>
      </c>
      <c r="K631" s="36" t="s">
        <v>10218</v>
      </c>
      <c r="L631" s="36" t="s">
        <v>10219</v>
      </c>
      <c r="M631" s="36" t="s">
        <v>10220</v>
      </c>
      <c r="N631" s="36" t="s">
        <v>10221</v>
      </c>
      <c r="O631" s="36" t="s">
        <v>10222</v>
      </c>
      <c r="P631" s="36" t="s">
        <v>10209</v>
      </c>
    </row>
    <row r="632" spans="1:16" ht="13.95" customHeight="1">
      <c r="A632" s="139">
        <v>631</v>
      </c>
      <c r="B632" s="36" t="s">
        <v>10223</v>
      </c>
      <c r="C632" s="36" t="s">
        <v>10224</v>
      </c>
      <c r="D632" s="36" t="s">
        <v>10225</v>
      </c>
      <c r="E632" s="36" t="s">
        <v>10226</v>
      </c>
      <c r="F632" s="36" t="s">
        <v>10227</v>
      </c>
      <c r="G632" s="36" t="s">
        <v>10228</v>
      </c>
      <c r="H632" s="36" t="s">
        <v>10229</v>
      </c>
      <c r="I632" s="36" t="s">
        <v>10230</v>
      </c>
      <c r="J632" s="36" t="s">
        <v>10231</v>
      </c>
      <c r="K632" s="36" t="s">
        <v>10232</v>
      </c>
      <c r="L632" s="36" t="s">
        <v>10233</v>
      </c>
      <c r="M632" s="36" t="s">
        <v>10234</v>
      </c>
      <c r="N632" s="36" t="s">
        <v>10235</v>
      </c>
      <c r="O632" s="36" t="s">
        <v>10236</v>
      </c>
      <c r="P632" s="36" t="s">
        <v>10223</v>
      </c>
    </row>
    <row r="633" spans="1:16">
      <c r="A633" s="139">
        <v>632</v>
      </c>
      <c r="B633" s="36" t="s">
        <v>10237</v>
      </c>
      <c r="C633" s="36" t="s">
        <v>10238</v>
      </c>
      <c r="D633" s="36" t="s">
        <v>10239</v>
      </c>
      <c r="E633" s="36" t="s">
        <v>10240</v>
      </c>
      <c r="F633" s="36" t="s">
        <v>10241</v>
      </c>
      <c r="G633" s="36" t="s">
        <v>10242</v>
      </c>
      <c r="H633" s="36" t="s">
        <v>10243</v>
      </c>
      <c r="I633" s="36" t="s">
        <v>10244</v>
      </c>
      <c r="J633" s="36" t="s">
        <v>10245</v>
      </c>
      <c r="K633" s="36" t="s">
        <v>10246</v>
      </c>
      <c r="L633" s="36" t="s">
        <v>10247</v>
      </c>
      <c r="M633" s="36" t="s">
        <v>10248</v>
      </c>
      <c r="N633" s="36" t="s">
        <v>10249</v>
      </c>
      <c r="O633" s="36" t="s">
        <v>10250</v>
      </c>
      <c r="P633" s="36" t="s">
        <v>10237</v>
      </c>
    </row>
    <row r="634" spans="1:16">
      <c r="A634" s="139">
        <v>633</v>
      </c>
      <c r="B634" s="36" t="s">
        <v>10251</v>
      </c>
      <c r="C634" s="36" t="s">
        <v>10252</v>
      </c>
      <c r="D634" s="36" t="s">
        <v>10253</v>
      </c>
      <c r="E634" s="36" t="s">
        <v>10254</v>
      </c>
      <c r="F634" s="36" t="s">
        <v>10255</v>
      </c>
      <c r="G634" s="36" t="s">
        <v>10256</v>
      </c>
      <c r="H634" s="36" t="s">
        <v>10257</v>
      </c>
      <c r="I634" s="36" t="s">
        <v>10258</v>
      </c>
      <c r="J634" s="36" t="s">
        <v>10259</v>
      </c>
      <c r="K634" s="36" t="s">
        <v>10260</v>
      </c>
      <c r="L634" s="36" t="s">
        <v>10261</v>
      </c>
      <c r="M634" s="36" t="s">
        <v>10262</v>
      </c>
      <c r="N634" s="36" t="s">
        <v>10263</v>
      </c>
      <c r="O634" s="36" t="s">
        <v>10264</v>
      </c>
      <c r="P634" s="36" t="s">
        <v>10251</v>
      </c>
    </row>
    <row r="635" spans="1:16">
      <c r="A635" s="139">
        <v>634</v>
      </c>
      <c r="B635" s="36" t="s">
        <v>10265</v>
      </c>
      <c r="C635" s="36" t="s">
        <v>10266</v>
      </c>
      <c r="D635" s="36" t="s">
        <v>10267</v>
      </c>
      <c r="E635" s="36" t="s">
        <v>10268</v>
      </c>
      <c r="F635" s="36" t="s">
        <v>10269</v>
      </c>
      <c r="G635" s="36" t="s">
        <v>10270</v>
      </c>
      <c r="H635" s="36" t="s">
        <v>10271</v>
      </c>
      <c r="I635" s="36" t="s">
        <v>10272</v>
      </c>
      <c r="J635" s="36" t="s">
        <v>10273</v>
      </c>
      <c r="K635" s="36" t="s">
        <v>10274</v>
      </c>
      <c r="L635" s="36" t="s">
        <v>10275</v>
      </c>
      <c r="M635" s="36" t="s">
        <v>10276</v>
      </c>
      <c r="N635" s="36" t="s">
        <v>10277</v>
      </c>
      <c r="O635" s="36" t="s">
        <v>10278</v>
      </c>
      <c r="P635" s="36" t="s">
        <v>10265</v>
      </c>
    </row>
    <row r="636" spans="1:16">
      <c r="A636" s="139">
        <v>635</v>
      </c>
      <c r="B636" s="36" t="s">
        <v>489</v>
      </c>
      <c r="C636" s="36" t="s">
        <v>489</v>
      </c>
      <c r="D636" s="36" t="s">
        <v>489</v>
      </c>
      <c r="E636" s="36" t="s">
        <v>10279</v>
      </c>
      <c r="F636" s="36" t="s">
        <v>10280</v>
      </c>
      <c r="G636" s="36" t="s">
        <v>10281</v>
      </c>
      <c r="H636" s="36" t="s">
        <v>10282</v>
      </c>
      <c r="I636" s="36" t="s">
        <v>10283</v>
      </c>
      <c r="J636" s="36" t="s">
        <v>10284</v>
      </c>
      <c r="K636" s="36" t="s">
        <v>10285</v>
      </c>
      <c r="L636" s="36" t="s">
        <v>489</v>
      </c>
      <c r="M636" s="36" t="s">
        <v>489</v>
      </c>
      <c r="N636" s="36" t="s">
        <v>489</v>
      </c>
      <c r="O636" s="36" t="s">
        <v>10286</v>
      </c>
      <c r="P636" s="36" t="s">
        <v>489</v>
      </c>
    </row>
    <row r="637" spans="1:16">
      <c r="A637" s="139">
        <v>636</v>
      </c>
      <c r="B637" s="36" t="s">
        <v>10287</v>
      </c>
      <c r="C637" s="36" t="s">
        <v>10288</v>
      </c>
      <c r="D637" s="36" t="s">
        <v>10289</v>
      </c>
      <c r="E637" s="36" t="s">
        <v>10290</v>
      </c>
      <c r="F637" s="36" t="s">
        <v>10291</v>
      </c>
      <c r="G637" s="36" t="s">
        <v>10292</v>
      </c>
      <c r="H637" s="36" t="s">
        <v>10293</v>
      </c>
      <c r="I637" s="36" t="s">
        <v>10294</v>
      </c>
      <c r="J637" s="36" t="s">
        <v>10295</v>
      </c>
      <c r="K637" s="36" t="s">
        <v>10296</v>
      </c>
      <c r="L637" s="36" t="s">
        <v>10297</v>
      </c>
      <c r="M637" s="36" t="s">
        <v>10298</v>
      </c>
      <c r="N637" s="36" t="s">
        <v>10299</v>
      </c>
      <c r="O637" s="36" t="s">
        <v>10300</v>
      </c>
      <c r="P637" s="36" t="s">
        <v>10287</v>
      </c>
    </row>
    <row r="638" spans="1:16">
      <c r="A638" s="139">
        <v>637</v>
      </c>
      <c r="B638" s="36" t="s">
        <v>10301</v>
      </c>
      <c r="C638" s="36" t="s">
        <v>10302</v>
      </c>
      <c r="D638" s="36" t="s">
        <v>10301</v>
      </c>
      <c r="E638" s="36" t="s">
        <v>10301</v>
      </c>
      <c r="F638" s="36" t="s">
        <v>10301</v>
      </c>
      <c r="G638" s="36" t="s">
        <v>10301</v>
      </c>
      <c r="H638" s="36" t="s">
        <v>10301</v>
      </c>
      <c r="I638" s="36" t="s">
        <v>10301</v>
      </c>
      <c r="J638" s="36" t="s">
        <v>10301</v>
      </c>
      <c r="K638" s="36" t="s">
        <v>10301</v>
      </c>
      <c r="L638" s="36" t="s">
        <v>10301</v>
      </c>
      <c r="M638" s="36" t="s">
        <v>10301</v>
      </c>
      <c r="N638" s="36" t="s">
        <v>10301</v>
      </c>
      <c r="O638" s="36" t="s">
        <v>10301</v>
      </c>
      <c r="P638" s="36" t="s">
        <v>10301</v>
      </c>
    </row>
    <row r="639" spans="1:16">
      <c r="A639" s="139">
        <v>638</v>
      </c>
      <c r="B639" s="36" t="s">
        <v>10303</v>
      </c>
      <c r="C639" s="36" t="s">
        <v>10304</v>
      </c>
      <c r="D639" s="36" t="s">
        <v>10305</v>
      </c>
      <c r="E639" s="36" t="s">
        <v>10306</v>
      </c>
      <c r="F639" s="36" t="s">
        <v>10307</v>
      </c>
      <c r="G639" s="36" t="s">
        <v>10308</v>
      </c>
      <c r="H639" s="36" t="s">
        <v>10309</v>
      </c>
      <c r="I639" s="36" t="s">
        <v>10307</v>
      </c>
      <c r="J639" s="36" t="s">
        <v>10310</v>
      </c>
      <c r="K639" s="36" t="s">
        <v>10311</v>
      </c>
      <c r="L639" s="36" t="s">
        <v>10312</v>
      </c>
      <c r="M639" s="36" t="s">
        <v>10313</v>
      </c>
      <c r="N639" s="36" t="s">
        <v>10314</v>
      </c>
      <c r="O639" s="36" t="s">
        <v>10315</v>
      </c>
      <c r="P639" s="36" t="s">
        <v>10303</v>
      </c>
    </row>
    <row r="640" spans="1:16">
      <c r="A640" s="139">
        <v>639</v>
      </c>
      <c r="B640" s="36" t="s">
        <v>10316</v>
      </c>
      <c r="C640" s="36" t="s">
        <v>10317</v>
      </c>
      <c r="D640" s="36" t="s">
        <v>10318</v>
      </c>
      <c r="E640" s="36" t="s">
        <v>10319</v>
      </c>
      <c r="F640" s="36" t="s">
        <v>10320</v>
      </c>
      <c r="G640" s="36" t="s">
        <v>10321</v>
      </c>
      <c r="H640" s="36" t="s">
        <v>10322</v>
      </c>
      <c r="I640" s="36" t="s">
        <v>10323</v>
      </c>
      <c r="J640" s="36" t="s">
        <v>10324</v>
      </c>
      <c r="K640" s="36" t="s">
        <v>10325</v>
      </c>
      <c r="L640" s="36" t="s">
        <v>10326</v>
      </c>
      <c r="M640" s="36" t="s">
        <v>10327</v>
      </c>
      <c r="N640" s="36" t="s">
        <v>10326</v>
      </c>
      <c r="O640" s="36" t="s">
        <v>10328</v>
      </c>
      <c r="P640" s="36" t="s">
        <v>10316</v>
      </c>
    </row>
    <row r="641" spans="1:16">
      <c r="A641" s="139">
        <v>640</v>
      </c>
      <c r="B641" s="36" t="s">
        <v>10329</v>
      </c>
      <c r="C641" s="36" t="s">
        <v>10330</v>
      </c>
      <c r="D641" s="36" t="s">
        <v>10331</v>
      </c>
      <c r="E641" s="36" t="s">
        <v>10332</v>
      </c>
      <c r="F641" s="36" t="s">
        <v>10333</v>
      </c>
      <c r="G641" s="36" t="s">
        <v>10334</v>
      </c>
      <c r="H641" s="36" t="s">
        <v>10335</v>
      </c>
      <c r="I641" s="36" t="s">
        <v>10336</v>
      </c>
      <c r="J641" s="36" t="s">
        <v>10337</v>
      </c>
      <c r="K641" s="36" t="s">
        <v>10338</v>
      </c>
      <c r="L641" s="36" t="s">
        <v>10339</v>
      </c>
      <c r="M641" s="36" t="s">
        <v>10340</v>
      </c>
      <c r="N641" s="36" t="s">
        <v>10341</v>
      </c>
      <c r="O641" s="36" t="s">
        <v>10342</v>
      </c>
      <c r="P641" s="36" t="s">
        <v>10343</v>
      </c>
    </row>
    <row r="642" spans="1:16">
      <c r="A642" s="139">
        <v>641</v>
      </c>
      <c r="B642" s="36" t="s">
        <v>10344</v>
      </c>
      <c r="C642" s="36" t="s">
        <v>10345</v>
      </c>
      <c r="D642" s="36" t="s">
        <v>10346</v>
      </c>
      <c r="E642" s="36" t="s">
        <v>10347</v>
      </c>
      <c r="F642" s="36" t="s">
        <v>10348</v>
      </c>
      <c r="G642" s="36" t="s">
        <v>10349</v>
      </c>
      <c r="H642" s="36" t="s">
        <v>10350</v>
      </c>
      <c r="I642" s="36" t="s">
        <v>10351</v>
      </c>
      <c r="J642" s="36" t="s">
        <v>10352</v>
      </c>
      <c r="K642" s="36" t="s">
        <v>10353</v>
      </c>
      <c r="L642" s="36" t="s">
        <v>10344</v>
      </c>
      <c r="M642" s="36" t="s">
        <v>10354</v>
      </c>
      <c r="N642" s="36" t="s">
        <v>10354</v>
      </c>
      <c r="O642" s="36" t="s">
        <v>10355</v>
      </c>
      <c r="P642" s="36" t="s">
        <v>10344</v>
      </c>
    </row>
    <row r="643" spans="1:16">
      <c r="A643" s="139">
        <v>642</v>
      </c>
      <c r="B643" s="36" t="s">
        <v>10356</v>
      </c>
      <c r="C643" s="36" t="s">
        <v>10357</v>
      </c>
      <c r="D643" s="36" t="s">
        <v>10358</v>
      </c>
      <c r="E643" s="36" t="s">
        <v>10359</v>
      </c>
      <c r="F643" s="36" t="s">
        <v>10360</v>
      </c>
      <c r="G643" s="36" t="s">
        <v>10361</v>
      </c>
      <c r="H643" s="36" t="s">
        <v>10362</v>
      </c>
      <c r="I643" s="36" t="s">
        <v>10363</v>
      </c>
      <c r="J643" s="36" t="s">
        <v>10364</v>
      </c>
      <c r="K643" s="36" t="s">
        <v>10365</v>
      </c>
      <c r="L643" s="36" t="s">
        <v>10366</v>
      </c>
      <c r="M643" s="36" t="s">
        <v>10367</v>
      </c>
      <c r="N643" s="36" t="s">
        <v>10368</v>
      </c>
      <c r="O643" s="36" t="s">
        <v>10369</v>
      </c>
      <c r="P643" s="36" t="s">
        <v>10356</v>
      </c>
    </row>
    <row r="644" spans="1:16">
      <c r="A644" s="139">
        <v>643</v>
      </c>
      <c r="B644" s="36" t="s">
        <v>10370</v>
      </c>
      <c r="C644" s="36" t="s">
        <v>10371</v>
      </c>
      <c r="D644" s="36" t="s">
        <v>10372</v>
      </c>
      <c r="E644" s="36" t="s">
        <v>10373</v>
      </c>
      <c r="F644" s="36" t="s">
        <v>10374</v>
      </c>
      <c r="G644" s="36" t="s">
        <v>10375</v>
      </c>
      <c r="H644" s="36" t="s">
        <v>10376</v>
      </c>
      <c r="I644" s="36" t="s">
        <v>10377</v>
      </c>
      <c r="J644" s="36" t="s">
        <v>10378</v>
      </c>
      <c r="K644" s="36" t="s">
        <v>10379</v>
      </c>
      <c r="L644" s="36" t="s">
        <v>10380</v>
      </c>
      <c r="M644" s="36" t="s">
        <v>10381</v>
      </c>
      <c r="N644" s="36" t="s">
        <v>10382</v>
      </c>
      <c r="O644" s="36" t="s">
        <v>10383</v>
      </c>
      <c r="P644" s="36" t="s">
        <v>10370</v>
      </c>
    </row>
    <row r="645" spans="1:16">
      <c r="A645" s="139">
        <v>644</v>
      </c>
      <c r="B645" s="36" t="s">
        <v>10384</v>
      </c>
      <c r="C645" s="36" t="s">
        <v>10385</v>
      </c>
      <c r="D645" s="36" t="s">
        <v>10386</v>
      </c>
      <c r="E645" s="36" t="s">
        <v>10387</v>
      </c>
      <c r="F645" s="36" t="s">
        <v>10388</v>
      </c>
      <c r="G645" s="36" t="s">
        <v>10389</v>
      </c>
      <c r="H645" s="36" t="s">
        <v>10390</v>
      </c>
      <c r="I645" s="36" t="s">
        <v>10391</v>
      </c>
      <c r="J645" s="36" t="s">
        <v>10392</v>
      </c>
      <c r="K645" s="36" t="s">
        <v>10393</v>
      </c>
      <c r="L645" s="36" t="s">
        <v>10394</v>
      </c>
      <c r="M645" s="36" t="s">
        <v>10395</v>
      </c>
      <c r="N645" s="36" t="s">
        <v>10396</v>
      </c>
      <c r="O645" s="36" t="s">
        <v>10397</v>
      </c>
      <c r="P645" s="36" t="s">
        <v>10384</v>
      </c>
    </row>
    <row r="646" spans="1:16">
      <c r="A646" s="139">
        <v>645</v>
      </c>
      <c r="B646" s="36" t="s">
        <v>10398</v>
      </c>
      <c r="C646" s="36" t="s">
        <v>10399</v>
      </c>
      <c r="D646" s="36" t="s">
        <v>10400</v>
      </c>
      <c r="E646" s="36" t="s">
        <v>10401</v>
      </c>
      <c r="F646" s="36" t="s">
        <v>10402</v>
      </c>
      <c r="G646" s="36" t="s">
        <v>10403</v>
      </c>
      <c r="H646" s="36" t="s">
        <v>10404</v>
      </c>
      <c r="I646" s="36" t="s">
        <v>10405</v>
      </c>
      <c r="J646" s="36" t="s">
        <v>10406</v>
      </c>
      <c r="K646" s="36" t="s">
        <v>10407</v>
      </c>
      <c r="L646" s="36" t="s">
        <v>10408</v>
      </c>
      <c r="M646" s="36" t="s">
        <v>10409</v>
      </c>
      <c r="N646" s="36" t="s">
        <v>10410</v>
      </c>
      <c r="O646" s="36" t="s">
        <v>10411</v>
      </c>
      <c r="P646" s="36" t="s">
        <v>10398</v>
      </c>
    </row>
    <row r="647" spans="1:16">
      <c r="A647" s="139">
        <v>646</v>
      </c>
      <c r="B647" s="36" t="s">
        <v>10412</v>
      </c>
      <c r="C647" s="36" t="s">
        <v>7642</v>
      </c>
      <c r="D647" s="36" t="s">
        <v>7643</v>
      </c>
      <c r="E647" s="36" t="s">
        <v>10413</v>
      </c>
      <c r="F647" s="36" t="s">
        <v>7645</v>
      </c>
      <c r="G647" s="36" t="s">
        <v>10414</v>
      </c>
      <c r="H647" s="36" t="s">
        <v>10415</v>
      </c>
      <c r="I647" s="36" t="s">
        <v>10416</v>
      </c>
      <c r="J647" s="36" t="s">
        <v>10417</v>
      </c>
      <c r="K647" s="36" t="s">
        <v>10418</v>
      </c>
      <c r="L647" s="36" t="s">
        <v>10419</v>
      </c>
      <c r="M647" s="36" t="s">
        <v>10420</v>
      </c>
      <c r="N647" s="36" t="s">
        <v>10421</v>
      </c>
      <c r="O647" s="36" t="s">
        <v>7653</v>
      </c>
      <c r="P647" s="36" t="s">
        <v>10412</v>
      </c>
    </row>
    <row r="648" spans="1:16">
      <c r="A648" s="139">
        <v>647</v>
      </c>
      <c r="B648" s="36" t="s">
        <v>10422</v>
      </c>
      <c r="C648" s="36" t="s">
        <v>10423</v>
      </c>
      <c r="D648" s="36" t="s">
        <v>10424</v>
      </c>
      <c r="E648" s="36" t="s">
        <v>10425</v>
      </c>
      <c r="F648" s="36" t="s">
        <v>10426</v>
      </c>
      <c r="G648" s="36" t="s">
        <v>10427</v>
      </c>
      <c r="H648" s="36" t="s">
        <v>10428</v>
      </c>
      <c r="I648" s="36" t="s">
        <v>10429</v>
      </c>
      <c r="J648" s="36" t="s">
        <v>10430</v>
      </c>
      <c r="K648" s="36" t="s">
        <v>10431</v>
      </c>
      <c r="L648" s="36" t="s">
        <v>10432</v>
      </c>
      <c r="M648" s="36" t="s">
        <v>10433</v>
      </c>
      <c r="N648" s="36" t="s">
        <v>10434</v>
      </c>
      <c r="O648" s="36" t="s">
        <v>10435</v>
      </c>
      <c r="P648" s="36" t="s">
        <v>10422</v>
      </c>
    </row>
    <row r="649" spans="1:16">
      <c r="A649" s="139">
        <v>648</v>
      </c>
      <c r="B649" s="36" t="s">
        <v>10436</v>
      </c>
      <c r="C649" s="36" t="s">
        <v>10437</v>
      </c>
      <c r="D649" s="36" t="s">
        <v>10438</v>
      </c>
      <c r="E649" s="36" t="s">
        <v>10439</v>
      </c>
      <c r="F649" s="36" t="s">
        <v>10440</v>
      </c>
      <c r="G649" s="36" t="s">
        <v>10441</v>
      </c>
      <c r="H649" s="36" t="s">
        <v>10442</v>
      </c>
      <c r="I649" s="36" t="s">
        <v>10443</v>
      </c>
      <c r="J649" s="36" t="s">
        <v>10444</v>
      </c>
      <c r="K649" s="36" t="s">
        <v>10445</v>
      </c>
      <c r="L649" s="36" t="s">
        <v>10446</v>
      </c>
      <c r="M649" s="36" t="s">
        <v>10447</v>
      </c>
      <c r="N649" s="36" t="s">
        <v>10448</v>
      </c>
      <c r="O649" s="36" t="s">
        <v>10449</v>
      </c>
      <c r="P649" s="36" t="s">
        <v>10436</v>
      </c>
    </row>
    <row r="650" spans="1:16">
      <c r="A650" s="139">
        <v>649</v>
      </c>
      <c r="B650" s="36" t="s">
        <v>10450</v>
      </c>
      <c r="C650" s="36" t="s">
        <v>10451</v>
      </c>
      <c r="D650" s="36" t="s">
        <v>10452</v>
      </c>
      <c r="E650" s="36" t="s">
        <v>10453</v>
      </c>
      <c r="F650" s="36" t="s">
        <v>10454</v>
      </c>
      <c r="G650" s="36" t="s">
        <v>10455</v>
      </c>
      <c r="H650" s="36" t="s">
        <v>10456</v>
      </c>
      <c r="I650" s="36" t="s">
        <v>10457</v>
      </c>
      <c r="J650" s="36" t="s">
        <v>10458</v>
      </c>
      <c r="K650" s="36" t="s">
        <v>10459</v>
      </c>
      <c r="L650" s="36" t="s">
        <v>10460</v>
      </c>
      <c r="M650" s="36" t="s">
        <v>10461</v>
      </c>
      <c r="N650" s="36" t="s">
        <v>10462</v>
      </c>
      <c r="O650" s="36" t="s">
        <v>10463</v>
      </c>
      <c r="P650" s="36" t="s">
        <v>10450</v>
      </c>
    </row>
    <row r="651" spans="1:16">
      <c r="A651" s="139">
        <v>650</v>
      </c>
      <c r="B651" s="36" t="s">
        <v>10464</v>
      </c>
      <c r="C651" s="36" t="s">
        <v>10465</v>
      </c>
      <c r="D651" s="36" t="s">
        <v>10466</v>
      </c>
      <c r="E651" s="36" t="s">
        <v>10467</v>
      </c>
      <c r="F651" s="36" t="s">
        <v>10468</v>
      </c>
      <c r="G651" s="36" t="s">
        <v>10469</v>
      </c>
      <c r="H651" s="36" t="s">
        <v>10470</v>
      </c>
      <c r="I651" s="36" t="s">
        <v>10471</v>
      </c>
      <c r="J651" s="36" t="s">
        <v>10472</v>
      </c>
      <c r="K651" s="36" t="s">
        <v>10473</v>
      </c>
      <c r="L651" s="36" t="s">
        <v>10474</v>
      </c>
      <c r="M651" s="36" t="s">
        <v>10475</v>
      </c>
      <c r="N651" s="36" t="s">
        <v>10476</v>
      </c>
      <c r="O651" s="36" t="s">
        <v>10477</v>
      </c>
      <c r="P651" s="36" t="s">
        <v>10464</v>
      </c>
    </row>
    <row r="652" spans="1:16">
      <c r="A652" s="139">
        <v>651</v>
      </c>
      <c r="B652" s="36" t="s">
        <v>10478</v>
      </c>
      <c r="C652" s="36" t="s">
        <v>10479</v>
      </c>
      <c r="D652" s="36" t="s">
        <v>10480</v>
      </c>
      <c r="E652" s="36" t="s">
        <v>10481</v>
      </c>
      <c r="F652" s="36" t="s">
        <v>10482</v>
      </c>
      <c r="G652" s="36" t="s">
        <v>10483</v>
      </c>
      <c r="H652" s="36" t="s">
        <v>10484</v>
      </c>
      <c r="I652" s="36" t="s">
        <v>10485</v>
      </c>
      <c r="J652" s="36" t="s">
        <v>10486</v>
      </c>
      <c r="K652" s="36" t="s">
        <v>10487</v>
      </c>
      <c r="L652" s="36" t="s">
        <v>10488</v>
      </c>
      <c r="M652" s="36" t="s">
        <v>10489</v>
      </c>
      <c r="N652" s="36" t="s">
        <v>10490</v>
      </c>
      <c r="O652" s="36" t="s">
        <v>10491</v>
      </c>
      <c r="P652" s="36" t="s">
        <v>10478</v>
      </c>
    </row>
    <row r="653" spans="1:16">
      <c r="A653" s="139">
        <v>652</v>
      </c>
      <c r="B653" s="36" t="s">
        <v>10492</v>
      </c>
      <c r="C653" s="36" t="s">
        <v>10493</v>
      </c>
      <c r="D653" s="36" t="s">
        <v>10494</v>
      </c>
      <c r="E653" s="36" t="s">
        <v>10495</v>
      </c>
      <c r="F653" s="36" t="s">
        <v>10496</v>
      </c>
      <c r="G653" s="36" t="s">
        <v>10497</v>
      </c>
      <c r="H653" s="36" t="s">
        <v>10498</v>
      </c>
      <c r="I653" s="36" t="s">
        <v>10499</v>
      </c>
      <c r="J653" s="36" t="s">
        <v>10500</v>
      </c>
      <c r="K653" s="36" t="s">
        <v>10501</v>
      </c>
      <c r="L653" s="36" t="s">
        <v>10502</v>
      </c>
      <c r="M653" s="36" t="s">
        <v>10503</v>
      </c>
      <c r="N653" s="36" t="s">
        <v>10504</v>
      </c>
      <c r="O653" s="36" t="s">
        <v>10505</v>
      </c>
      <c r="P653" s="36" t="s">
        <v>10492</v>
      </c>
    </row>
    <row r="654" spans="1:16">
      <c r="A654" s="139">
        <v>653</v>
      </c>
      <c r="B654" s="36" t="s">
        <v>10506</v>
      </c>
      <c r="C654" s="36" t="s">
        <v>10507</v>
      </c>
      <c r="D654" s="36" t="s">
        <v>10508</v>
      </c>
      <c r="E654" s="36" t="s">
        <v>10509</v>
      </c>
      <c r="F654" s="36" t="s">
        <v>10510</v>
      </c>
      <c r="G654" s="36" t="s">
        <v>10511</v>
      </c>
      <c r="H654" s="36" t="s">
        <v>10484</v>
      </c>
      <c r="I654" s="36" t="s">
        <v>10512</v>
      </c>
      <c r="J654" s="36" t="s">
        <v>10486</v>
      </c>
      <c r="K654" s="36" t="s">
        <v>10487</v>
      </c>
      <c r="L654" s="36" t="s">
        <v>10488</v>
      </c>
      <c r="M654" s="36" t="s">
        <v>10489</v>
      </c>
      <c r="N654" s="36" t="s">
        <v>10513</v>
      </c>
      <c r="O654" s="36" t="s">
        <v>10514</v>
      </c>
      <c r="P654" s="36" t="s">
        <v>10506</v>
      </c>
    </row>
    <row r="655" spans="1:16">
      <c r="A655" s="139">
        <v>654</v>
      </c>
      <c r="B655" s="36" t="s">
        <v>2354</v>
      </c>
      <c r="C655" s="36" t="s">
        <v>10515</v>
      </c>
      <c r="D655" s="36" t="s">
        <v>10516</v>
      </c>
      <c r="E655" s="36" t="s">
        <v>10517</v>
      </c>
      <c r="F655" s="36" t="s">
        <v>10518</v>
      </c>
      <c r="G655" s="36" t="s">
        <v>10519</v>
      </c>
      <c r="H655" s="36" t="s">
        <v>10520</v>
      </c>
      <c r="I655" s="36" t="s">
        <v>10521</v>
      </c>
      <c r="J655" s="36" t="s">
        <v>10522</v>
      </c>
      <c r="K655" s="36" t="s">
        <v>10523</v>
      </c>
      <c r="L655" s="36" t="s">
        <v>10524</v>
      </c>
      <c r="M655" s="36" t="s">
        <v>10525</v>
      </c>
      <c r="N655" s="36" t="s">
        <v>10526</v>
      </c>
      <c r="O655" s="36" t="s">
        <v>10527</v>
      </c>
      <c r="P655" s="36" t="s">
        <v>2354</v>
      </c>
    </row>
    <row r="656" spans="1:16">
      <c r="A656" s="139">
        <v>655</v>
      </c>
      <c r="B656" s="36" t="s">
        <v>10528</v>
      </c>
      <c r="C656" s="36" t="s">
        <v>10529</v>
      </c>
      <c r="D656" s="36" t="s">
        <v>10530</v>
      </c>
      <c r="E656" s="36" t="s">
        <v>10531</v>
      </c>
      <c r="F656" s="36" t="s">
        <v>10532</v>
      </c>
      <c r="G656" s="36" t="s">
        <v>10533</v>
      </c>
      <c r="H656" s="36" t="s">
        <v>10534</v>
      </c>
      <c r="I656" s="36" t="s">
        <v>10535</v>
      </c>
      <c r="J656" s="36" t="s">
        <v>10536</v>
      </c>
      <c r="K656" s="36" t="s">
        <v>10537</v>
      </c>
      <c r="L656" s="36" t="s">
        <v>10538</v>
      </c>
      <c r="M656" s="36" t="s">
        <v>10539</v>
      </c>
      <c r="N656" s="36" t="s">
        <v>10540</v>
      </c>
      <c r="O656" s="36" t="s">
        <v>10541</v>
      </c>
      <c r="P656" s="36" t="s">
        <v>10528</v>
      </c>
    </row>
    <row r="657" spans="1:16">
      <c r="A657" s="139">
        <v>656</v>
      </c>
      <c r="B657" s="36" t="s">
        <v>10542</v>
      </c>
      <c r="C657" s="36" t="s">
        <v>10543</v>
      </c>
      <c r="D657" s="36" t="s">
        <v>10544</v>
      </c>
      <c r="E657" s="36" t="s">
        <v>10545</v>
      </c>
      <c r="F657" s="36" t="s">
        <v>10546</v>
      </c>
      <c r="G657" s="36" t="s">
        <v>10547</v>
      </c>
      <c r="H657" s="36" t="s">
        <v>10548</v>
      </c>
      <c r="I657" s="36" t="s">
        <v>10549</v>
      </c>
      <c r="J657" s="36" t="s">
        <v>10550</v>
      </c>
      <c r="K657" s="36" t="s">
        <v>10551</v>
      </c>
      <c r="L657" s="36" t="s">
        <v>10552</v>
      </c>
      <c r="M657" s="36" t="s">
        <v>10553</v>
      </c>
      <c r="N657" s="36" t="s">
        <v>10554</v>
      </c>
      <c r="O657" s="36" t="s">
        <v>10555</v>
      </c>
      <c r="P657" s="36" t="s">
        <v>10542</v>
      </c>
    </row>
    <row r="658" spans="1:16">
      <c r="A658" s="139">
        <v>657</v>
      </c>
      <c r="B658" s="36" t="s">
        <v>10556</v>
      </c>
      <c r="C658" s="36" t="s">
        <v>10543</v>
      </c>
      <c r="D658" s="36" t="s">
        <v>10557</v>
      </c>
      <c r="E658" s="36" t="s">
        <v>10558</v>
      </c>
      <c r="F658" s="36" t="s">
        <v>10559</v>
      </c>
      <c r="G658" s="36" t="s">
        <v>10560</v>
      </c>
      <c r="H658" s="36" t="s">
        <v>10561</v>
      </c>
      <c r="I658" s="36" t="s">
        <v>10562</v>
      </c>
      <c r="J658" s="36" t="s">
        <v>10563</v>
      </c>
      <c r="K658" s="36" t="s">
        <v>10564</v>
      </c>
      <c r="L658" s="36" t="s">
        <v>10565</v>
      </c>
      <c r="M658" s="36" t="s">
        <v>10566</v>
      </c>
      <c r="N658" s="36" t="s">
        <v>10567</v>
      </c>
      <c r="O658" s="36" t="s">
        <v>10568</v>
      </c>
      <c r="P658" s="36" t="s">
        <v>10556</v>
      </c>
    </row>
    <row r="659" spans="1:16">
      <c r="A659" s="139">
        <v>658</v>
      </c>
      <c r="B659" s="36" t="s">
        <v>10569</v>
      </c>
      <c r="C659" s="36" t="s">
        <v>10570</v>
      </c>
      <c r="D659" s="36" t="s">
        <v>10571</v>
      </c>
      <c r="E659" s="36" t="s">
        <v>10572</v>
      </c>
      <c r="F659" s="36" t="s">
        <v>10573</v>
      </c>
      <c r="G659" s="36" t="s">
        <v>8740</v>
      </c>
      <c r="H659" s="36" t="s">
        <v>10574</v>
      </c>
      <c r="I659" s="36" t="s">
        <v>10575</v>
      </c>
      <c r="J659" s="36" t="s">
        <v>10569</v>
      </c>
      <c r="K659" s="36" t="s">
        <v>10576</v>
      </c>
      <c r="L659" s="36" t="s">
        <v>10577</v>
      </c>
      <c r="M659" s="36" t="s">
        <v>10578</v>
      </c>
      <c r="N659" s="36" t="s">
        <v>10579</v>
      </c>
      <c r="O659" s="36" t="s">
        <v>10580</v>
      </c>
      <c r="P659" s="36" t="s">
        <v>10569</v>
      </c>
    </row>
    <row r="660" spans="1:16">
      <c r="A660" s="139">
        <v>659</v>
      </c>
      <c r="B660" s="36" t="s">
        <v>10581</v>
      </c>
      <c r="C660" s="36" t="s">
        <v>10582</v>
      </c>
      <c r="D660" s="36" t="s">
        <v>10583</v>
      </c>
      <c r="E660" s="36" t="s">
        <v>10584</v>
      </c>
      <c r="F660" s="36" t="s">
        <v>10585</v>
      </c>
      <c r="G660" s="36" t="s">
        <v>10586</v>
      </c>
      <c r="H660" s="36" t="s">
        <v>10587</v>
      </c>
      <c r="I660" s="36" t="s">
        <v>10588</v>
      </c>
      <c r="J660" s="36" t="s">
        <v>10589</v>
      </c>
      <c r="K660" s="36" t="s">
        <v>10590</v>
      </c>
      <c r="L660" s="36" t="s">
        <v>10591</v>
      </c>
      <c r="M660" s="36" t="s">
        <v>10592</v>
      </c>
      <c r="N660" s="36" t="s">
        <v>10593</v>
      </c>
      <c r="O660" s="36" t="s">
        <v>10594</v>
      </c>
      <c r="P660" s="36" t="s">
        <v>10595</v>
      </c>
    </row>
    <row r="661" spans="1:16">
      <c r="A661" s="139">
        <v>660</v>
      </c>
      <c r="B661" s="36" t="s">
        <v>10596</v>
      </c>
      <c r="C661" s="36" t="s">
        <v>10597</v>
      </c>
      <c r="D661" s="36" t="s">
        <v>10598</v>
      </c>
      <c r="E661" s="36" t="s">
        <v>10599</v>
      </c>
      <c r="F661" s="36" t="s">
        <v>10600</v>
      </c>
      <c r="G661" s="36" t="s">
        <v>10601</v>
      </c>
      <c r="H661" s="36" t="s">
        <v>10602</v>
      </c>
      <c r="I661" s="36" t="s">
        <v>10603</v>
      </c>
      <c r="J661" s="36" t="s">
        <v>10596</v>
      </c>
      <c r="K661" s="36" t="s">
        <v>10604</v>
      </c>
      <c r="L661" s="36" t="s">
        <v>10605</v>
      </c>
      <c r="M661" s="36" t="s">
        <v>10605</v>
      </c>
      <c r="N661" s="36" t="s">
        <v>10605</v>
      </c>
      <c r="O661" s="36" t="s">
        <v>10606</v>
      </c>
      <c r="P661" s="36" t="s">
        <v>10596</v>
      </c>
    </row>
    <row r="662" spans="1:16">
      <c r="A662" s="139">
        <v>661</v>
      </c>
      <c r="B662" s="36" t="s">
        <v>10607</v>
      </c>
      <c r="C662" s="36" t="s">
        <v>10608</v>
      </c>
      <c r="D662" s="36" t="s">
        <v>10609</v>
      </c>
      <c r="E662" s="36" t="s">
        <v>10607</v>
      </c>
      <c r="F662" s="36" t="s">
        <v>10610</v>
      </c>
      <c r="G662" s="36" t="s">
        <v>10610</v>
      </c>
      <c r="H662" s="36" t="s">
        <v>10611</v>
      </c>
      <c r="I662" s="36" t="s">
        <v>10612</v>
      </c>
      <c r="J662" s="36" t="s">
        <v>10607</v>
      </c>
      <c r="K662" s="36" t="s">
        <v>10610</v>
      </c>
      <c r="L662" s="36" t="s">
        <v>10607</v>
      </c>
      <c r="M662" s="36" t="s">
        <v>10607</v>
      </c>
      <c r="N662" s="36" t="s">
        <v>10607</v>
      </c>
      <c r="O662" s="36" t="s">
        <v>10612</v>
      </c>
      <c r="P662" s="36" t="s">
        <v>10607</v>
      </c>
    </row>
    <row r="663" spans="1:16">
      <c r="A663" s="139">
        <v>662</v>
      </c>
      <c r="B663" s="36" t="s">
        <v>10613</v>
      </c>
      <c r="C663" s="36" t="s">
        <v>10614</v>
      </c>
      <c r="D663" s="36" t="s">
        <v>10615</v>
      </c>
      <c r="E663" s="36" t="s">
        <v>10613</v>
      </c>
      <c r="F663" s="36" t="s">
        <v>10616</v>
      </c>
      <c r="G663" s="36" t="s">
        <v>10616</v>
      </c>
      <c r="H663" s="36" t="s">
        <v>10617</v>
      </c>
      <c r="I663" s="36" t="s">
        <v>10618</v>
      </c>
      <c r="J663" s="36" t="s">
        <v>10613</v>
      </c>
      <c r="K663" s="36" t="s">
        <v>10616</v>
      </c>
      <c r="L663" s="36" t="s">
        <v>10613</v>
      </c>
      <c r="M663" s="36" t="s">
        <v>10613</v>
      </c>
      <c r="N663" s="36" t="s">
        <v>10613</v>
      </c>
      <c r="O663" s="36" t="s">
        <v>10618</v>
      </c>
      <c r="P663" s="36" t="s">
        <v>10613</v>
      </c>
    </row>
    <row r="664" spans="1:16">
      <c r="A664" s="139">
        <v>663</v>
      </c>
      <c r="B664" s="36" t="s">
        <v>10619</v>
      </c>
      <c r="C664" s="36" t="s">
        <v>10620</v>
      </c>
      <c r="D664" s="36" t="s">
        <v>10621</v>
      </c>
      <c r="E664" s="36" t="s">
        <v>10619</v>
      </c>
      <c r="F664" s="36" t="s">
        <v>10622</v>
      </c>
      <c r="G664" s="36" t="s">
        <v>10622</v>
      </c>
      <c r="H664" s="36" t="s">
        <v>10623</v>
      </c>
      <c r="I664" s="36" t="s">
        <v>10624</v>
      </c>
      <c r="J664" s="36" t="s">
        <v>10619</v>
      </c>
      <c r="K664" s="36" t="s">
        <v>10622</v>
      </c>
      <c r="L664" s="36" t="s">
        <v>10619</v>
      </c>
      <c r="M664" s="36" t="s">
        <v>10619</v>
      </c>
      <c r="N664" s="36" t="s">
        <v>10619</v>
      </c>
      <c r="O664" s="36" t="s">
        <v>10624</v>
      </c>
      <c r="P664" s="36" t="s">
        <v>10619</v>
      </c>
    </row>
    <row r="665" spans="1:16">
      <c r="A665" s="139">
        <v>664</v>
      </c>
      <c r="B665" s="36" t="s">
        <v>10625</v>
      </c>
      <c r="C665" s="36" t="s">
        <v>10626</v>
      </c>
      <c r="D665" s="36" t="s">
        <v>10627</v>
      </c>
      <c r="E665" s="36" t="s">
        <v>10625</v>
      </c>
      <c r="F665" s="36" t="s">
        <v>10628</v>
      </c>
      <c r="G665" s="36" t="s">
        <v>10628</v>
      </c>
      <c r="H665" s="36" t="s">
        <v>10629</v>
      </c>
      <c r="I665" s="36" t="s">
        <v>10630</v>
      </c>
      <c r="J665" s="36" t="s">
        <v>10625</v>
      </c>
      <c r="K665" s="36" t="s">
        <v>10628</v>
      </c>
      <c r="L665" s="36" t="s">
        <v>10625</v>
      </c>
      <c r="M665" s="36" t="s">
        <v>10625</v>
      </c>
      <c r="N665" s="36" t="s">
        <v>10625</v>
      </c>
      <c r="O665" s="36" t="s">
        <v>10630</v>
      </c>
      <c r="P665" s="36" t="s">
        <v>10625</v>
      </c>
    </row>
    <row r="666" spans="1:16">
      <c r="A666" s="139">
        <v>665</v>
      </c>
      <c r="B666" s="36" t="s">
        <v>10631</v>
      </c>
      <c r="C666" s="36" t="s">
        <v>10632</v>
      </c>
      <c r="D666" s="36" t="s">
        <v>10633</v>
      </c>
      <c r="E666" s="36" t="s">
        <v>10634</v>
      </c>
      <c r="F666" s="36" t="s">
        <v>10635</v>
      </c>
      <c r="G666" s="36" t="s">
        <v>10636</v>
      </c>
      <c r="H666" s="36" t="s">
        <v>10637</v>
      </c>
      <c r="I666" s="36" t="s">
        <v>10638</v>
      </c>
      <c r="J666" s="36" t="s">
        <v>10639</v>
      </c>
      <c r="K666" s="36" t="s">
        <v>10640</v>
      </c>
      <c r="L666" s="36" t="s">
        <v>10641</v>
      </c>
      <c r="M666" s="36" t="s">
        <v>10642</v>
      </c>
      <c r="N666" s="36" t="s">
        <v>10643</v>
      </c>
      <c r="O666" s="36" t="s">
        <v>10644</v>
      </c>
      <c r="P666" s="36" t="s">
        <v>10631</v>
      </c>
    </row>
    <row r="667" spans="1:16">
      <c r="A667" s="139">
        <v>666</v>
      </c>
      <c r="B667" s="36" t="s">
        <v>10645</v>
      </c>
      <c r="C667" s="36" t="s">
        <v>10645</v>
      </c>
      <c r="D667" s="36" t="s">
        <v>10646</v>
      </c>
      <c r="E667" s="36" t="s">
        <v>10646</v>
      </c>
      <c r="F667" s="36" t="s">
        <v>10646</v>
      </c>
      <c r="G667" s="36" t="s">
        <v>10646</v>
      </c>
      <c r="H667" s="36" t="s">
        <v>10646</v>
      </c>
      <c r="I667" s="36" t="s">
        <v>10646</v>
      </c>
      <c r="J667" s="36" t="s">
        <v>10646</v>
      </c>
      <c r="K667" s="36" t="s">
        <v>10647</v>
      </c>
      <c r="L667" s="36" t="s">
        <v>10646</v>
      </c>
      <c r="M667" s="36" t="s">
        <v>10646</v>
      </c>
      <c r="N667" s="36" t="s">
        <v>10646</v>
      </c>
      <c r="O667" s="36" t="s">
        <v>10646</v>
      </c>
      <c r="P667" s="36" t="s">
        <v>10646</v>
      </c>
    </row>
    <row r="668" spans="1:16">
      <c r="A668" s="139">
        <v>667</v>
      </c>
      <c r="B668" s="36" t="s">
        <v>10648</v>
      </c>
      <c r="C668" s="36" t="s">
        <v>10649</v>
      </c>
      <c r="D668" s="36" t="s">
        <v>10650</v>
      </c>
      <c r="E668" s="36" t="s">
        <v>10651</v>
      </c>
      <c r="F668" s="36" t="s">
        <v>10652</v>
      </c>
      <c r="G668" s="36" t="s">
        <v>10653</v>
      </c>
      <c r="H668" s="36" t="s">
        <v>10654</v>
      </c>
      <c r="I668" s="36" t="s">
        <v>10655</v>
      </c>
      <c r="J668" s="36" t="s">
        <v>10656</v>
      </c>
      <c r="K668" s="36" t="s">
        <v>10657</v>
      </c>
      <c r="L668" s="36" t="s">
        <v>10658</v>
      </c>
      <c r="M668" s="36" t="s">
        <v>10659</v>
      </c>
      <c r="N668" s="36" t="s">
        <v>10660</v>
      </c>
      <c r="O668" s="36" t="s">
        <v>10661</v>
      </c>
      <c r="P668" s="36" t="s">
        <v>10662</v>
      </c>
    </row>
    <row r="669" spans="1:16">
      <c r="A669" s="139">
        <v>668</v>
      </c>
      <c r="B669" s="36" t="s">
        <v>10663</v>
      </c>
      <c r="C669" s="36" t="s">
        <v>10664</v>
      </c>
      <c r="D669" s="36" t="s">
        <v>10665</v>
      </c>
      <c r="E669" s="36" t="s">
        <v>10666</v>
      </c>
      <c r="F669" s="36" t="s">
        <v>10667</v>
      </c>
      <c r="G669" s="36" t="s">
        <v>10668</v>
      </c>
      <c r="H669" s="36" t="s">
        <v>10669</v>
      </c>
      <c r="I669" s="36" t="s">
        <v>10670</v>
      </c>
      <c r="J669" s="36" t="s">
        <v>10671</v>
      </c>
      <c r="K669" s="36" t="s">
        <v>10672</v>
      </c>
      <c r="L669" s="36" t="s">
        <v>10673</v>
      </c>
      <c r="M669" s="36" t="s">
        <v>10674</v>
      </c>
      <c r="N669" s="36" t="s">
        <v>10674</v>
      </c>
      <c r="O669" s="36" t="s">
        <v>10675</v>
      </c>
      <c r="P669" s="36" t="s">
        <v>10676</v>
      </c>
    </row>
    <row r="670" spans="1:16">
      <c r="A670" s="139">
        <v>669</v>
      </c>
      <c r="B670" s="36" t="s">
        <v>10677</v>
      </c>
      <c r="C670" s="36" t="s">
        <v>10678</v>
      </c>
      <c r="D670" s="36" t="s">
        <v>10679</v>
      </c>
      <c r="E670" s="36" t="s">
        <v>10680</v>
      </c>
      <c r="F670" s="36" t="s">
        <v>10681</v>
      </c>
      <c r="G670" s="36" t="s">
        <v>10682</v>
      </c>
      <c r="H670" s="36" t="s">
        <v>10683</v>
      </c>
      <c r="I670" s="36" t="s">
        <v>10684</v>
      </c>
      <c r="J670" s="36" t="s">
        <v>10685</v>
      </c>
      <c r="K670" s="36" t="s">
        <v>10686</v>
      </c>
      <c r="L670" s="36" t="s">
        <v>10687</v>
      </c>
      <c r="M670" s="36" t="s">
        <v>10688</v>
      </c>
      <c r="N670" s="36" t="s">
        <v>10689</v>
      </c>
      <c r="O670" s="36" t="s">
        <v>10690</v>
      </c>
      <c r="P670" s="36" t="s">
        <v>10691</v>
      </c>
    </row>
    <row r="671" spans="1:16">
      <c r="A671" s="139">
        <v>670</v>
      </c>
      <c r="B671" s="36" t="s">
        <v>10692</v>
      </c>
      <c r="C671" s="36" t="s">
        <v>10693</v>
      </c>
      <c r="D671" s="36" t="s">
        <v>10694</v>
      </c>
      <c r="E671" s="36" t="s">
        <v>10695</v>
      </c>
      <c r="F671" s="36" t="s">
        <v>10696</v>
      </c>
      <c r="G671" s="36" t="s">
        <v>10697</v>
      </c>
      <c r="H671" s="36" t="s">
        <v>10698</v>
      </c>
      <c r="I671" s="36" t="s">
        <v>10699</v>
      </c>
      <c r="J671" s="36" t="s">
        <v>10700</v>
      </c>
      <c r="K671" s="36" t="s">
        <v>10701</v>
      </c>
      <c r="L671" s="36" t="s">
        <v>10702</v>
      </c>
      <c r="M671" s="36" t="s">
        <v>10703</v>
      </c>
      <c r="N671" s="36" t="s">
        <v>10704</v>
      </c>
      <c r="O671" s="36" t="s">
        <v>10705</v>
      </c>
      <c r="P671" s="36" t="s">
        <v>10706</v>
      </c>
    </row>
    <row r="672" spans="1:16">
      <c r="A672" s="139">
        <v>671</v>
      </c>
      <c r="B672" s="36" t="s">
        <v>10707</v>
      </c>
      <c r="C672" s="36" t="s">
        <v>10708</v>
      </c>
      <c r="D672" s="36" t="s">
        <v>10709</v>
      </c>
      <c r="E672" s="36" t="s">
        <v>10710</v>
      </c>
      <c r="F672" s="36" t="s">
        <v>10711</v>
      </c>
      <c r="G672" s="36" t="s">
        <v>10712</v>
      </c>
      <c r="H672" s="36" t="s">
        <v>10713</v>
      </c>
      <c r="I672" s="36" t="s">
        <v>10714</v>
      </c>
      <c r="J672" s="36" t="s">
        <v>10715</v>
      </c>
      <c r="K672" s="36" t="s">
        <v>10716</v>
      </c>
      <c r="L672" s="36" t="s">
        <v>10717</v>
      </c>
      <c r="M672" s="36" t="s">
        <v>10718</v>
      </c>
      <c r="N672" s="36" t="s">
        <v>10719</v>
      </c>
      <c r="O672" s="36" t="s">
        <v>10720</v>
      </c>
      <c r="P672" s="36" t="s">
        <v>10721</v>
      </c>
    </row>
    <row r="673" spans="1:16">
      <c r="A673" s="139">
        <v>672</v>
      </c>
      <c r="B673" s="36" t="s">
        <v>10722</v>
      </c>
      <c r="C673" s="36" t="s">
        <v>10723</v>
      </c>
      <c r="D673" s="36" t="s">
        <v>10724</v>
      </c>
      <c r="E673" s="36" t="s">
        <v>10725</v>
      </c>
      <c r="F673" s="36" t="s">
        <v>10726</v>
      </c>
      <c r="G673" s="36" t="s">
        <v>10727</v>
      </c>
      <c r="H673" s="36" t="s">
        <v>10728</v>
      </c>
      <c r="I673" s="36" t="s">
        <v>10729</v>
      </c>
      <c r="J673" s="36" t="s">
        <v>10730</v>
      </c>
      <c r="K673" s="36" t="s">
        <v>10731</v>
      </c>
      <c r="L673" s="36" t="s">
        <v>10732</v>
      </c>
      <c r="M673" s="36" t="s">
        <v>10733</v>
      </c>
      <c r="N673" s="36" t="s">
        <v>10734</v>
      </c>
      <c r="O673" s="36" t="s">
        <v>10735</v>
      </c>
      <c r="P673" s="36" t="s">
        <v>10736</v>
      </c>
    </row>
    <row r="674" spans="1:16">
      <c r="A674" s="139">
        <v>673</v>
      </c>
      <c r="B674" s="36" t="s">
        <v>10737</v>
      </c>
      <c r="C674" s="36" t="s">
        <v>10738</v>
      </c>
      <c r="D674" s="36" t="s">
        <v>10739</v>
      </c>
      <c r="E674" s="36" t="s">
        <v>10740</v>
      </c>
      <c r="F674" s="36" t="s">
        <v>10741</v>
      </c>
      <c r="G674" s="36" t="s">
        <v>10742</v>
      </c>
      <c r="H674" s="36" t="s">
        <v>10743</v>
      </c>
      <c r="I674" s="36" t="s">
        <v>10744</v>
      </c>
      <c r="J674" s="36" t="s">
        <v>10745</v>
      </c>
      <c r="K674" s="36" t="s">
        <v>10746</v>
      </c>
      <c r="L674" s="36" t="s">
        <v>10747</v>
      </c>
      <c r="M674" s="36" t="s">
        <v>10748</v>
      </c>
      <c r="N674" s="36" t="s">
        <v>10749</v>
      </c>
      <c r="O674" s="36" t="s">
        <v>10750</v>
      </c>
      <c r="P674" s="36" t="s">
        <v>10751</v>
      </c>
    </row>
    <row r="675" spans="1:16" ht="13.95" customHeight="1">
      <c r="A675" s="139">
        <v>674</v>
      </c>
      <c r="B675" s="36" t="s">
        <v>10752</v>
      </c>
      <c r="C675" s="36" t="s">
        <v>10753</v>
      </c>
      <c r="D675" s="36" t="s">
        <v>10754</v>
      </c>
      <c r="E675" s="36" t="s">
        <v>10755</v>
      </c>
      <c r="F675" s="36" t="s">
        <v>10756</v>
      </c>
      <c r="G675" s="36" t="s">
        <v>10757</v>
      </c>
      <c r="H675" s="36" t="s">
        <v>10758</v>
      </c>
      <c r="I675" s="36" t="s">
        <v>10759</v>
      </c>
      <c r="J675" s="36" t="s">
        <v>10760</v>
      </c>
      <c r="K675" s="36" t="s">
        <v>10761</v>
      </c>
      <c r="L675" s="36" t="s">
        <v>10762</v>
      </c>
      <c r="M675" s="36" t="s">
        <v>10763</v>
      </c>
      <c r="N675" s="36" t="s">
        <v>10764</v>
      </c>
      <c r="O675" s="36" t="s">
        <v>10765</v>
      </c>
      <c r="P675" s="36" t="s">
        <v>10766</v>
      </c>
    </row>
    <row r="676" spans="1:16">
      <c r="A676" s="139">
        <v>675</v>
      </c>
      <c r="B676" s="36" t="s">
        <v>10767</v>
      </c>
      <c r="C676" s="36" t="s">
        <v>10768</v>
      </c>
      <c r="D676" s="36" t="s">
        <v>10769</v>
      </c>
      <c r="E676" s="36" t="s">
        <v>10770</v>
      </c>
      <c r="F676" s="36" t="s">
        <v>10771</v>
      </c>
      <c r="G676" s="36" t="s">
        <v>10772</v>
      </c>
      <c r="H676" s="36" t="s">
        <v>10773</v>
      </c>
      <c r="I676" s="36" t="s">
        <v>10774</v>
      </c>
      <c r="J676" s="36" t="s">
        <v>10775</v>
      </c>
      <c r="K676" s="36" t="s">
        <v>10776</v>
      </c>
      <c r="L676" s="36" t="s">
        <v>10777</v>
      </c>
      <c r="M676" s="36" t="s">
        <v>10778</v>
      </c>
      <c r="N676" s="36" t="s">
        <v>10779</v>
      </c>
      <c r="O676" s="36" t="s">
        <v>10780</v>
      </c>
      <c r="P676" s="36" t="s">
        <v>10781</v>
      </c>
    </row>
    <row r="677" spans="1:16">
      <c r="A677" s="139">
        <v>676</v>
      </c>
      <c r="B677" s="36" t="s">
        <v>10782</v>
      </c>
      <c r="C677" s="36" t="s">
        <v>10783</v>
      </c>
      <c r="D677" s="36" t="s">
        <v>10784</v>
      </c>
      <c r="E677" s="36" t="s">
        <v>10785</v>
      </c>
      <c r="F677" s="36" t="s">
        <v>10786</v>
      </c>
      <c r="G677" s="36" t="s">
        <v>10787</v>
      </c>
      <c r="H677" s="36" t="s">
        <v>10788</v>
      </c>
      <c r="I677" s="36" t="s">
        <v>10789</v>
      </c>
      <c r="J677" s="36" t="s">
        <v>10790</v>
      </c>
      <c r="K677" s="36" t="s">
        <v>10791</v>
      </c>
      <c r="L677" s="36" t="s">
        <v>10792</v>
      </c>
      <c r="M677" s="36" t="s">
        <v>10793</v>
      </c>
      <c r="N677" s="36" t="s">
        <v>10794</v>
      </c>
      <c r="O677" s="36" t="s">
        <v>10795</v>
      </c>
      <c r="P677" s="36" t="s">
        <v>10796</v>
      </c>
    </row>
    <row r="678" spans="1:16">
      <c r="A678" s="139">
        <v>677</v>
      </c>
      <c r="B678" s="36" t="s">
        <v>10797</v>
      </c>
      <c r="C678" s="36" t="s">
        <v>10798</v>
      </c>
      <c r="D678" s="36" t="s">
        <v>10799</v>
      </c>
      <c r="E678" s="36" t="s">
        <v>10800</v>
      </c>
      <c r="F678" s="36" t="s">
        <v>10801</v>
      </c>
      <c r="G678" s="36" t="s">
        <v>10802</v>
      </c>
      <c r="H678" s="36" t="s">
        <v>10803</v>
      </c>
      <c r="I678" s="36" t="s">
        <v>10804</v>
      </c>
      <c r="J678" s="36" t="s">
        <v>10805</v>
      </c>
      <c r="K678" s="36" t="s">
        <v>10806</v>
      </c>
      <c r="L678" s="36" t="s">
        <v>10807</v>
      </c>
      <c r="M678" s="36" t="s">
        <v>10808</v>
      </c>
      <c r="N678" s="36" t="s">
        <v>10809</v>
      </c>
      <c r="O678" s="36" t="s">
        <v>10810</v>
      </c>
      <c r="P678" s="36" t="s">
        <v>10797</v>
      </c>
    </row>
    <row r="679" spans="1:16">
      <c r="A679" s="139">
        <v>678</v>
      </c>
      <c r="B679" s="36" t="s">
        <v>10811</v>
      </c>
      <c r="C679" s="36" t="s">
        <v>10812</v>
      </c>
      <c r="D679" s="36" t="s">
        <v>10813</v>
      </c>
      <c r="E679" s="36" t="s">
        <v>10814</v>
      </c>
      <c r="F679" s="36" t="s">
        <v>10815</v>
      </c>
      <c r="G679" s="36" t="s">
        <v>10816</v>
      </c>
      <c r="H679" s="36" t="s">
        <v>10817</v>
      </c>
      <c r="I679" s="36" t="s">
        <v>10818</v>
      </c>
      <c r="J679" s="36" t="s">
        <v>10819</v>
      </c>
      <c r="K679" s="36" t="s">
        <v>10820</v>
      </c>
      <c r="L679" s="36" t="s">
        <v>10821</v>
      </c>
      <c r="M679" s="36" t="s">
        <v>10822</v>
      </c>
      <c r="N679" s="36" t="s">
        <v>10823</v>
      </c>
      <c r="O679" s="36" t="s">
        <v>10824</v>
      </c>
      <c r="P679" s="36" t="s">
        <v>10825</v>
      </c>
    </row>
    <row r="680" spans="1:16">
      <c r="A680" s="139">
        <v>679</v>
      </c>
      <c r="B680" s="36" t="s">
        <v>10826</v>
      </c>
      <c r="C680" s="36" t="s">
        <v>10827</v>
      </c>
      <c r="D680" s="36" t="s">
        <v>10828</v>
      </c>
      <c r="E680" s="36" t="s">
        <v>10829</v>
      </c>
      <c r="F680" s="36" t="s">
        <v>10830</v>
      </c>
      <c r="G680" s="36" t="s">
        <v>10831</v>
      </c>
      <c r="H680" s="36" t="s">
        <v>10832</v>
      </c>
      <c r="I680" s="36" t="s">
        <v>10833</v>
      </c>
      <c r="J680" s="36" t="s">
        <v>10834</v>
      </c>
      <c r="K680" s="36" t="s">
        <v>10835</v>
      </c>
      <c r="L680" s="36" t="s">
        <v>10836</v>
      </c>
      <c r="M680" s="36" t="s">
        <v>10837</v>
      </c>
      <c r="N680" s="36" t="s">
        <v>10838</v>
      </c>
      <c r="O680" s="36" t="s">
        <v>10839</v>
      </c>
      <c r="P680" s="36" t="s">
        <v>10840</v>
      </c>
    </row>
    <row r="681" spans="1:16">
      <c r="A681" s="139">
        <v>680</v>
      </c>
      <c r="B681" s="36" t="s">
        <v>10841</v>
      </c>
      <c r="C681" s="36" t="s">
        <v>10842</v>
      </c>
      <c r="D681" s="36" t="s">
        <v>10843</v>
      </c>
      <c r="E681" s="36" t="s">
        <v>10844</v>
      </c>
      <c r="F681" s="36" t="s">
        <v>10845</v>
      </c>
      <c r="G681" s="36" t="s">
        <v>10846</v>
      </c>
      <c r="H681" s="36" t="s">
        <v>10847</v>
      </c>
      <c r="I681" s="36" t="s">
        <v>10848</v>
      </c>
      <c r="J681" s="36" t="s">
        <v>10849</v>
      </c>
      <c r="K681" s="36" t="s">
        <v>10850</v>
      </c>
      <c r="L681" s="36" t="s">
        <v>10851</v>
      </c>
      <c r="M681" s="36" t="s">
        <v>10852</v>
      </c>
      <c r="N681" s="36" t="s">
        <v>10853</v>
      </c>
      <c r="O681" s="36" t="s">
        <v>10854</v>
      </c>
      <c r="P681" s="36" t="s">
        <v>10841</v>
      </c>
    </row>
    <row r="682" spans="1:16">
      <c r="A682" s="139">
        <v>681</v>
      </c>
      <c r="B682" s="36" t="s">
        <v>10855</v>
      </c>
      <c r="C682" s="36" t="s">
        <v>10856</v>
      </c>
      <c r="D682" s="36" t="s">
        <v>10857</v>
      </c>
      <c r="E682" s="36" t="s">
        <v>10858</v>
      </c>
      <c r="F682" s="36" t="s">
        <v>10859</v>
      </c>
      <c r="G682" s="36" t="s">
        <v>10860</v>
      </c>
      <c r="H682" s="36" t="s">
        <v>10861</v>
      </c>
      <c r="I682" s="36" t="s">
        <v>10862</v>
      </c>
      <c r="J682" s="36" t="s">
        <v>10863</v>
      </c>
      <c r="K682" s="36" t="s">
        <v>10864</v>
      </c>
      <c r="L682" s="36" t="s">
        <v>10865</v>
      </c>
      <c r="M682" s="36" t="s">
        <v>10866</v>
      </c>
      <c r="N682" s="36" t="s">
        <v>10867</v>
      </c>
      <c r="O682" s="36" t="s">
        <v>10868</v>
      </c>
      <c r="P682" s="36" t="s">
        <v>10855</v>
      </c>
    </row>
    <row r="683" spans="1:16">
      <c r="A683" s="139">
        <v>682</v>
      </c>
      <c r="B683" s="36" t="s">
        <v>10869</v>
      </c>
      <c r="C683" s="36" t="s">
        <v>4137</v>
      </c>
      <c r="D683" s="36" t="s">
        <v>4138</v>
      </c>
      <c r="E683" s="36" t="s">
        <v>10870</v>
      </c>
      <c r="F683" s="36" t="s">
        <v>10871</v>
      </c>
      <c r="G683" s="36" t="s">
        <v>10872</v>
      </c>
      <c r="H683" s="36" t="s">
        <v>10873</v>
      </c>
      <c r="I683" s="36" t="s">
        <v>10874</v>
      </c>
      <c r="J683" s="36" t="s">
        <v>10875</v>
      </c>
      <c r="K683" s="36" t="s">
        <v>10876</v>
      </c>
      <c r="L683" s="36" t="s">
        <v>10877</v>
      </c>
      <c r="M683" s="36" t="s">
        <v>10878</v>
      </c>
      <c r="N683" s="36" t="s">
        <v>10879</v>
      </c>
      <c r="O683" s="36" t="s">
        <v>10880</v>
      </c>
      <c r="P683" s="36" t="s">
        <v>10869</v>
      </c>
    </row>
    <row r="684" spans="1:16">
      <c r="A684" s="139">
        <v>683</v>
      </c>
      <c r="B684" s="36" t="s">
        <v>10881</v>
      </c>
      <c r="C684" s="36" t="s">
        <v>10882</v>
      </c>
      <c r="D684" s="36" t="s">
        <v>10883</v>
      </c>
      <c r="E684" s="36" t="s">
        <v>10884</v>
      </c>
      <c r="F684" s="36" t="s">
        <v>10885</v>
      </c>
      <c r="G684" s="36" t="s">
        <v>10886</v>
      </c>
      <c r="H684" s="36" t="s">
        <v>10887</v>
      </c>
      <c r="I684" s="36" t="s">
        <v>10888</v>
      </c>
      <c r="J684" s="36" t="s">
        <v>10889</v>
      </c>
      <c r="K684" s="36" t="s">
        <v>10890</v>
      </c>
      <c r="L684" s="36" t="s">
        <v>10891</v>
      </c>
      <c r="M684" s="36" t="s">
        <v>10892</v>
      </c>
      <c r="N684" s="36" t="s">
        <v>10893</v>
      </c>
      <c r="O684" s="36" t="s">
        <v>10890</v>
      </c>
      <c r="P684" s="36" t="s">
        <v>10881</v>
      </c>
    </row>
    <row r="685" spans="1:16">
      <c r="A685" s="139">
        <v>684</v>
      </c>
      <c r="B685" s="36" t="s">
        <v>10894</v>
      </c>
      <c r="C685" s="36" t="s">
        <v>10895</v>
      </c>
      <c r="D685" s="36" t="s">
        <v>10896</v>
      </c>
      <c r="E685" s="36" t="s">
        <v>10897</v>
      </c>
      <c r="F685" s="36" t="s">
        <v>10898</v>
      </c>
      <c r="G685" s="36" t="s">
        <v>10899</v>
      </c>
      <c r="H685" s="36" t="s">
        <v>10900</v>
      </c>
      <c r="I685" s="36" t="s">
        <v>10901</v>
      </c>
      <c r="J685" s="36" t="s">
        <v>10902</v>
      </c>
      <c r="K685" s="36" t="s">
        <v>10903</v>
      </c>
      <c r="L685" s="36" t="s">
        <v>10904</v>
      </c>
      <c r="M685" s="36" t="s">
        <v>10905</v>
      </c>
      <c r="N685" s="36" t="s">
        <v>10906</v>
      </c>
      <c r="O685" s="36" t="s">
        <v>10907</v>
      </c>
      <c r="P685" s="36" t="s">
        <v>10894</v>
      </c>
    </row>
    <row r="686" spans="1:16">
      <c r="A686" s="139">
        <v>685</v>
      </c>
      <c r="B686" s="36" t="s">
        <v>10908</v>
      </c>
      <c r="C686" s="36" t="s">
        <v>10909</v>
      </c>
      <c r="D686" s="36" t="s">
        <v>10910</v>
      </c>
      <c r="E686" s="36" t="s">
        <v>10911</v>
      </c>
      <c r="F686" s="36" t="s">
        <v>10912</v>
      </c>
      <c r="G686" s="36" t="s">
        <v>10913</v>
      </c>
      <c r="H686" s="36" t="s">
        <v>10914</v>
      </c>
      <c r="I686" s="36" t="s">
        <v>10915</v>
      </c>
      <c r="J686" s="36" t="s">
        <v>10916</v>
      </c>
      <c r="K686" s="36" t="s">
        <v>10917</v>
      </c>
      <c r="L686" s="36" t="s">
        <v>10918</v>
      </c>
      <c r="M686" s="36" t="s">
        <v>10919</v>
      </c>
      <c r="N686" s="36" t="s">
        <v>10920</v>
      </c>
      <c r="O686" s="36" t="s">
        <v>10921</v>
      </c>
      <c r="P686" s="36" t="s">
        <v>10908</v>
      </c>
    </row>
    <row r="687" spans="1:16">
      <c r="A687" s="139">
        <v>686</v>
      </c>
      <c r="B687" s="36" t="s">
        <v>10922</v>
      </c>
      <c r="C687" s="36" t="s">
        <v>10923</v>
      </c>
      <c r="D687" s="36" t="s">
        <v>10924</v>
      </c>
      <c r="E687" s="36" t="s">
        <v>10925</v>
      </c>
      <c r="F687" s="36" t="s">
        <v>7886</v>
      </c>
      <c r="G687" s="36" t="s">
        <v>10926</v>
      </c>
      <c r="H687" s="36" t="s">
        <v>10927</v>
      </c>
      <c r="I687" s="36" t="s">
        <v>10928</v>
      </c>
      <c r="J687" s="36" t="s">
        <v>10929</v>
      </c>
      <c r="K687" s="36" t="s">
        <v>10930</v>
      </c>
      <c r="L687" s="36" t="s">
        <v>10931</v>
      </c>
      <c r="M687" s="36" t="s">
        <v>10932</v>
      </c>
      <c r="N687" s="36" t="s">
        <v>10933</v>
      </c>
      <c r="O687" s="36" t="s">
        <v>10934</v>
      </c>
      <c r="P687" s="36" t="s">
        <v>10922</v>
      </c>
    </row>
    <row r="688" spans="1:16">
      <c r="A688" s="139">
        <v>687</v>
      </c>
      <c r="B688" s="36" t="s">
        <v>10935</v>
      </c>
      <c r="C688" s="36" t="s">
        <v>10936</v>
      </c>
      <c r="D688" s="36" t="s">
        <v>10937</v>
      </c>
      <c r="E688" s="36" t="s">
        <v>10938</v>
      </c>
      <c r="F688" s="36" t="s">
        <v>10939</v>
      </c>
      <c r="G688" s="36" t="s">
        <v>10940</v>
      </c>
      <c r="H688" s="36" t="s">
        <v>10941</v>
      </c>
      <c r="I688" s="36" t="s">
        <v>10942</v>
      </c>
      <c r="J688" s="36" t="s">
        <v>10943</v>
      </c>
      <c r="K688" s="36" t="s">
        <v>10944</v>
      </c>
      <c r="L688" s="36" t="s">
        <v>10945</v>
      </c>
      <c r="M688" s="36" t="s">
        <v>10946</v>
      </c>
      <c r="N688" s="36" t="s">
        <v>10947</v>
      </c>
      <c r="O688" s="36" t="s">
        <v>10948</v>
      </c>
      <c r="P688" s="36" t="s">
        <v>10935</v>
      </c>
    </row>
    <row r="689" spans="1:16">
      <c r="A689" s="139">
        <v>688</v>
      </c>
      <c r="B689" s="36" t="s">
        <v>10949</v>
      </c>
      <c r="C689" s="36" t="s">
        <v>10950</v>
      </c>
      <c r="D689" s="36" t="s">
        <v>10951</v>
      </c>
      <c r="E689" s="36" t="s">
        <v>10952</v>
      </c>
      <c r="F689" s="36" t="s">
        <v>10953</v>
      </c>
      <c r="G689" s="36" t="s">
        <v>10954</v>
      </c>
      <c r="H689" s="36" t="s">
        <v>10955</v>
      </c>
      <c r="I689" s="36" t="s">
        <v>10956</v>
      </c>
      <c r="J689" s="36" t="s">
        <v>10957</v>
      </c>
      <c r="K689" s="36" t="s">
        <v>10958</v>
      </c>
      <c r="L689" s="36" t="s">
        <v>10959</v>
      </c>
      <c r="M689" s="36" t="s">
        <v>10960</v>
      </c>
      <c r="N689" s="36" t="s">
        <v>10961</v>
      </c>
      <c r="O689" s="36" t="s">
        <v>10962</v>
      </c>
      <c r="P689" s="36" t="s">
        <v>10949</v>
      </c>
    </row>
    <row r="690" spans="1:16">
      <c r="A690" s="139">
        <v>689</v>
      </c>
      <c r="B690" s="36" t="s">
        <v>10963</v>
      </c>
      <c r="C690" s="36" t="s">
        <v>10964</v>
      </c>
      <c r="D690" s="36" t="s">
        <v>10965</v>
      </c>
      <c r="E690" s="36" t="s">
        <v>10966</v>
      </c>
      <c r="F690" s="36" t="s">
        <v>10967</v>
      </c>
      <c r="G690" s="36" t="s">
        <v>10968</v>
      </c>
      <c r="H690" s="36" t="s">
        <v>10969</v>
      </c>
      <c r="I690" s="36" t="s">
        <v>10970</v>
      </c>
      <c r="J690" s="36" t="s">
        <v>10971</v>
      </c>
      <c r="K690" s="36" t="s">
        <v>10972</v>
      </c>
      <c r="L690" s="36" t="s">
        <v>10973</v>
      </c>
      <c r="M690" s="36" t="s">
        <v>10974</v>
      </c>
      <c r="N690" s="36" t="s">
        <v>10975</v>
      </c>
      <c r="O690" s="36" t="s">
        <v>10976</v>
      </c>
      <c r="P690" s="36" t="s">
        <v>10963</v>
      </c>
    </row>
    <row r="691" spans="1:16">
      <c r="A691" s="139">
        <v>690</v>
      </c>
      <c r="B691" s="36" t="s">
        <v>10977</v>
      </c>
      <c r="C691" s="36" t="s">
        <v>10978</v>
      </c>
      <c r="D691" s="36" t="s">
        <v>10979</v>
      </c>
      <c r="E691" s="36" t="s">
        <v>10980</v>
      </c>
      <c r="F691" s="36" t="s">
        <v>10981</v>
      </c>
      <c r="G691" s="36" t="s">
        <v>10982</v>
      </c>
      <c r="H691" s="36" t="s">
        <v>10983</v>
      </c>
      <c r="I691" s="36" t="s">
        <v>10984</v>
      </c>
      <c r="J691" s="36" t="s">
        <v>10985</v>
      </c>
      <c r="K691" s="36" t="s">
        <v>10986</v>
      </c>
      <c r="L691" s="36" t="s">
        <v>10987</v>
      </c>
      <c r="M691" s="36" t="s">
        <v>10988</v>
      </c>
      <c r="N691" s="36" t="s">
        <v>10989</v>
      </c>
      <c r="O691" s="36" t="s">
        <v>10990</v>
      </c>
      <c r="P691" s="36" t="s">
        <v>10977</v>
      </c>
    </row>
    <row r="692" spans="1:16">
      <c r="A692" s="139">
        <v>691</v>
      </c>
      <c r="B692" s="36" t="s">
        <v>10991</v>
      </c>
      <c r="C692" s="36" t="s">
        <v>10992</v>
      </c>
      <c r="D692" s="36" t="s">
        <v>10993</v>
      </c>
      <c r="E692" s="36" t="s">
        <v>10994</v>
      </c>
      <c r="F692" s="36" t="s">
        <v>10995</v>
      </c>
      <c r="G692" s="36" t="s">
        <v>10996</v>
      </c>
      <c r="H692" s="36" t="s">
        <v>10997</v>
      </c>
      <c r="I692" s="36" t="s">
        <v>10998</v>
      </c>
      <c r="J692" s="36" t="s">
        <v>10999</v>
      </c>
      <c r="K692" s="36" t="s">
        <v>11000</v>
      </c>
      <c r="L692" s="36" t="s">
        <v>11001</v>
      </c>
      <c r="M692" s="36" t="s">
        <v>11002</v>
      </c>
      <c r="N692" s="36" t="s">
        <v>11003</v>
      </c>
      <c r="O692" s="36" t="s">
        <v>11004</v>
      </c>
      <c r="P692" s="36" t="s">
        <v>11005</v>
      </c>
    </row>
    <row r="693" spans="1:16">
      <c r="A693" s="139">
        <v>692</v>
      </c>
      <c r="B693" s="36" t="s">
        <v>11006</v>
      </c>
      <c r="C693" s="36" t="s">
        <v>11007</v>
      </c>
      <c r="D693" s="36" t="s">
        <v>11008</v>
      </c>
      <c r="E693" s="36" t="s">
        <v>11009</v>
      </c>
      <c r="F693" s="36" t="s">
        <v>11010</v>
      </c>
      <c r="G693" s="36" t="s">
        <v>11011</v>
      </c>
      <c r="H693" s="36" t="s">
        <v>11012</v>
      </c>
      <c r="I693" s="36" t="s">
        <v>11013</v>
      </c>
      <c r="J693" s="36" t="s">
        <v>11014</v>
      </c>
      <c r="K693" s="36" t="s">
        <v>11015</v>
      </c>
      <c r="L693" s="36" t="s">
        <v>11016</v>
      </c>
      <c r="M693" s="36" t="s">
        <v>11017</v>
      </c>
      <c r="N693" s="36" t="s">
        <v>11018</v>
      </c>
      <c r="O693" s="36" t="s">
        <v>11019</v>
      </c>
      <c r="P693" s="36" t="s">
        <v>11006</v>
      </c>
    </row>
    <row r="694" spans="1:16">
      <c r="A694" s="139">
        <v>693</v>
      </c>
      <c r="B694" s="36" t="s">
        <v>11020</v>
      </c>
      <c r="C694" s="36" t="s">
        <v>11021</v>
      </c>
      <c r="D694" s="36" t="s">
        <v>11022</v>
      </c>
      <c r="E694" s="36" t="s">
        <v>11009</v>
      </c>
      <c r="F694" s="36" t="s">
        <v>11010</v>
      </c>
      <c r="G694" s="36" t="s">
        <v>11023</v>
      </c>
      <c r="H694" s="36" t="s">
        <v>11024</v>
      </c>
      <c r="I694" s="36" t="s">
        <v>11025</v>
      </c>
      <c r="J694" s="36" t="s">
        <v>11026</v>
      </c>
      <c r="K694" s="36" t="s">
        <v>11015</v>
      </c>
      <c r="L694" s="36" t="s">
        <v>11027</v>
      </c>
      <c r="M694" s="36" t="s">
        <v>11028</v>
      </c>
      <c r="N694" s="36" t="s">
        <v>11029</v>
      </c>
      <c r="O694" s="36" t="s">
        <v>11030</v>
      </c>
      <c r="P694" s="36" t="s">
        <v>11020</v>
      </c>
    </row>
    <row r="695" spans="1:16">
      <c r="A695" s="139">
        <v>694</v>
      </c>
      <c r="B695" s="36" t="s">
        <v>11031</v>
      </c>
      <c r="C695" s="36" t="s">
        <v>11032</v>
      </c>
      <c r="D695" s="36" t="s">
        <v>11033</v>
      </c>
      <c r="E695" s="36" t="s">
        <v>11034</v>
      </c>
      <c r="F695" s="36" t="s">
        <v>11035</v>
      </c>
      <c r="G695" s="36" t="s">
        <v>11036</v>
      </c>
      <c r="H695" s="36" t="s">
        <v>11037</v>
      </c>
      <c r="I695" s="36" t="s">
        <v>11038</v>
      </c>
      <c r="J695" s="36" t="s">
        <v>11039</v>
      </c>
      <c r="K695" s="36" t="s">
        <v>11040</v>
      </c>
      <c r="L695" s="36" t="s">
        <v>11041</v>
      </c>
      <c r="M695" s="36" t="s">
        <v>11042</v>
      </c>
      <c r="N695" s="36" t="s">
        <v>11043</v>
      </c>
      <c r="O695" s="36" t="s">
        <v>11044</v>
      </c>
      <c r="P695" s="36" t="s">
        <v>11031</v>
      </c>
    </row>
    <row r="696" spans="1:16">
      <c r="A696" s="139">
        <v>695</v>
      </c>
      <c r="B696" s="36" t="s">
        <v>11045</v>
      </c>
      <c r="C696" s="36" t="s">
        <v>11046</v>
      </c>
      <c r="D696" s="36" t="s">
        <v>11047</v>
      </c>
      <c r="E696" s="36" t="s">
        <v>11048</v>
      </c>
      <c r="F696" s="36" t="s">
        <v>11049</v>
      </c>
      <c r="G696" s="36" t="s">
        <v>11050</v>
      </c>
      <c r="H696" s="36" t="s">
        <v>11051</v>
      </c>
      <c r="I696" s="36" t="s">
        <v>11052</v>
      </c>
      <c r="J696" s="36" t="s">
        <v>11053</v>
      </c>
      <c r="K696" s="36" t="s">
        <v>11054</v>
      </c>
      <c r="L696" s="36" t="s">
        <v>11055</v>
      </c>
      <c r="M696" s="36" t="s">
        <v>11056</v>
      </c>
      <c r="N696" s="36" t="s">
        <v>11057</v>
      </c>
      <c r="O696" s="36" t="s">
        <v>11058</v>
      </c>
      <c r="P696" s="36" t="s">
        <v>11045</v>
      </c>
    </row>
    <row r="697" spans="1:16">
      <c r="A697" s="139">
        <v>696</v>
      </c>
      <c r="B697" s="36" t="s">
        <v>11059</v>
      </c>
      <c r="C697" s="36" t="s">
        <v>11060</v>
      </c>
      <c r="D697" s="36" t="s">
        <v>11061</v>
      </c>
      <c r="E697" s="36" t="s">
        <v>11062</v>
      </c>
      <c r="F697" s="36" t="s">
        <v>11063</v>
      </c>
      <c r="G697" s="36" t="s">
        <v>11064</v>
      </c>
      <c r="H697" s="36" t="s">
        <v>11065</v>
      </c>
      <c r="I697" s="36" t="s">
        <v>11066</v>
      </c>
      <c r="J697" s="36" t="s">
        <v>11067</v>
      </c>
      <c r="K697" s="36" t="s">
        <v>11068</v>
      </c>
      <c r="L697" s="36" t="s">
        <v>11069</v>
      </c>
      <c r="M697" s="36" t="s">
        <v>11070</v>
      </c>
      <c r="N697" s="36" t="s">
        <v>11071</v>
      </c>
      <c r="O697" s="36" t="s">
        <v>11072</v>
      </c>
      <c r="P697" s="36" t="s">
        <v>11059</v>
      </c>
    </row>
    <row r="698" spans="1:16">
      <c r="A698" s="139">
        <v>697</v>
      </c>
      <c r="B698" s="36" t="s">
        <v>11073</v>
      </c>
      <c r="C698" s="36" t="s">
        <v>11074</v>
      </c>
      <c r="D698" s="36" t="s">
        <v>11075</v>
      </c>
      <c r="E698" s="36" t="s">
        <v>8829</v>
      </c>
      <c r="F698" s="36" t="s">
        <v>8830</v>
      </c>
      <c r="G698" s="36" t="s">
        <v>11076</v>
      </c>
      <c r="H698" s="36" t="s">
        <v>11077</v>
      </c>
      <c r="I698" s="36" t="s">
        <v>11078</v>
      </c>
      <c r="J698" s="36" t="s">
        <v>11079</v>
      </c>
      <c r="K698" s="36" t="s">
        <v>11080</v>
      </c>
      <c r="L698" s="36" t="s">
        <v>11081</v>
      </c>
      <c r="M698" s="36" t="s">
        <v>11082</v>
      </c>
      <c r="N698" s="36" t="s">
        <v>11083</v>
      </c>
      <c r="O698" s="36" t="s">
        <v>11084</v>
      </c>
      <c r="P698" s="36" t="s">
        <v>11073</v>
      </c>
    </row>
    <row r="699" spans="1:16">
      <c r="A699" s="139">
        <v>698</v>
      </c>
      <c r="B699" s="36" t="s">
        <v>11085</v>
      </c>
      <c r="C699" s="36" t="s">
        <v>11086</v>
      </c>
      <c r="D699" s="36" t="s">
        <v>11087</v>
      </c>
      <c r="E699" s="36" t="s">
        <v>11088</v>
      </c>
      <c r="F699" s="36" t="s">
        <v>11089</v>
      </c>
      <c r="G699" s="36" t="s">
        <v>11090</v>
      </c>
      <c r="H699" s="36" t="s">
        <v>11091</v>
      </c>
      <c r="I699" s="36" t="s">
        <v>11092</v>
      </c>
      <c r="J699" s="36" t="s">
        <v>11093</v>
      </c>
      <c r="K699" s="36" t="s">
        <v>11094</v>
      </c>
      <c r="L699" s="36" t="s">
        <v>11095</v>
      </c>
      <c r="M699" s="36" t="s">
        <v>11096</v>
      </c>
      <c r="N699" s="36" t="s">
        <v>11097</v>
      </c>
      <c r="O699" s="36" t="s">
        <v>11098</v>
      </c>
      <c r="P699" s="36" t="s">
        <v>11085</v>
      </c>
    </row>
    <row r="700" spans="1:16">
      <c r="A700" s="139">
        <v>699</v>
      </c>
      <c r="B700" s="36" t="s">
        <v>11099</v>
      </c>
      <c r="C700" s="36" t="s">
        <v>11100</v>
      </c>
      <c r="D700" s="36" t="s">
        <v>11101</v>
      </c>
      <c r="E700" s="36" t="s">
        <v>11102</v>
      </c>
      <c r="F700" s="36" t="s">
        <v>11103</v>
      </c>
      <c r="G700" s="36" t="s">
        <v>11104</v>
      </c>
      <c r="H700" s="36" t="s">
        <v>11105</v>
      </c>
      <c r="I700" s="36" t="s">
        <v>11106</v>
      </c>
      <c r="J700" s="36" t="s">
        <v>11107</v>
      </c>
      <c r="K700" s="36" t="s">
        <v>11108</v>
      </c>
      <c r="L700" s="36" t="s">
        <v>11109</v>
      </c>
      <c r="M700" s="36" t="s">
        <v>11110</v>
      </c>
      <c r="N700" s="36" t="s">
        <v>11111</v>
      </c>
      <c r="O700" s="36" t="s">
        <v>11112</v>
      </c>
      <c r="P700" s="36" t="s">
        <v>11113</v>
      </c>
    </row>
    <row r="701" spans="1:16">
      <c r="A701" s="139">
        <v>700</v>
      </c>
      <c r="B701" s="36" t="s">
        <v>11114</v>
      </c>
      <c r="C701" s="36" t="s">
        <v>11115</v>
      </c>
      <c r="D701" s="36" t="s">
        <v>11116</v>
      </c>
      <c r="E701" s="36" t="s">
        <v>11117</v>
      </c>
      <c r="F701" s="36" t="s">
        <v>11118</v>
      </c>
      <c r="G701" s="36" t="s">
        <v>11119</v>
      </c>
      <c r="H701" s="36" t="s">
        <v>11120</v>
      </c>
      <c r="I701" s="36" t="s">
        <v>11121</v>
      </c>
      <c r="J701" s="36" t="s">
        <v>11122</v>
      </c>
      <c r="K701" s="36" t="s">
        <v>11123</v>
      </c>
      <c r="L701" s="36" t="s">
        <v>11124</v>
      </c>
      <c r="M701" s="36" t="s">
        <v>11125</v>
      </c>
      <c r="N701" s="36" t="s">
        <v>11126</v>
      </c>
      <c r="O701" s="36" t="s">
        <v>11127</v>
      </c>
      <c r="P701" s="36" t="s">
        <v>11114</v>
      </c>
    </row>
    <row r="702" spans="1:16" ht="13.95" customHeight="1">
      <c r="A702" s="139">
        <v>701</v>
      </c>
      <c r="B702" s="36" t="s">
        <v>11128</v>
      </c>
      <c r="C702" s="36" t="s">
        <v>11129</v>
      </c>
      <c r="D702" s="36" t="s">
        <v>11130</v>
      </c>
      <c r="E702" s="36" t="s">
        <v>11131</v>
      </c>
      <c r="F702" s="36" t="s">
        <v>11132</v>
      </c>
      <c r="G702" s="36" t="s">
        <v>11133</v>
      </c>
      <c r="H702" s="36" t="s">
        <v>11134</v>
      </c>
      <c r="I702" s="36" t="s">
        <v>11135</v>
      </c>
      <c r="J702" s="36" t="s">
        <v>11136</v>
      </c>
      <c r="K702" s="36" t="s">
        <v>11137</v>
      </c>
      <c r="L702" s="36" t="s">
        <v>11138</v>
      </c>
      <c r="M702" s="36" t="s">
        <v>11139</v>
      </c>
      <c r="N702" s="36" t="s">
        <v>11140</v>
      </c>
      <c r="O702" s="36" t="s">
        <v>11141</v>
      </c>
      <c r="P702" s="36" t="s">
        <v>11128</v>
      </c>
    </row>
    <row r="703" spans="1:16" ht="13.95" customHeight="1">
      <c r="A703" s="139">
        <v>702</v>
      </c>
      <c r="B703" s="36" t="s">
        <v>11142</v>
      </c>
      <c r="C703" s="36" t="s">
        <v>11143</v>
      </c>
      <c r="D703" s="36" t="s">
        <v>11144</v>
      </c>
      <c r="E703" s="36" t="s">
        <v>11145</v>
      </c>
      <c r="F703" s="36" t="s">
        <v>11146</v>
      </c>
      <c r="G703" s="36" t="s">
        <v>11147</v>
      </c>
      <c r="H703" s="36" t="s">
        <v>11148</v>
      </c>
      <c r="I703" s="36" t="s">
        <v>11149</v>
      </c>
      <c r="J703" s="36" t="s">
        <v>11150</v>
      </c>
      <c r="K703" s="36" t="s">
        <v>11151</v>
      </c>
      <c r="L703" s="36" t="s">
        <v>11152</v>
      </c>
      <c r="M703" s="36" t="s">
        <v>11153</v>
      </c>
      <c r="N703" s="36" t="s">
        <v>11154</v>
      </c>
      <c r="O703" s="36" t="s">
        <v>11155</v>
      </c>
      <c r="P703" s="36" t="s">
        <v>11142</v>
      </c>
    </row>
    <row r="704" spans="1:16" ht="13.95" customHeight="1">
      <c r="A704" s="139">
        <v>703</v>
      </c>
      <c r="B704" s="36" t="s">
        <v>11156</v>
      </c>
      <c r="C704" s="36" t="s">
        <v>11157</v>
      </c>
      <c r="D704" s="36" t="s">
        <v>11158</v>
      </c>
      <c r="E704" s="36" t="s">
        <v>11159</v>
      </c>
      <c r="F704" s="36" t="s">
        <v>11160</v>
      </c>
      <c r="G704" s="36" t="s">
        <v>11161</v>
      </c>
      <c r="H704" s="36" t="s">
        <v>11162</v>
      </c>
      <c r="I704" s="36" t="s">
        <v>11163</v>
      </c>
      <c r="J704" s="36" t="s">
        <v>11156</v>
      </c>
      <c r="K704" s="36" t="s">
        <v>11164</v>
      </c>
      <c r="L704" s="36" t="s">
        <v>11165</v>
      </c>
      <c r="M704" s="36" t="s">
        <v>11156</v>
      </c>
      <c r="N704" s="36" t="s">
        <v>11166</v>
      </c>
      <c r="O704" s="36" t="s">
        <v>11167</v>
      </c>
      <c r="P704" s="36" t="s">
        <v>11156</v>
      </c>
    </row>
    <row r="705" spans="1:16">
      <c r="A705" s="139">
        <v>704</v>
      </c>
      <c r="B705" s="36" t="s">
        <v>11168</v>
      </c>
      <c r="C705" s="36" t="s">
        <v>11169</v>
      </c>
      <c r="D705" s="36" t="s">
        <v>11170</v>
      </c>
      <c r="E705" s="36" t="s">
        <v>11171</v>
      </c>
      <c r="F705" s="36" t="s">
        <v>11172</v>
      </c>
      <c r="G705" s="36" t="s">
        <v>11173</v>
      </c>
      <c r="H705" s="36" t="s">
        <v>11174</v>
      </c>
      <c r="I705" s="36" t="s">
        <v>11175</v>
      </c>
      <c r="J705" s="36" t="s">
        <v>11176</v>
      </c>
      <c r="K705" s="36" t="s">
        <v>11177</v>
      </c>
      <c r="L705" s="36" t="s">
        <v>11178</v>
      </c>
      <c r="M705" s="36" t="s">
        <v>11179</v>
      </c>
      <c r="N705" s="36" t="s">
        <v>11180</v>
      </c>
      <c r="O705" s="36" t="s">
        <v>11181</v>
      </c>
      <c r="P705" s="36" t="s">
        <v>11168</v>
      </c>
    </row>
    <row r="706" spans="1:16">
      <c r="A706" s="139">
        <v>705</v>
      </c>
      <c r="B706" s="36" t="s">
        <v>11182</v>
      </c>
      <c r="C706" s="36" t="s">
        <v>11183</v>
      </c>
      <c r="D706" s="36" t="s">
        <v>11184</v>
      </c>
      <c r="E706" s="36" t="s">
        <v>11185</v>
      </c>
      <c r="F706" s="36" t="s">
        <v>11182</v>
      </c>
      <c r="G706" s="36" t="s">
        <v>11186</v>
      </c>
      <c r="H706" s="36" t="s">
        <v>11187</v>
      </c>
      <c r="I706" s="36" t="s">
        <v>11188</v>
      </c>
      <c r="J706" s="36" t="s">
        <v>11189</v>
      </c>
      <c r="K706" s="36" t="s">
        <v>11190</v>
      </c>
      <c r="L706" s="36" t="s">
        <v>11191</v>
      </c>
      <c r="M706" s="36" t="s">
        <v>11192</v>
      </c>
      <c r="N706" s="36" t="s">
        <v>11192</v>
      </c>
      <c r="O706" s="36" t="s">
        <v>11193</v>
      </c>
      <c r="P706" s="36" t="s">
        <v>11182</v>
      </c>
    </row>
    <row r="707" spans="1:16">
      <c r="A707" s="139">
        <v>706</v>
      </c>
      <c r="B707" s="36" t="s">
        <v>11194</v>
      </c>
      <c r="C707" s="36" t="s">
        <v>11195</v>
      </c>
      <c r="D707" s="36" t="s">
        <v>11196</v>
      </c>
      <c r="E707" s="36" t="s">
        <v>11197</v>
      </c>
      <c r="F707" s="36" t="s">
        <v>11198</v>
      </c>
      <c r="G707" s="36" t="s">
        <v>11199</v>
      </c>
      <c r="H707" s="36" t="s">
        <v>11200</v>
      </c>
      <c r="I707" s="36" t="s">
        <v>11201</v>
      </c>
      <c r="J707" s="36" t="s">
        <v>11202</v>
      </c>
      <c r="K707" s="36" t="s">
        <v>11203</v>
      </c>
      <c r="L707" s="36" t="s">
        <v>11204</v>
      </c>
      <c r="M707" s="36" t="s">
        <v>11205</v>
      </c>
      <c r="N707" s="36" t="s">
        <v>11206</v>
      </c>
      <c r="O707" s="36" t="s">
        <v>11207</v>
      </c>
      <c r="P707" s="36" t="s">
        <v>11194</v>
      </c>
    </row>
    <row r="708" spans="1:16" ht="13.95" customHeight="1">
      <c r="A708" s="139">
        <v>707</v>
      </c>
      <c r="B708" s="36" t="s">
        <v>11208</v>
      </c>
      <c r="C708" s="36" t="s">
        <v>11209</v>
      </c>
      <c r="D708" s="36" t="s">
        <v>11210</v>
      </c>
      <c r="E708" s="36" t="s">
        <v>11211</v>
      </c>
      <c r="F708" s="36" t="s">
        <v>11212</v>
      </c>
      <c r="G708" s="36" t="s">
        <v>11213</v>
      </c>
      <c r="H708" s="36" t="s">
        <v>11214</v>
      </c>
      <c r="I708" s="36" t="s">
        <v>11215</v>
      </c>
      <c r="J708" s="36" t="s">
        <v>11216</v>
      </c>
      <c r="K708" s="36" t="s">
        <v>11217</v>
      </c>
      <c r="L708" s="36" t="s">
        <v>11218</v>
      </c>
      <c r="M708" s="36" t="s">
        <v>11219</v>
      </c>
      <c r="N708" s="36" t="s">
        <v>11220</v>
      </c>
      <c r="O708" s="36" t="s">
        <v>11221</v>
      </c>
      <c r="P708" s="36" t="s">
        <v>11208</v>
      </c>
    </row>
    <row r="709" spans="1:16" ht="13.95" customHeight="1">
      <c r="A709" s="139">
        <v>708</v>
      </c>
      <c r="B709" s="36" t="s">
        <v>11222</v>
      </c>
      <c r="C709" s="36" t="s">
        <v>11223</v>
      </c>
      <c r="D709" s="36" t="s">
        <v>11224</v>
      </c>
      <c r="E709" s="36" t="s">
        <v>11225</v>
      </c>
      <c r="F709" s="36" t="s">
        <v>11226</v>
      </c>
      <c r="G709" s="36" t="s">
        <v>11227</v>
      </c>
      <c r="H709" s="36" t="s">
        <v>11228</v>
      </c>
      <c r="I709" s="36" t="s">
        <v>11229</v>
      </c>
      <c r="J709" s="36" t="s">
        <v>11230</v>
      </c>
      <c r="K709" s="36" t="s">
        <v>11231</v>
      </c>
      <c r="L709" s="36" t="s">
        <v>11232</v>
      </c>
      <c r="M709" s="36" t="s">
        <v>11233</v>
      </c>
      <c r="N709" s="36" t="s">
        <v>11234</v>
      </c>
      <c r="O709" s="36" t="s">
        <v>11235</v>
      </c>
      <c r="P709" s="36" t="s">
        <v>11222</v>
      </c>
    </row>
    <row r="710" spans="1:16">
      <c r="A710" s="139">
        <v>709</v>
      </c>
      <c r="B710" s="36" t="s">
        <v>11236</v>
      </c>
      <c r="C710" s="36" t="s">
        <v>11237</v>
      </c>
      <c r="D710" s="36" t="s">
        <v>11238</v>
      </c>
      <c r="E710" s="36" t="s">
        <v>11239</v>
      </c>
      <c r="F710" s="36" t="s">
        <v>11240</v>
      </c>
      <c r="G710" s="36" t="s">
        <v>11241</v>
      </c>
      <c r="H710" s="36" t="s">
        <v>11242</v>
      </c>
      <c r="I710" s="36" t="s">
        <v>11243</v>
      </c>
      <c r="J710" s="36" t="s">
        <v>11244</v>
      </c>
      <c r="K710" s="36" t="s">
        <v>11245</v>
      </c>
      <c r="L710" s="36" t="s">
        <v>11246</v>
      </c>
      <c r="M710" s="36" t="s">
        <v>11247</v>
      </c>
      <c r="N710" s="36" t="s">
        <v>11248</v>
      </c>
      <c r="O710" s="36" t="s">
        <v>11249</v>
      </c>
      <c r="P710" s="36" t="s">
        <v>11236</v>
      </c>
    </row>
    <row r="711" spans="1:16">
      <c r="A711" s="139">
        <v>710</v>
      </c>
      <c r="B711" s="36" t="s">
        <v>11250</v>
      </c>
      <c r="C711" s="36" t="s">
        <v>11251</v>
      </c>
      <c r="D711" s="36" t="s">
        <v>11252</v>
      </c>
      <c r="E711" s="36" t="s">
        <v>11253</v>
      </c>
      <c r="F711" s="36" t="s">
        <v>11254</v>
      </c>
      <c r="G711" s="36" t="s">
        <v>8789</v>
      </c>
      <c r="H711" s="36" t="s">
        <v>11255</v>
      </c>
      <c r="I711" s="36" t="s">
        <v>11256</v>
      </c>
      <c r="J711" s="36" t="s">
        <v>11257</v>
      </c>
      <c r="K711" s="36" t="s">
        <v>11258</v>
      </c>
      <c r="L711" s="36" t="s">
        <v>11259</v>
      </c>
      <c r="M711" s="36" t="s">
        <v>11260</v>
      </c>
      <c r="N711" s="36" t="s">
        <v>11261</v>
      </c>
      <c r="O711" s="36" t="s">
        <v>11262</v>
      </c>
      <c r="P711" s="36" t="s">
        <v>11250</v>
      </c>
    </row>
    <row r="712" spans="1:16">
      <c r="A712" s="139">
        <v>711</v>
      </c>
      <c r="B712" s="36" t="s">
        <v>2337</v>
      </c>
      <c r="C712" s="36" t="s">
        <v>11263</v>
      </c>
      <c r="D712" s="36" t="s">
        <v>11264</v>
      </c>
      <c r="E712" s="36" t="s">
        <v>11265</v>
      </c>
      <c r="F712" s="36" t="s">
        <v>11266</v>
      </c>
      <c r="G712" s="36" t="s">
        <v>11267</v>
      </c>
      <c r="H712" s="36" t="s">
        <v>11268</v>
      </c>
      <c r="I712" s="36" t="s">
        <v>11269</v>
      </c>
      <c r="J712" s="36" t="s">
        <v>11270</v>
      </c>
      <c r="K712" s="36" t="s">
        <v>11271</v>
      </c>
      <c r="L712" s="36" t="s">
        <v>11272</v>
      </c>
      <c r="M712" s="36" t="s">
        <v>11273</v>
      </c>
      <c r="N712" s="36" t="s">
        <v>11274</v>
      </c>
      <c r="O712" s="36" t="s">
        <v>11275</v>
      </c>
      <c r="P712" s="36" t="s">
        <v>2337</v>
      </c>
    </row>
    <row r="713" spans="1:16">
      <c r="A713" s="139">
        <v>712</v>
      </c>
      <c r="B713" s="36" t="s">
        <v>11276</v>
      </c>
      <c r="C713" s="36" t="s">
        <v>11277</v>
      </c>
      <c r="D713" s="36" t="s">
        <v>11278</v>
      </c>
      <c r="E713" s="36" t="s">
        <v>11279</v>
      </c>
      <c r="F713" s="36" t="s">
        <v>11280</v>
      </c>
      <c r="G713" s="36" t="s">
        <v>11281</v>
      </c>
      <c r="H713" s="36" t="s">
        <v>11282</v>
      </c>
      <c r="I713" s="36" t="s">
        <v>11283</v>
      </c>
      <c r="J713" s="36" t="s">
        <v>11284</v>
      </c>
      <c r="K713" s="36" t="s">
        <v>11285</v>
      </c>
      <c r="L713" s="36" t="s">
        <v>11286</v>
      </c>
      <c r="M713" s="36" t="s">
        <v>11287</v>
      </c>
      <c r="N713" s="36" t="s">
        <v>11288</v>
      </c>
      <c r="O713" s="36" t="s">
        <v>11289</v>
      </c>
      <c r="P713" s="36" t="s">
        <v>11276</v>
      </c>
    </row>
    <row r="714" spans="1:16">
      <c r="A714" s="139">
        <v>713</v>
      </c>
      <c r="B714" s="36" t="s">
        <v>11290</v>
      </c>
      <c r="C714" s="36" t="s">
        <v>11291</v>
      </c>
      <c r="D714" s="36" t="s">
        <v>11292</v>
      </c>
      <c r="E714" s="36" t="s">
        <v>11293</v>
      </c>
      <c r="F714" s="36" t="s">
        <v>11294</v>
      </c>
      <c r="G714" s="36" t="s">
        <v>11295</v>
      </c>
      <c r="H714" s="36" t="s">
        <v>11296</v>
      </c>
      <c r="I714" s="36" t="s">
        <v>11297</v>
      </c>
      <c r="J714" s="36" t="s">
        <v>11298</v>
      </c>
      <c r="K714" s="36" t="s">
        <v>11299</v>
      </c>
      <c r="L714" s="36" t="s">
        <v>11300</v>
      </c>
      <c r="M714" s="36" t="s">
        <v>11301</v>
      </c>
      <c r="N714" s="36" t="s">
        <v>11302</v>
      </c>
      <c r="O714" s="36" t="s">
        <v>11303</v>
      </c>
      <c r="P714" s="36" t="s">
        <v>11290</v>
      </c>
    </row>
    <row r="715" spans="1:16">
      <c r="A715" s="139">
        <v>714</v>
      </c>
      <c r="B715" s="36" t="s">
        <v>11304</v>
      </c>
      <c r="C715" s="36" t="s">
        <v>11277</v>
      </c>
      <c r="D715" s="36" t="s">
        <v>11305</v>
      </c>
      <c r="E715" s="36" t="s">
        <v>11306</v>
      </c>
      <c r="F715" s="36" t="s">
        <v>11307</v>
      </c>
      <c r="G715" s="36" t="s">
        <v>11308</v>
      </c>
      <c r="H715" s="36" t="s">
        <v>11309</v>
      </c>
      <c r="I715" s="36" t="s">
        <v>11310</v>
      </c>
      <c r="J715" s="36" t="s">
        <v>11311</v>
      </c>
      <c r="K715" s="36" t="s">
        <v>11312</v>
      </c>
      <c r="L715" s="36" t="s">
        <v>11313</v>
      </c>
      <c r="M715" s="36" t="s">
        <v>11314</v>
      </c>
      <c r="N715" s="36" t="s">
        <v>11315</v>
      </c>
      <c r="O715" s="36" t="s">
        <v>11316</v>
      </c>
      <c r="P715" s="36" t="s">
        <v>11304</v>
      </c>
    </row>
    <row r="716" spans="1:16">
      <c r="A716" s="139">
        <v>715</v>
      </c>
      <c r="B716" s="36" t="s">
        <v>11317</v>
      </c>
      <c r="C716" s="36" t="s">
        <v>11318</v>
      </c>
      <c r="D716" s="36" t="s">
        <v>11319</v>
      </c>
      <c r="E716" s="36" t="s">
        <v>11320</v>
      </c>
      <c r="F716" s="36" t="s">
        <v>11321</v>
      </c>
      <c r="G716" s="36" t="s">
        <v>11322</v>
      </c>
      <c r="H716" s="36" t="s">
        <v>11323</v>
      </c>
      <c r="I716" s="36" t="s">
        <v>11324</v>
      </c>
      <c r="J716" s="36" t="s">
        <v>11325</v>
      </c>
      <c r="K716" s="36" t="s">
        <v>11326</v>
      </c>
      <c r="L716" s="36" t="s">
        <v>11327</v>
      </c>
      <c r="M716" s="36" t="s">
        <v>11328</v>
      </c>
      <c r="N716" s="36" t="s">
        <v>11329</v>
      </c>
      <c r="O716" s="36" t="s">
        <v>11330</v>
      </c>
      <c r="P716" s="36" t="s">
        <v>11317</v>
      </c>
    </row>
    <row r="717" spans="1:16">
      <c r="A717" s="139">
        <v>716</v>
      </c>
      <c r="B717" s="36" t="s">
        <v>11331</v>
      </c>
      <c r="C717" s="36" t="s">
        <v>11332</v>
      </c>
      <c r="D717" s="36" t="s">
        <v>11333</v>
      </c>
      <c r="E717" s="36" t="s">
        <v>11334</v>
      </c>
      <c r="F717" s="36" t="s">
        <v>11335</v>
      </c>
      <c r="G717" s="36" t="s">
        <v>11336</v>
      </c>
      <c r="H717" s="36" t="s">
        <v>11337</v>
      </c>
      <c r="I717" s="36" t="s">
        <v>11338</v>
      </c>
      <c r="J717" s="36" t="s">
        <v>11339</v>
      </c>
      <c r="K717" s="36" t="s">
        <v>11340</v>
      </c>
      <c r="L717" s="36" t="s">
        <v>11341</v>
      </c>
      <c r="M717" s="36" t="s">
        <v>11342</v>
      </c>
      <c r="N717" s="36" t="s">
        <v>11343</v>
      </c>
      <c r="O717" s="36" t="s">
        <v>11344</v>
      </c>
      <c r="P717" s="36" t="s">
        <v>11331</v>
      </c>
    </row>
    <row r="718" spans="1:16">
      <c r="A718" s="139">
        <v>717</v>
      </c>
      <c r="B718" s="36" t="s">
        <v>11345</v>
      </c>
      <c r="C718" s="36" t="s">
        <v>11346</v>
      </c>
      <c r="D718" s="36" t="s">
        <v>11347</v>
      </c>
      <c r="E718" s="36" t="s">
        <v>11348</v>
      </c>
      <c r="F718" s="36" t="s">
        <v>11349</v>
      </c>
      <c r="G718" s="36" t="s">
        <v>11350</v>
      </c>
      <c r="H718" s="36" t="s">
        <v>11351</v>
      </c>
      <c r="I718" s="36" t="s">
        <v>11352</v>
      </c>
      <c r="J718" s="36" t="s">
        <v>11353</v>
      </c>
      <c r="K718" s="36" t="s">
        <v>11354</v>
      </c>
      <c r="L718" s="36" t="s">
        <v>11355</v>
      </c>
      <c r="M718" s="36" t="s">
        <v>11356</v>
      </c>
      <c r="N718" s="36" t="s">
        <v>11357</v>
      </c>
      <c r="O718" s="36" t="s">
        <v>11358</v>
      </c>
      <c r="P718" s="36" t="s">
        <v>11345</v>
      </c>
    </row>
    <row r="719" spans="1:16">
      <c r="A719" s="139">
        <v>718</v>
      </c>
      <c r="B719" s="36" t="s">
        <v>11359</v>
      </c>
      <c r="C719" s="36" t="s">
        <v>11360</v>
      </c>
      <c r="D719" s="36" t="s">
        <v>11361</v>
      </c>
      <c r="E719" s="36" t="s">
        <v>11362</v>
      </c>
      <c r="F719" s="36" t="s">
        <v>11363</v>
      </c>
      <c r="G719" s="36" t="s">
        <v>11364</v>
      </c>
      <c r="H719" s="36" t="s">
        <v>11365</v>
      </c>
      <c r="I719" s="36" t="s">
        <v>11366</v>
      </c>
      <c r="J719" s="36" t="s">
        <v>11367</v>
      </c>
      <c r="K719" s="36" t="s">
        <v>11368</v>
      </c>
      <c r="L719" s="36" t="s">
        <v>11369</v>
      </c>
      <c r="M719" s="36" t="s">
        <v>11370</v>
      </c>
      <c r="N719" s="36" t="s">
        <v>11371</v>
      </c>
      <c r="O719" s="36" t="s">
        <v>11372</v>
      </c>
      <c r="P719" s="36" t="s">
        <v>11359</v>
      </c>
    </row>
    <row r="720" spans="1:16">
      <c r="A720" s="139">
        <v>719</v>
      </c>
      <c r="B720" s="36" t="s">
        <v>11373</v>
      </c>
      <c r="C720" s="36" t="s">
        <v>11374</v>
      </c>
      <c r="D720" s="36" t="s">
        <v>11375</v>
      </c>
      <c r="E720" s="36" t="s">
        <v>11376</v>
      </c>
      <c r="F720" s="36" t="s">
        <v>11377</v>
      </c>
      <c r="G720" s="36" t="s">
        <v>11378</v>
      </c>
      <c r="H720" s="36" t="s">
        <v>11379</v>
      </c>
      <c r="I720" s="36" t="s">
        <v>11380</v>
      </c>
      <c r="J720" s="36" t="s">
        <v>11381</v>
      </c>
      <c r="K720" s="36" t="s">
        <v>11382</v>
      </c>
      <c r="L720" s="36" t="s">
        <v>11383</v>
      </c>
      <c r="M720" s="36" t="s">
        <v>11384</v>
      </c>
      <c r="N720" s="36" t="s">
        <v>11385</v>
      </c>
      <c r="O720" s="36" t="s">
        <v>11386</v>
      </c>
      <c r="P720" s="36" t="s">
        <v>11373</v>
      </c>
    </row>
    <row r="721" spans="1:16">
      <c r="A721" s="139">
        <v>720</v>
      </c>
      <c r="B721" s="36" t="s">
        <v>11387</v>
      </c>
      <c r="C721" s="36" t="s">
        <v>11360</v>
      </c>
      <c r="D721" s="36" t="s">
        <v>11388</v>
      </c>
      <c r="E721" s="36" t="s">
        <v>11389</v>
      </c>
      <c r="F721" s="36" t="s">
        <v>11390</v>
      </c>
      <c r="G721" s="36" t="s">
        <v>11391</v>
      </c>
      <c r="H721" s="36" t="s">
        <v>11392</v>
      </c>
      <c r="I721" s="36" t="s">
        <v>11393</v>
      </c>
      <c r="J721" s="36" t="s">
        <v>11394</v>
      </c>
      <c r="K721" s="36" t="s">
        <v>11395</v>
      </c>
      <c r="L721" s="36" t="s">
        <v>11396</v>
      </c>
      <c r="M721" s="36" t="s">
        <v>11397</v>
      </c>
      <c r="N721" s="36" t="s">
        <v>11398</v>
      </c>
      <c r="O721" s="36" t="s">
        <v>11372</v>
      </c>
      <c r="P721" s="36" t="s">
        <v>11387</v>
      </c>
    </row>
    <row r="722" spans="1:16">
      <c r="A722" s="139">
        <v>721</v>
      </c>
      <c r="B722" s="36" t="s">
        <v>11399</v>
      </c>
      <c r="C722" s="36" t="s">
        <v>11400</v>
      </c>
      <c r="D722" s="36" t="s">
        <v>11401</v>
      </c>
      <c r="E722" s="36" t="s">
        <v>11402</v>
      </c>
      <c r="F722" s="36" t="s">
        <v>11403</v>
      </c>
      <c r="G722" s="36" t="s">
        <v>11404</v>
      </c>
      <c r="H722" s="36" t="s">
        <v>11405</v>
      </c>
      <c r="I722" s="36" t="s">
        <v>11406</v>
      </c>
      <c r="J722" s="36" t="s">
        <v>11407</v>
      </c>
      <c r="K722" s="36" t="s">
        <v>11408</v>
      </c>
      <c r="L722" s="36" t="s">
        <v>11409</v>
      </c>
      <c r="M722" s="36" t="s">
        <v>11410</v>
      </c>
      <c r="N722" s="36" t="s">
        <v>11411</v>
      </c>
      <c r="O722" s="36" t="s">
        <v>11412</v>
      </c>
      <c r="P722" s="36" t="s">
        <v>11399</v>
      </c>
    </row>
    <row r="723" spans="1:16">
      <c r="A723" s="139">
        <v>722</v>
      </c>
      <c r="B723" s="36" t="s">
        <v>11413</v>
      </c>
      <c r="C723" s="36" t="s">
        <v>11414</v>
      </c>
      <c r="D723" s="36" t="s">
        <v>11415</v>
      </c>
      <c r="E723" s="36" t="s">
        <v>11416</v>
      </c>
      <c r="F723" s="36" t="s">
        <v>11417</v>
      </c>
      <c r="G723" s="36" t="s">
        <v>11418</v>
      </c>
      <c r="H723" s="36" t="s">
        <v>11419</v>
      </c>
      <c r="I723" s="36" t="s">
        <v>11420</v>
      </c>
      <c r="J723" s="36" t="s">
        <v>11421</v>
      </c>
      <c r="K723" s="36" t="s">
        <v>11422</v>
      </c>
      <c r="L723" s="36" t="s">
        <v>11423</v>
      </c>
      <c r="M723" s="36" t="s">
        <v>11424</v>
      </c>
      <c r="N723" s="36" t="s">
        <v>11425</v>
      </c>
      <c r="O723" s="36" t="s">
        <v>11426</v>
      </c>
      <c r="P723" s="36" t="s">
        <v>11413</v>
      </c>
    </row>
    <row r="724" spans="1:16">
      <c r="A724" s="139">
        <v>723</v>
      </c>
      <c r="B724" s="36" t="s">
        <v>11427</v>
      </c>
      <c r="C724" s="36" t="s">
        <v>11428</v>
      </c>
      <c r="D724" s="36" t="s">
        <v>11429</v>
      </c>
      <c r="E724" s="36" t="s">
        <v>11430</v>
      </c>
      <c r="F724" s="36" t="s">
        <v>11431</v>
      </c>
      <c r="G724" s="36" t="s">
        <v>11432</v>
      </c>
      <c r="H724" s="36" t="s">
        <v>11433</v>
      </c>
      <c r="I724" s="36" t="s">
        <v>11434</v>
      </c>
      <c r="J724" s="36" t="s">
        <v>11435</v>
      </c>
      <c r="K724" s="36" t="s">
        <v>11436</v>
      </c>
      <c r="L724" s="36" t="s">
        <v>11437</v>
      </c>
      <c r="M724" s="36" t="s">
        <v>11438</v>
      </c>
      <c r="N724" s="36" t="s">
        <v>11439</v>
      </c>
      <c r="O724" s="36" t="s">
        <v>11440</v>
      </c>
      <c r="P724" s="36" t="s">
        <v>11427</v>
      </c>
    </row>
    <row r="725" spans="1:16">
      <c r="A725" s="139">
        <v>724</v>
      </c>
      <c r="B725" s="36" t="s">
        <v>11441</v>
      </c>
      <c r="C725" s="36" t="s">
        <v>11442</v>
      </c>
      <c r="D725" s="36" t="s">
        <v>11443</v>
      </c>
      <c r="E725" s="36" t="s">
        <v>11444</v>
      </c>
      <c r="F725" s="36" t="s">
        <v>11445</v>
      </c>
      <c r="G725" s="36" t="s">
        <v>11446</v>
      </c>
      <c r="H725" s="36" t="s">
        <v>11447</v>
      </c>
      <c r="I725" s="36" t="s">
        <v>11448</v>
      </c>
      <c r="J725" s="36" t="s">
        <v>11449</v>
      </c>
      <c r="K725" s="36" t="s">
        <v>11450</v>
      </c>
      <c r="L725" s="36" t="s">
        <v>11451</v>
      </c>
      <c r="M725" s="36" t="s">
        <v>11452</v>
      </c>
      <c r="N725" s="36" t="s">
        <v>11452</v>
      </c>
      <c r="O725" s="36" t="s">
        <v>11453</v>
      </c>
      <c r="P725" s="36" t="s">
        <v>11441</v>
      </c>
    </row>
    <row r="726" spans="1:16">
      <c r="A726" s="139">
        <v>725</v>
      </c>
      <c r="B726" s="36" t="s">
        <v>11454</v>
      </c>
      <c r="C726" s="36" t="s">
        <v>11455</v>
      </c>
      <c r="D726" s="36" t="s">
        <v>11456</v>
      </c>
      <c r="E726" s="36" t="s">
        <v>11457</v>
      </c>
      <c r="F726" s="36" t="s">
        <v>11458</v>
      </c>
      <c r="G726" s="36" t="s">
        <v>11459</v>
      </c>
      <c r="H726" s="36" t="s">
        <v>11460</v>
      </c>
      <c r="I726" s="36" t="s">
        <v>11461</v>
      </c>
      <c r="J726" s="36" t="s">
        <v>11462</v>
      </c>
      <c r="K726" s="36" t="s">
        <v>11463</v>
      </c>
      <c r="L726" s="36" t="s">
        <v>11464</v>
      </c>
      <c r="M726" s="36" t="s">
        <v>11465</v>
      </c>
      <c r="N726" s="36" t="s">
        <v>11466</v>
      </c>
      <c r="O726" s="36" t="s">
        <v>11467</v>
      </c>
      <c r="P726" s="36" t="s">
        <v>11454</v>
      </c>
    </row>
    <row r="727" spans="1:16">
      <c r="A727" s="139">
        <v>726</v>
      </c>
      <c r="B727" s="36" t="s">
        <v>11468</v>
      </c>
      <c r="C727" s="36" t="s">
        <v>11469</v>
      </c>
      <c r="D727" s="36" t="s">
        <v>11470</v>
      </c>
      <c r="E727" s="36" t="s">
        <v>11471</v>
      </c>
      <c r="F727" s="36" t="s">
        <v>11472</v>
      </c>
      <c r="G727" s="36" t="s">
        <v>11473</v>
      </c>
      <c r="H727" s="36" t="s">
        <v>11474</v>
      </c>
      <c r="I727" s="36" t="s">
        <v>11472</v>
      </c>
      <c r="J727" s="36" t="s">
        <v>11475</v>
      </c>
      <c r="K727" s="36" t="s">
        <v>11476</v>
      </c>
      <c r="L727" s="36" t="s">
        <v>11477</v>
      </c>
      <c r="M727" s="36" t="s">
        <v>11478</v>
      </c>
      <c r="N727" s="36" t="s">
        <v>11479</v>
      </c>
      <c r="O727" s="36" t="s">
        <v>11480</v>
      </c>
      <c r="P727" s="36" t="s">
        <v>11468</v>
      </c>
    </row>
    <row r="728" spans="1:16">
      <c r="A728" s="139">
        <v>727</v>
      </c>
      <c r="B728" s="36" t="s">
        <v>11481</v>
      </c>
      <c r="C728" s="36" t="s">
        <v>11482</v>
      </c>
      <c r="D728" s="36" t="s">
        <v>11483</v>
      </c>
      <c r="E728" s="36" t="s">
        <v>11484</v>
      </c>
      <c r="F728" s="36" t="s">
        <v>11485</v>
      </c>
      <c r="G728" s="36" t="s">
        <v>11486</v>
      </c>
      <c r="H728" s="36" t="s">
        <v>11487</v>
      </c>
      <c r="I728" s="36" t="s">
        <v>11488</v>
      </c>
      <c r="J728" s="36" t="s">
        <v>11489</v>
      </c>
      <c r="K728" s="36" t="s">
        <v>11490</v>
      </c>
      <c r="L728" s="36" t="s">
        <v>11491</v>
      </c>
      <c r="M728" s="36" t="s">
        <v>11492</v>
      </c>
      <c r="N728" s="36" t="s">
        <v>11493</v>
      </c>
      <c r="O728" s="36" t="s">
        <v>11494</v>
      </c>
      <c r="P728" s="36" t="s">
        <v>11481</v>
      </c>
    </row>
    <row r="729" spans="1:16">
      <c r="A729" s="139">
        <v>728</v>
      </c>
      <c r="B729" s="36" t="s">
        <v>11495</v>
      </c>
      <c r="C729" s="36" t="s">
        <v>11496</v>
      </c>
      <c r="D729" s="36" t="s">
        <v>11497</v>
      </c>
      <c r="E729" s="36" t="s">
        <v>11498</v>
      </c>
      <c r="F729" s="36" t="s">
        <v>11499</v>
      </c>
      <c r="G729" s="36" t="s">
        <v>11500</v>
      </c>
      <c r="H729" s="36" t="s">
        <v>11501</v>
      </c>
      <c r="I729" s="36" t="s">
        <v>11502</v>
      </c>
      <c r="J729" s="36" t="s">
        <v>11503</v>
      </c>
      <c r="K729" s="36" t="s">
        <v>11504</v>
      </c>
      <c r="L729" s="36" t="s">
        <v>11505</v>
      </c>
      <c r="M729" s="36" t="s">
        <v>11506</v>
      </c>
      <c r="N729" s="36" t="s">
        <v>11507</v>
      </c>
      <c r="O729" s="36" t="s">
        <v>11508</v>
      </c>
      <c r="P729" s="36" t="s">
        <v>11495</v>
      </c>
    </row>
    <row r="730" spans="1:16">
      <c r="A730" s="139">
        <v>729</v>
      </c>
      <c r="B730" s="36" t="s">
        <v>11509</v>
      </c>
      <c r="C730" s="36" t="s">
        <v>11510</v>
      </c>
      <c r="D730" s="36" t="s">
        <v>11511</v>
      </c>
      <c r="E730" s="36" t="s">
        <v>11512</v>
      </c>
      <c r="F730" s="36" t="s">
        <v>11513</v>
      </c>
      <c r="G730" s="36" t="s">
        <v>11514</v>
      </c>
      <c r="H730" s="36" t="s">
        <v>11515</v>
      </c>
      <c r="I730" s="36" t="s">
        <v>11516</v>
      </c>
      <c r="J730" s="36" t="s">
        <v>11517</v>
      </c>
      <c r="K730" s="36" t="s">
        <v>11518</v>
      </c>
      <c r="L730" s="36" t="s">
        <v>11519</v>
      </c>
      <c r="M730" s="36" t="s">
        <v>11520</v>
      </c>
      <c r="N730" s="36" t="s">
        <v>11521</v>
      </c>
      <c r="O730" s="36" t="s">
        <v>11522</v>
      </c>
      <c r="P730" s="36" t="s">
        <v>11509</v>
      </c>
    </row>
    <row r="731" spans="1:16">
      <c r="A731" s="139">
        <v>730</v>
      </c>
      <c r="B731" s="36" t="s">
        <v>11523</v>
      </c>
      <c r="C731" s="36" t="s">
        <v>11524</v>
      </c>
      <c r="D731" s="36" t="s">
        <v>11525</v>
      </c>
      <c r="E731" s="36" t="s">
        <v>11526</v>
      </c>
      <c r="F731" s="36" t="s">
        <v>11527</v>
      </c>
      <c r="G731" s="36" t="s">
        <v>11528</v>
      </c>
      <c r="H731" s="36" t="s">
        <v>11529</v>
      </c>
      <c r="I731" s="36" t="s">
        <v>11530</v>
      </c>
      <c r="J731" s="36" t="s">
        <v>11531</v>
      </c>
      <c r="K731" s="36" t="s">
        <v>11532</v>
      </c>
      <c r="L731" s="36" t="s">
        <v>11533</v>
      </c>
      <c r="M731" s="36" t="s">
        <v>11534</v>
      </c>
      <c r="N731" s="36" t="s">
        <v>11535</v>
      </c>
      <c r="O731" s="36" t="s">
        <v>11536</v>
      </c>
      <c r="P731" s="36" t="s">
        <v>11523</v>
      </c>
    </row>
    <row r="732" spans="1:16">
      <c r="A732" s="139">
        <v>731</v>
      </c>
      <c r="B732" s="36" t="s">
        <v>11537</v>
      </c>
      <c r="C732" s="36" t="s">
        <v>11538</v>
      </c>
      <c r="D732" s="36" t="s">
        <v>11539</v>
      </c>
      <c r="E732" s="36" t="s">
        <v>11540</v>
      </c>
      <c r="F732" s="36" t="s">
        <v>11541</v>
      </c>
      <c r="G732" s="36" t="s">
        <v>11542</v>
      </c>
      <c r="H732" s="36" t="s">
        <v>11543</v>
      </c>
      <c r="I732" s="36" t="s">
        <v>11544</v>
      </c>
      <c r="J732" s="36" t="s">
        <v>11545</v>
      </c>
      <c r="K732" s="36" t="s">
        <v>11546</v>
      </c>
      <c r="L732" s="36" t="s">
        <v>11547</v>
      </c>
      <c r="M732" s="36" t="s">
        <v>11548</v>
      </c>
      <c r="N732" s="36" t="s">
        <v>11549</v>
      </c>
      <c r="O732" s="36" t="s">
        <v>11550</v>
      </c>
      <c r="P732" s="36" t="s">
        <v>11537</v>
      </c>
    </row>
    <row r="733" spans="1:16">
      <c r="A733" s="139">
        <v>732</v>
      </c>
      <c r="B733" s="36" t="s">
        <v>11551</v>
      </c>
      <c r="C733" s="36" t="s">
        <v>11552</v>
      </c>
      <c r="D733" s="36" t="s">
        <v>11553</v>
      </c>
      <c r="E733" s="36" t="s">
        <v>11554</v>
      </c>
      <c r="F733" s="36" t="s">
        <v>11555</v>
      </c>
      <c r="G733" s="36" t="s">
        <v>11556</v>
      </c>
      <c r="H733" s="36" t="s">
        <v>11557</v>
      </c>
      <c r="I733" s="36" t="s">
        <v>11558</v>
      </c>
      <c r="J733" s="36" t="s">
        <v>11559</v>
      </c>
      <c r="K733" s="36" t="s">
        <v>11560</v>
      </c>
      <c r="L733" s="36" t="s">
        <v>11561</v>
      </c>
      <c r="M733" s="36" t="s">
        <v>11562</v>
      </c>
      <c r="N733" s="36" t="s">
        <v>11563</v>
      </c>
      <c r="O733" s="36" t="s">
        <v>11564</v>
      </c>
      <c r="P733" s="36" t="s">
        <v>11551</v>
      </c>
    </row>
    <row r="734" spans="1:16">
      <c r="A734" s="139">
        <v>733</v>
      </c>
      <c r="B734" s="36" t="s">
        <v>11565</v>
      </c>
      <c r="C734" s="36" t="s">
        <v>11566</v>
      </c>
      <c r="D734" s="36" t="s">
        <v>11567</v>
      </c>
      <c r="E734" s="36" t="s">
        <v>11568</v>
      </c>
      <c r="F734" s="36" t="s">
        <v>11569</v>
      </c>
      <c r="G734" s="36" t="s">
        <v>11570</v>
      </c>
      <c r="H734" s="36" t="s">
        <v>11571</v>
      </c>
      <c r="I734" s="36" t="s">
        <v>11572</v>
      </c>
      <c r="J734" s="36" t="s">
        <v>11573</v>
      </c>
      <c r="K734" s="36" t="s">
        <v>11574</v>
      </c>
      <c r="L734" s="36" t="s">
        <v>11575</v>
      </c>
      <c r="M734" s="36" t="s">
        <v>11576</v>
      </c>
      <c r="N734" s="36" t="s">
        <v>11577</v>
      </c>
      <c r="O734" s="36" t="s">
        <v>11578</v>
      </c>
      <c r="P734" s="36" t="s">
        <v>11565</v>
      </c>
    </row>
    <row r="735" spans="1:16">
      <c r="A735" s="139">
        <v>734</v>
      </c>
      <c r="B735" s="36" t="s">
        <v>11579</v>
      </c>
      <c r="C735" s="36" t="s">
        <v>11580</v>
      </c>
      <c r="D735" s="36" t="s">
        <v>11581</v>
      </c>
      <c r="E735" s="36" t="s">
        <v>11582</v>
      </c>
      <c r="F735" s="36" t="s">
        <v>11583</v>
      </c>
      <c r="G735" s="36" t="s">
        <v>11584</v>
      </c>
      <c r="H735" s="36" t="s">
        <v>11585</v>
      </c>
      <c r="I735" s="36" t="s">
        <v>11586</v>
      </c>
      <c r="J735" s="36" t="s">
        <v>11587</v>
      </c>
      <c r="K735" s="36" t="s">
        <v>11588</v>
      </c>
      <c r="L735" s="36" t="s">
        <v>11589</v>
      </c>
      <c r="M735" s="36" t="s">
        <v>11590</v>
      </c>
      <c r="N735" s="36" t="s">
        <v>11591</v>
      </c>
      <c r="O735" s="36" t="s">
        <v>11592</v>
      </c>
      <c r="P735" s="36" t="s">
        <v>11579</v>
      </c>
    </row>
    <row r="736" spans="1:16">
      <c r="A736" s="139">
        <v>735</v>
      </c>
      <c r="B736" s="36" t="s">
        <v>11593</v>
      </c>
      <c r="C736" s="36" t="s">
        <v>11594</v>
      </c>
      <c r="D736" s="36" t="s">
        <v>11595</v>
      </c>
      <c r="E736" s="36" t="s">
        <v>11596</v>
      </c>
      <c r="F736" s="36" t="s">
        <v>11597</v>
      </c>
      <c r="G736" s="36" t="s">
        <v>11598</v>
      </c>
      <c r="H736" s="36" t="s">
        <v>11599</v>
      </c>
      <c r="I736" s="36" t="s">
        <v>11600</v>
      </c>
      <c r="J736" s="36" t="s">
        <v>11601</v>
      </c>
      <c r="K736" s="36" t="s">
        <v>11602</v>
      </c>
      <c r="L736" s="36" t="s">
        <v>11603</v>
      </c>
      <c r="M736" s="36" t="s">
        <v>11604</v>
      </c>
      <c r="N736" s="36" t="s">
        <v>11605</v>
      </c>
      <c r="O736" s="36" t="s">
        <v>11606</v>
      </c>
      <c r="P736" s="36" t="s">
        <v>11593</v>
      </c>
    </row>
    <row r="737" spans="1:16">
      <c r="A737" s="139">
        <v>736</v>
      </c>
      <c r="B737" s="36" t="s">
        <v>11607</v>
      </c>
      <c r="C737" s="36" t="s">
        <v>11608</v>
      </c>
      <c r="D737" s="36" t="s">
        <v>11609</v>
      </c>
      <c r="E737" s="36" t="s">
        <v>11610</v>
      </c>
      <c r="F737" s="36" t="s">
        <v>11611</v>
      </c>
      <c r="G737" s="36" t="s">
        <v>11612</v>
      </c>
      <c r="H737" s="36" t="s">
        <v>11613</v>
      </c>
      <c r="I737" s="36" t="s">
        <v>11614</v>
      </c>
      <c r="J737" s="36" t="s">
        <v>11615</v>
      </c>
      <c r="K737" s="36" t="s">
        <v>11616</v>
      </c>
      <c r="L737" s="36" t="s">
        <v>11617</v>
      </c>
      <c r="M737" s="36" t="s">
        <v>11618</v>
      </c>
      <c r="N737" s="36" t="s">
        <v>11619</v>
      </c>
      <c r="O737" s="36" t="s">
        <v>11620</v>
      </c>
      <c r="P737" s="36" t="s">
        <v>11607</v>
      </c>
    </row>
    <row r="738" spans="1:16">
      <c r="A738" s="139">
        <v>737</v>
      </c>
      <c r="B738" s="36" t="s">
        <v>11621</v>
      </c>
      <c r="C738" s="36" t="s">
        <v>11622</v>
      </c>
      <c r="D738" s="36" t="s">
        <v>11623</v>
      </c>
      <c r="E738" s="36" t="s">
        <v>11624</v>
      </c>
      <c r="F738" s="36" t="s">
        <v>11625</v>
      </c>
      <c r="G738" s="36" t="s">
        <v>11626</v>
      </c>
      <c r="H738" s="36" t="s">
        <v>11627</v>
      </c>
      <c r="I738" s="36" t="s">
        <v>11628</v>
      </c>
      <c r="J738" s="36" t="s">
        <v>11629</v>
      </c>
      <c r="K738" s="36" t="s">
        <v>11630</v>
      </c>
      <c r="L738" s="36" t="s">
        <v>11631</v>
      </c>
      <c r="M738" s="36" t="s">
        <v>11632</v>
      </c>
      <c r="N738" s="36" t="s">
        <v>11633</v>
      </c>
      <c r="O738" s="36" t="s">
        <v>11634</v>
      </c>
      <c r="P738" s="36" t="s">
        <v>11621</v>
      </c>
    </row>
    <row r="739" spans="1:16">
      <c r="A739" s="139">
        <v>738</v>
      </c>
      <c r="B739" s="36" t="s">
        <v>11635</v>
      </c>
      <c r="C739" s="36" t="s">
        <v>11636</v>
      </c>
      <c r="D739" s="36" t="s">
        <v>11637</v>
      </c>
      <c r="E739" s="36" t="s">
        <v>11638</v>
      </c>
      <c r="F739" s="36" t="s">
        <v>11639</v>
      </c>
      <c r="G739" s="36" t="s">
        <v>11640</v>
      </c>
      <c r="H739" s="36" t="s">
        <v>11641</v>
      </c>
      <c r="I739" s="36" t="s">
        <v>11642</v>
      </c>
      <c r="J739" s="36" t="s">
        <v>11643</v>
      </c>
      <c r="K739" s="36" t="s">
        <v>11644</v>
      </c>
      <c r="L739" s="36" t="s">
        <v>11645</v>
      </c>
      <c r="M739" s="36" t="s">
        <v>11646</v>
      </c>
      <c r="N739" s="36" t="s">
        <v>11647</v>
      </c>
      <c r="O739" s="36" t="s">
        <v>11648</v>
      </c>
      <c r="P739" s="36" t="s">
        <v>11635</v>
      </c>
    </row>
    <row r="740" spans="1:16">
      <c r="A740" s="139">
        <v>739</v>
      </c>
      <c r="B740" s="36" t="s">
        <v>11649</v>
      </c>
      <c r="C740" s="36" t="s">
        <v>11650</v>
      </c>
      <c r="D740" s="36" t="s">
        <v>11651</v>
      </c>
      <c r="E740" s="36" t="s">
        <v>11652</v>
      </c>
      <c r="F740" s="36" t="s">
        <v>11653</v>
      </c>
      <c r="G740" s="36" t="s">
        <v>11654</v>
      </c>
      <c r="H740" s="36" t="s">
        <v>11655</v>
      </c>
      <c r="I740" s="36" t="s">
        <v>11656</v>
      </c>
      <c r="J740" s="36" t="s">
        <v>11657</v>
      </c>
      <c r="K740" s="36" t="s">
        <v>11658</v>
      </c>
      <c r="L740" s="36" t="s">
        <v>11659</v>
      </c>
      <c r="M740" s="36" t="s">
        <v>11660</v>
      </c>
      <c r="N740" s="36" t="s">
        <v>11661</v>
      </c>
      <c r="O740" s="36" t="s">
        <v>11662</v>
      </c>
      <c r="P740" s="36" t="s">
        <v>11649</v>
      </c>
    </row>
    <row r="741" spans="1:16">
      <c r="A741" s="139">
        <v>740</v>
      </c>
      <c r="B741" s="36" t="s">
        <v>11663</v>
      </c>
      <c r="C741" s="36" t="s">
        <v>11664</v>
      </c>
      <c r="D741" s="36" t="s">
        <v>11665</v>
      </c>
      <c r="E741" s="36" t="s">
        <v>11666</v>
      </c>
      <c r="F741" s="36" t="s">
        <v>11667</v>
      </c>
      <c r="G741" s="36" t="s">
        <v>11668</v>
      </c>
      <c r="H741" s="36" t="s">
        <v>11669</v>
      </c>
      <c r="I741" s="36" t="s">
        <v>11670</v>
      </c>
      <c r="J741" s="36" t="s">
        <v>11671</v>
      </c>
      <c r="K741" s="36" t="s">
        <v>11672</v>
      </c>
      <c r="L741" s="36" t="s">
        <v>11673</v>
      </c>
      <c r="M741" s="36" t="s">
        <v>11674</v>
      </c>
      <c r="N741" s="36" t="s">
        <v>11675</v>
      </c>
      <c r="O741" s="36" t="s">
        <v>11676</v>
      </c>
      <c r="P741" s="36" t="s">
        <v>11663</v>
      </c>
    </row>
    <row r="742" spans="1:16">
      <c r="A742" s="139">
        <v>741</v>
      </c>
      <c r="B742" s="36" t="s">
        <v>11677</v>
      </c>
      <c r="C742" s="36" t="s">
        <v>11678</v>
      </c>
      <c r="D742" s="36" t="s">
        <v>11679</v>
      </c>
      <c r="E742" s="36" t="s">
        <v>11680</v>
      </c>
      <c r="F742" s="36" t="s">
        <v>11681</v>
      </c>
      <c r="G742" s="36" t="s">
        <v>11682</v>
      </c>
      <c r="H742" s="36" t="s">
        <v>11683</v>
      </c>
      <c r="I742" s="36" t="s">
        <v>11684</v>
      </c>
      <c r="J742" s="36" t="s">
        <v>11685</v>
      </c>
      <c r="K742" s="36" t="s">
        <v>11686</v>
      </c>
      <c r="L742" s="36" t="s">
        <v>11687</v>
      </c>
      <c r="M742" s="36" t="s">
        <v>11688</v>
      </c>
      <c r="N742" s="36" t="s">
        <v>11689</v>
      </c>
      <c r="O742" s="36" t="s">
        <v>11690</v>
      </c>
      <c r="P742" s="36" t="s">
        <v>11677</v>
      </c>
    </row>
    <row r="743" spans="1:16">
      <c r="A743" s="139">
        <v>742</v>
      </c>
      <c r="B743" s="36" t="s">
        <v>11691</v>
      </c>
      <c r="C743" s="36" t="s">
        <v>11692</v>
      </c>
      <c r="D743" s="36" t="s">
        <v>11693</v>
      </c>
      <c r="E743" s="36" t="s">
        <v>11694</v>
      </c>
      <c r="F743" s="36" t="s">
        <v>11695</v>
      </c>
      <c r="G743" s="36" t="s">
        <v>11696</v>
      </c>
      <c r="H743" s="36" t="s">
        <v>11697</v>
      </c>
      <c r="I743" s="36" t="s">
        <v>11698</v>
      </c>
      <c r="J743" s="36" t="s">
        <v>11699</v>
      </c>
      <c r="K743" s="36" t="s">
        <v>11700</v>
      </c>
      <c r="L743" s="36" t="s">
        <v>11701</v>
      </c>
      <c r="M743" s="36" t="s">
        <v>11702</v>
      </c>
      <c r="N743" s="36" t="s">
        <v>11703</v>
      </c>
      <c r="O743" s="36" t="s">
        <v>11704</v>
      </c>
      <c r="P743" s="36" t="s">
        <v>11691</v>
      </c>
    </row>
    <row r="744" spans="1:16">
      <c r="A744" s="139">
        <v>743</v>
      </c>
      <c r="B744" s="36" t="s">
        <v>11705</v>
      </c>
      <c r="C744" s="36" t="s">
        <v>11706</v>
      </c>
      <c r="D744" s="36" t="s">
        <v>11707</v>
      </c>
      <c r="E744" s="36" t="s">
        <v>11708</v>
      </c>
      <c r="F744" s="36" t="s">
        <v>11709</v>
      </c>
      <c r="G744" s="36" t="s">
        <v>11710</v>
      </c>
      <c r="H744" s="36" t="s">
        <v>11711</v>
      </c>
      <c r="I744" s="36" t="s">
        <v>11712</v>
      </c>
      <c r="J744" s="36" t="s">
        <v>11713</v>
      </c>
      <c r="K744" s="36" t="s">
        <v>11714</v>
      </c>
      <c r="L744" s="36" t="s">
        <v>11715</v>
      </c>
      <c r="M744" s="36" t="s">
        <v>11716</v>
      </c>
      <c r="N744" s="36" t="s">
        <v>11717</v>
      </c>
      <c r="O744" s="36" t="s">
        <v>11718</v>
      </c>
      <c r="P744" s="36" t="s">
        <v>11705</v>
      </c>
    </row>
    <row r="745" spans="1:16">
      <c r="A745" s="139">
        <v>744</v>
      </c>
      <c r="B745" s="36" t="s">
        <v>11719</v>
      </c>
      <c r="C745" s="36" t="s">
        <v>11720</v>
      </c>
      <c r="D745" s="36" t="s">
        <v>11721</v>
      </c>
      <c r="E745" s="36" t="s">
        <v>11722</v>
      </c>
      <c r="F745" s="36" t="s">
        <v>11723</v>
      </c>
      <c r="G745" s="36" t="s">
        <v>11724</v>
      </c>
      <c r="H745" s="36" t="s">
        <v>11725</v>
      </c>
      <c r="I745" s="36" t="s">
        <v>11726</v>
      </c>
      <c r="J745" s="36" t="s">
        <v>11727</v>
      </c>
      <c r="K745" s="36" t="s">
        <v>11728</v>
      </c>
      <c r="L745" s="36" t="s">
        <v>11729</v>
      </c>
      <c r="M745" s="36" t="s">
        <v>11730</v>
      </c>
      <c r="N745" s="36" t="s">
        <v>11731</v>
      </c>
      <c r="O745" s="36" t="s">
        <v>11732</v>
      </c>
      <c r="P745" s="36" t="s">
        <v>11719</v>
      </c>
    </row>
    <row r="746" spans="1:16">
      <c r="A746" s="139">
        <v>745</v>
      </c>
      <c r="B746" s="36" t="s">
        <v>11733</v>
      </c>
      <c r="C746" s="36" t="s">
        <v>11734</v>
      </c>
      <c r="D746" s="36" t="s">
        <v>11735</v>
      </c>
      <c r="E746" s="36" t="s">
        <v>11736</v>
      </c>
      <c r="F746" s="36" t="s">
        <v>11737</v>
      </c>
      <c r="G746" s="36" t="s">
        <v>11738</v>
      </c>
      <c r="H746" s="36" t="s">
        <v>11739</v>
      </c>
      <c r="I746" s="36" t="s">
        <v>11740</v>
      </c>
      <c r="J746" s="36" t="s">
        <v>11741</v>
      </c>
      <c r="K746" s="36" t="s">
        <v>11742</v>
      </c>
      <c r="L746" s="36" t="s">
        <v>11743</v>
      </c>
      <c r="M746" s="36" t="s">
        <v>11744</v>
      </c>
      <c r="N746" s="36" t="s">
        <v>11745</v>
      </c>
      <c r="O746" s="36" t="s">
        <v>11746</v>
      </c>
      <c r="P746" s="36" t="s">
        <v>11733</v>
      </c>
    </row>
    <row r="747" spans="1:16">
      <c r="A747" s="139">
        <v>746</v>
      </c>
      <c r="B747" s="36" t="s">
        <v>11747</v>
      </c>
      <c r="C747" s="36" t="s">
        <v>11748</v>
      </c>
      <c r="D747" s="36" t="s">
        <v>11749</v>
      </c>
      <c r="E747" s="36" t="s">
        <v>11750</v>
      </c>
      <c r="F747" s="36" t="s">
        <v>11751</v>
      </c>
      <c r="G747" s="36" t="s">
        <v>11752</v>
      </c>
      <c r="H747" s="36" t="s">
        <v>11753</v>
      </c>
      <c r="I747" s="36" t="s">
        <v>11754</v>
      </c>
      <c r="J747" s="36" t="s">
        <v>11755</v>
      </c>
      <c r="K747" s="36" t="s">
        <v>11756</v>
      </c>
      <c r="L747" s="36" t="s">
        <v>11757</v>
      </c>
      <c r="M747" s="36" t="s">
        <v>11758</v>
      </c>
      <c r="N747" s="36" t="s">
        <v>11759</v>
      </c>
      <c r="O747" s="36" t="s">
        <v>11760</v>
      </c>
      <c r="P747" s="36" t="s">
        <v>11747</v>
      </c>
    </row>
    <row r="748" spans="1:16">
      <c r="A748" s="139">
        <v>747</v>
      </c>
      <c r="B748" s="36" t="s">
        <v>11761</v>
      </c>
      <c r="C748" s="36" t="s">
        <v>11762</v>
      </c>
      <c r="D748" s="36" t="s">
        <v>11763</v>
      </c>
      <c r="E748" s="36" t="s">
        <v>11764</v>
      </c>
      <c r="F748" s="36" t="s">
        <v>11765</v>
      </c>
      <c r="G748" s="36" t="s">
        <v>11766</v>
      </c>
      <c r="H748" s="36" t="s">
        <v>11767</v>
      </c>
      <c r="I748" s="36" t="s">
        <v>11768</v>
      </c>
      <c r="J748" s="36" t="s">
        <v>11769</v>
      </c>
      <c r="K748" s="36" t="s">
        <v>11770</v>
      </c>
      <c r="L748" s="36" t="s">
        <v>11547</v>
      </c>
      <c r="M748" s="36" t="s">
        <v>11771</v>
      </c>
      <c r="N748" s="36" t="s">
        <v>11772</v>
      </c>
      <c r="O748" s="36" t="s">
        <v>11773</v>
      </c>
      <c r="P748" s="36" t="s">
        <v>11761</v>
      </c>
    </row>
    <row r="749" spans="1:16">
      <c r="A749" s="139">
        <v>748</v>
      </c>
      <c r="B749" s="36" t="s">
        <v>11774</v>
      </c>
      <c r="C749" s="36" t="s">
        <v>11775</v>
      </c>
      <c r="D749" s="36" t="s">
        <v>11776</v>
      </c>
      <c r="E749" s="36" t="s">
        <v>11777</v>
      </c>
      <c r="F749" s="36" t="s">
        <v>11778</v>
      </c>
      <c r="G749" s="36" t="s">
        <v>11779</v>
      </c>
      <c r="H749" s="36" t="s">
        <v>11780</v>
      </c>
      <c r="I749" s="36" t="s">
        <v>11781</v>
      </c>
      <c r="J749" s="36" t="s">
        <v>11782</v>
      </c>
      <c r="K749" s="36" t="s">
        <v>11783</v>
      </c>
      <c r="L749" s="36" t="s">
        <v>11784</v>
      </c>
      <c r="M749" s="36" t="s">
        <v>11785</v>
      </c>
      <c r="N749" s="36" t="s">
        <v>11786</v>
      </c>
      <c r="O749" s="36" t="s">
        <v>11787</v>
      </c>
      <c r="P749" s="36" t="s">
        <v>11774</v>
      </c>
    </row>
    <row r="750" spans="1:16">
      <c r="A750" s="139">
        <v>749</v>
      </c>
      <c r="B750" s="36" t="s">
        <v>11788</v>
      </c>
      <c r="C750" s="36" t="s">
        <v>11789</v>
      </c>
      <c r="D750" s="36" t="s">
        <v>11790</v>
      </c>
      <c r="E750" s="36" t="s">
        <v>11791</v>
      </c>
      <c r="F750" s="36" t="s">
        <v>11792</v>
      </c>
      <c r="G750" s="36" t="s">
        <v>11793</v>
      </c>
      <c r="H750" s="36" t="s">
        <v>11794</v>
      </c>
      <c r="I750" s="36" t="s">
        <v>11795</v>
      </c>
      <c r="J750" s="36" t="s">
        <v>11788</v>
      </c>
      <c r="K750" s="36" t="s">
        <v>11796</v>
      </c>
      <c r="L750" s="36" t="s">
        <v>11797</v>
      </c>
      <c r="M750" s="36" t="s">
        <v>11798</v>
      </c>
      <c r="N750" s="36" t="s">
        <v>11798</v>
      </c>
      <c r="O750" s="36" t="s">
        <v>11799</v>
      </c>
      <c r="P750" s="36" t="s">
        <v>11788</v>
      </c>
    </row>
    <row r="751" spans="1:16">
      <c r="A751" s="139">
        <v>750</v>
      </c>
      <c r="B751" s="36" t="s">
        <v>11800</v>
      </c>
      <c r="C751" s="36" t="s">
        <v>11801</v>
      </c>
      <c r="D751" s="36" t="s">
        <v>11802</v>
      </c>
      <c r="E751" s="36" t="s">
        <v>11803</v>
      </c>
      <c r="F751" s="36" t="s">
        <v>11804</v>
      </c>
      <c r="G751" s="36" t="s">
        <v>11805</v>
      </c>
      <c r="H751" s="36" t="s">
        <v>11806</v>
      </c>
      <c r="I751" s="36" t="s">
        <v>11807</v>
      </c>
      <c r="J751" s="36" t="s">
        <v>11808</v>
      </c>
      <c r="K751" s="36" t="s">
        <v>11809</v>
      </c>
      <c r="L751" s="36" t="s">
        <v>11810</v>
      </c>
      <c r="M751" s="36" t="s">
        <v>11811</v>
      </c>
      <c r="N751" s="36" t="s">
        <v>11812</v>
      </c>
      <c r="O751" s="36" t="s">
        <v>11813</v>
      </c>
      <c r="P751" s="36" t="s">
        <v>11800</v>
      </c>
    </row>
    <row r="752" spans="1:16">
      <c r="A752" s="139">
        <v>751</v>
      </c>
      <c r="B752" s="36" t="s">
        <v>11814</v>
      </c>
      <c r="C752" s="36" t="s">
        <v>11815</v>
      </c>
      <c r="D752" s="36" t="s">
        <v>11816</v>
      </c>
      <c r="E752" s="36" t="s">
        <v>11817</v>
      </c>
      <c r="F752" s="36" t="s">
        <v>11818</v>
      </c>
      <c r="G752" s="36" t="s">
        <v>11819</v>
      </c>
      <c r="H752" s="36" t="s">
        <v>11820</v>
      </c>
      <c r="I752" s="36" t="s">
        <v>11821</v>
      </c>
      <c r="J752" s="36" t="s">
        <v>11822</v>
      </c>
      <c r="K752" s="36" t="s">
        <v>11823</v>
      </c>
      <c r="L752" s="36" t="s">
        <v>11824</v>
      </c>
      <c r="M752" s="36" t="s">
        <v>11825</v>
      </c>
      <c r="N752" s="36" t="s">
        <v>11826</v>
      </c>
      <c r="O752" s="36" t="s">
        <v>11827</v>
      </c>
      <c r="P752" s="36" t="s">
        <v>11814</v>
      </c>
    </row>
    <row r="753" spans="1:16">
      <c r="A753" s="139">
        <v>752</v>
      </c>
      <c r="B753" s="36" t="s">
        <v>11828</v>
      </c>
      <c r="C753" s="36" t="s">
        <v>11829</v>
      </c>
      <c r="D753" s="36" t="s">
        <v>11830</v>
      </c>
      <c r="E753" s="36" t="s">
        <v>11831</v>
      </c>
      <c r="F753" s="36" t="s">
        <v>11832</v>
      </c>
      <c r="G753" s="36" t="s">
        <v>11833</v>
      </c>
      <c r="H753" s="36" t="s">
        <v>11834</v>
      </c>
      <c r="I753" s="36" t="s">
        <v>11835</v>
      </c>
      <c r="J753" s="36" t="s">
        <v>11836</v>
      </c>
      <c r="K753" s="36" t="s">
        <v>11837</v>
      </c>
      <c r="L753" s="36" t="s">
        <v>11838</v>
      </c>
      <c r="M753" s="36" t="s">
        <v>11839</v>
      </c>
      <c r="N753" s="36" t="s">
        <v>11840</v>
      </c>
      <c r="O753" s="36" t="s">
        <v>11841</v>
      </c>
      <c r="P753" s="36" t="s">
        <v>11828</v>
      </c>
    </row>
    <row r="754" spans="1:16">
      <c r="A754" s="139">
        <v>753</v>
      </c>
      <c r="B754" s="36" t="s">
        <v>11842</v>
      </c>
      <c r="C754" s="36" t="s">
        <v>11843</v>
      </c>
      <c r="D754" s="36" t="s">
        <v>11844</v>
      </c>
      <c r="E754" s="36" t="s">
        <v>11845</v>
      </c>
      <c r="F754" s="36" t="s">
        <v>11846</v>
      </c>
      <c r="G754" s="36" t="s">
        <v>11847</v>
      </c>
      <c r="H754" s="36" t="s">
        <v>11848</v>
      </c>
      <c r="I754" s="36" t="s">
        <v>11849</v>
      </c>
      <c r="J754" s="36" t="s">
        <v>11850</v>
      </c>
      <c r="K754" s="36" t="s">
        <v>11851</v>
      </c>
      <c r="L754" s="36" t="s">
        <v>11852</v>
      </c>
      <c r="M754" s="36" t="s">
        <v>11853</v>
      </c>
      <c r="N754" s="36" t="s">
        <v>11854</v>
      </c>
      <c r="O754" s="36" t="s">
        <v>11855</v>
      </c>
      <c r="P754" s="36" t="s">
        <v>11842</v>
      </c>
    </row>
    <row r="755" spans="1:16">
      <c r="A755" s="139">
        <v>754</v>
      </c>
      <c r="B755" s="36" t="s">
        <v>11856</v>
      </c>
      <c r="C755" s="36" t="s">
        <v>11857</v>
      </c>
      <c r="D755" s="36" t="s">
        <v>11858</v>
      </c>
      <c r="E755" s="36" t="s">
        <v>11859</v>
      </c>
      <c r="F755" s="36" t="s">
        <v>11860</v>
      </c>
      <c r="G755" s="36" t="s">
        <v>11861</v>
      </c>
      <c r="H755" s="36" t="s">
        <v>11862</v>
      </c>
      <c r="I755" s="36" t="s">
        <v>11863</v>
      </c>
      <c r="J755" s="36" t="s">
        <v>11864</v>
      </c>
      <c r="K755" s="36" t="s">
        <v>11865</v>
      </c>
      <c r="L755" s="36" t="s">
        <v>11866</v>
      </c>
      <c r="M755" s="36" t="s">
        <v>11867</v>
      </c>
      <c r="N755" s="36" t="s">
        <v>11868</v>
      </c>
      <c r="O755" s="36" t="s">
        <v>11869</v>
      </c>
      <c r="P755" s="36" t="s">
        <v>11856</v>
      </c>
    </row>
    <row r="756" spans="1:16">
      <c r="A756" s="139">
        <v>755</v>
      </c>
      <c r="B756" s="36" t="s">
        <v>11870</v>
      </c>
      <c r="C756" s="36" t="s">
        <v>11871</v>
      </c>
      <c r="D756" s="36" t="s">
        <v>11872</v>
      </c>
      <c r="E756" s="36" t="s">
        <v>11873</v>
      </c>
      <c r="F756" s="36" t="s">
        <v>11874</v>
      </c>
      <c r="G756" s="36" t="s">
        <v>11875</v>
      </c>
      <c r="H756" s="36" t="s">
        <v>11876</v>
      </c>
      <c r="I756" s="36" t="s">
        <v>11877</v>
      </c>
      <c r="J756" s="36" t="s">
        <v>11878</v>
      </c>
      <c r="K756" s="36" t="s">
        <v>11879</v>
      </c>
      <c r="L756" s="36" t="s">
        <v>11880</v>
      </c>
      <c r="M756" s="36" t="s">
        <v>11881</v>
      </c>
      <c r="N756" s="36" t="s">
        <v>11882</v>
      </c>
      <c r="O756" s="36" t="s">
        <v>11883</v>
      </c>
      <c r="P756" s="36" t="s">
        <v>11870</v>
      </c>
    </row>
    <row r="757" spans="1:16">
      <c r="A757" s="139">
        <v>756</v>
      </c>
      <c r="B757" s="36" t="s">
        <v>11884</v>
      </c>
      <c r="C757" s="36" t="s">
        <v>11885</v>
      </c>
      <c r="D757" s="36" t="s">
        <v>11886</v>
      </c>
      <c r="E757" s="36" t="s">
        <v>11887</v>
      </c>
      <c r="F757" s="36" t="s">
        <v>11888</v>
      </c>
      <c r="G757" s="36" t="s">
        <v>11889</v>
      </c>
      <c r="H757" s="36" t="s">
        <v>11890</v>
      </c>
      <c r="I757" s="36" t="s">
        <v>11891</v>
      </c>
      <c r="J757" s="36" t="s">
        <v>11892</v>
      </c>
      <c r="K757" s="36" t="s">
        <v>11893</v>
      </c>
      <c r="L757" s="36" t="s">
        <v>11894</v>
      </c>
      <c r="M757" s="36" t="s">
        <v>11895</v>
      </c>
      <c r="N757" s="36" t="s">
        <v>11896</v>
      </c>
      <c r="O757" s="36" t="s">
        <v>11897</v>
      </c>
      <c r="P757" s="36" t="s">
        <v>11884</v>
      </c>
    </row>
    <row r="758" spans="1:16">
      <c r="A758" s="139">
        <v>757</v>
      </c>
      <c r="B758" s="36" t="s">
        <v>11898</v>
      </c>
      <c r="C758" s="36" t="s">
        <v>11899</v>
      </c>
      <c r="D758" s="36" t="s">
        <v>11900</v>
      </c>
      <c r="E758" s="36" t="s">
        <v>11901</v>
      </c>
      <c r="F758" s="36" t="s">
        <v>11902</v>
      </c>
      <c r="G758" s="36" t="s">
        <v>11903</v>
      </c>
      <c r="H758" s="36" t="s">
        <v>11904</v>
      </c>
      <c r="I758" s="36" t="s">
        <v>11905</v>
      </c>
      <c r="J758" s="36" t="s">
        <v>11906</v>
      </c>
      <c r="K758" s="36" t="s">
        <v>11907</v>
      </c>
      <c r="L758" s="36" t="s">
        <v>11908</v>
      </c>
      <c r="M758" s="36" t="s">
        <v>11909</v>
      </c>
      <c r="N758" s="36" t="s">
        <v>11910</v>
      </c>
      <c r="O758" s="36" t="s">
        <v>11911</v>
      </c>
      <c r="P758" s="36" t="s">
        <v>11898</v>
      </c>
    </row>
    <row r="759" spans="1:16">
      <c r="A759" s="139">
        <v>758</v>
      </c>
      <c r="B759" s="36" t="s">
        <v>11912</v>
      </c>
      <c r="C759" s="36" t="s">
        <v>11913</v>
      </c>
      <c r="D759" s="36" t="s">
        <v>11914</v>
      </c>
      <c r="E759" s="36" t="s">
        <v>11915</v>
      </c>
      <c r="F759" s="36" t="s">
        <v>11916</v>
      </c>
      <c r="G759" s="36" t="s">
        <v>11917</v>
      </c>
      <c r="H759" s="36" t="s">
        <v>11918</v>
      </c>
      <c r="I759" s="36" t="s">
        <v>11919</v>
      </c>
      <c r="J759" s="36" t="s">
        <v>11920</v>
      </c>
      <c r="K759" s="36" t="s">
        <v>11921</v>
      </c>
      <c r="L759" s="36" t="s">
        <v>11922</v>
      </c>
      <c r="M759" s="36" t="s">
        <v>11923</v>
      </c>
      <c r="N759" s="36" t="s">
        <v>11924</v>
      </c>
      <c r="O759" s="36" t="s">
        <v>11925</v>
      </c>
      <c r="P759" s="36" t="s">
        <v>11912</v>
      </c>
    </row>
    <row r="760" spans="1:16">
      <c r="A760" s="139">
        <v>759</v>
      </c>
      <c r="B760" s="36" t="s">
        <v>11926</v>
      </c>
      <c r="C760" s="36" t="s">
        <v>11927</v>
      </c>
      <c r="D760" s="36" t="s">
        <v>11928</v>
      </c>
      <c r="E760" s="36" t="s">
        <v>11929</v>
      </c>
      <c r="F760" s="36" t="s">
        <v>11930</v>
      </c>
      <c r="G760" s="36" t="s">
        <v>11931</v>
      </c>
      <c r="H760" s="36" t="s">
        <v>11932</v>
      </c>
      <c r="I760" s="36" t="s">
        <v>11933</v>
      </c>
      <c r="J760" s="36" t="s">
        <v>11934</v>
      </c>
      <c r="K760" s="36" t="s">
        <v>11935</v>
      </c>
      <c r="L760" s="36" t="s">
        <v>11936</v>
      </c>
      <c r="M760" s="36" t="s">
        <v>11937</v>
      </c>
      <c r="N760" s="36" t="s">
        <v>11938</v>
      </c>
      <c r="O760" s="36" t="s">
        <v>11939</v>
      </c>
      <c r="P760" s="36" t="s">
        <v>11926</v>
      </c>
    </row>
    <row r="761" spans="1:16">
      <c r="A761" s="139">
        <v>760</v>
      </c>
      <c r="B761" s="36" t="s">
        <v>11940</v>
      </c>
      <c r="C761" s="36" t="s">
        <v>11941</v>
      </c>
      <c r="D761" s="36" t="s">
        <v>7859</v>
      </c>
      <c r="E761" s="36" t="s">
        <v>11942</v>
      </c>
      <c r="F761" s="36" t="s">
        <v>11943</v>
      </c>
      <c r="G761" s="36" t="s">
        <v>11944</v>
      </c>
      <c r="H761" s="36" t="s">
        <v>11945</v>
      </c>
      <c r="I761" s="36" t="s">
        <v>11946</v>
      </c>
      <c r="J761" s="36" t="s">
        <v>11947</v>
      </c>
      <c r="K761" s="36" t="s">
        <v>11948</v>
      </c>
      <c r="L761" s="36" t="s">
        <v>11949</v>
      </c>
      <c r="M761" s="36" t="s">
        <v>11950</v>
      </c>
      <c r="N761" s="36" t="s">
        <v>11951</v>
      </c>
      <c r="O761" s="36" t="s">
        <v>11952</v>
      </c>
      <c r="P761" s="36" t="s">
        <v>11940</v>
      </c>
    </row>
    <row r="762" spans="1:16">
      <c r="A762" s="139">
        <v>761</v>
      </c>
      <c r="B762" s="36" t="s">
        <v>11953</v>
      </c>
      <c r="C762" s="36" t="s">
        <v>11954</v>
      </c>
      <c r="D762" s="36" t="s">
        <v>11955</v>
      </c>
      <c r="E762" s="36" t="s">
        <v>11956</v>
      </c>
      <c r="F762" s="36" t="s">
        <v>11957</v>
      </c>
      <c r="G762" s="36" t="s">
        <v>11958</v>
      </c>
      <c r="H762" s="36" t="s">
        <v>11959</v>
      </c>
      <c r="I762" s="36" t="s">
        <v>11960</v>
      </c>
      <c r="J762" s="36" t="s">
        <v>11961</v>
      </c>
      <c r="K762" s="36" t="s">
        <v>11962</v>
      </c>
      <c r="L762" s="36" t="s">
        <v>11963</v>
      </c>
      <c r="M762" s="36" t="s">
        <v>11964</v>
      </c>
      <c r="N762" s="36" t="s">
        <v>11965</v>
      </c>
      <c r="O762" s="36" t="s">
        <v>11966</v>
      </c>
      <c r="P762" s="36" t="s">
        <v>11953</v>
      </c>
    </row>
    <row r="763" spans="1:16">
      <c r="A763" s="139">
        <v>762</v>
      </c>
      <c r="B763" s="36" t="s">
        <v>11967</v>
      </c>
      <c r="C763" s="36" t="s">
        <v>11968</v>
      </c>
      <c r="D763" s="36" t="s">
        <v>11969</v>
      </c>
      <c r="E763" s="36" t="s">
        <v>11970</v>
      </c>
      <c r="F763" s="36" t="s">
        <v>11971</v>
      </c>
      <c r="G763" s="36" t="s">
        <v>11972</v>
      </c>
      <c r="H763" s="36" t="s">
        <v>11973</v>
      </c>
      <c r="I763" s="36" t="s">
        <v>11974</v>
      </c>
      <c r="J763" s="36" t="s">
        <v>5501</v>
      </c>
      <c r="K763" s="36" t="s">
        <v>11975</v>
      </c>
      <c r="L763" s="36" t="s">
        <v>11976</v>
      </c>
      <c r="M763" s="36" t="s">
        <v>11977</v>
      </c>
      <c r="N763" s="36" t="s">
        <v>11978</v>
      </c>
      <c r="O763" s="36" t="s">
        <v>11979</v>
      </c>
      <c r="P763" s="36" t="s">
        <v>11967</v>
      </c>
    </row>
    <row r="764" spans="1:16">
      <c r="A764" s="139">
        <v>763</v>
      </c>
      <c r="B764" s="36" t="s">
        <v>11980</v>
      </c>
      <c r="C764" s="36" t="s">
        <v>11981</v>
      </c>
      <c r="D764" s="36" t="s">
        <v>11982</v>
      </c>
      <c r="E764" s="36" t="s">
        <v>11983</v>
      </c>
      <c r="F764" s="36" t="s">
        <v>11984</v>
      </c>
      <c r="G764" s="36" t="s">
        <v>11985</v>
      </c>
      <c r="H764" s="36" t="s">
        <v>11986</v>
      </c>
      <c r="I764" s="36" t="s">
        <v>11987</v>
      </c>
      <c r="J764" s="36" t="s">
        <v>11988</v>
      </c>
      <c r="K764" s="36" t="s">
        <v>11989</v>
      </c>
      <c r="L764" s="36" t="s">
        <v>11990</v>
      </c>
      <c r="M764" s="36" t="s">
        <v>11991</v>
      </c>
      <c r="N764" s="36" t="s">
        <v>11992</v>
      </c>
      <c r="O764" s="36" t="s">
        <v>11993</v>
      </c>
      <c r="P764" s="36" t="s">
        <v>11980</v>
      </c>
    </row>
    <row r="765" spans="1:16" ht="13.95" customHeight="1">
      <c r="A765" s="139">
        <v>764</v>
      </c>
      <c r="B765" s="36" t="s">
        <v>11994</v>
      </c>
      <c r="C765" s="36" t="s">
        <v>11995</v>
      </c>
      <c r="D765" s="36" t="s">
        <v>11996</v>
      </c>
      <c r="E765" s="36" t="s">
        <v>11997</v>
      </c>
      <c r="F765" s="36" t="s">
        <v>11998</v>
      </c>
      <c r="G765" s="36" t="s">
        <v>11999</v>
      </c>
      <c r="H765" s="36" t="s">
        <v>12000</v>
      </c>
      <c r="I765" s="36" t="s">
        <v>12001</v>
      </c>
      <c r="J765" s="36" t="s">
        <v>12002</v>
      </c>
      <c r="K765" s="36" t="s">
        <v>12003</v>
      </c>
      <c r="L765" s="36" t="s">
        <v>12004</v>
      </c>
      <c r="M765" s="36" t="s">
        <v>12005</v>
      </c>
      <c r="N765" s="36" t="s">
        <v>12006</v>
      </c>
      <c r="O765" s="36" t="s">
        <v>12007</v>
      </c>
      <c r="P765" s="36" t="s">
        <v>11994</v>
      </c>
    </row>
    <row r="766" spans="1:16">
      <c r="A766" s="139">
        <v>765</v>
      </c>
      <c r="B766" s="36" t="s">
        <v>12008</v>
      </c>
      <c r="C766" s="36" t="s">
        <v>12009</v>
      </c>
      <c r="D766" s="36" t="s">
        <v>12010</v>
      </c>
      <c r="E766" s="36" t="s">
        <v>12011</v>
      </c>
      <c r="F766" s="36" t="s">
        <v>12012</v>
      </c>
      <c r="G766" s="36" t="s">
        <v>12013</v>
      </c>
      <c r="H766" s="36" t="s">
        <v>12014</v>
      </c>
      <c r="I766" s="36" t="s">
        <v>12015</v>
      </c>
      <c r="J766" s="36" t="s">
        <v>12016</v>
      </c>
      <c r="K766" s="36" t="s">
        <v>12017</v>
      </c>
      <c r="L766" s="36" t="s">
        <v>12018</v>
      </c>
      <c r="M766" s="36" t="s">
        <v>12019</v>
      </c>
      <c r="N766" s="36" t="s">
        <v>12020</v>
      </c>
      <c r="O766" s="36" t="s">
        <v>12021</v>
      </c>
      <c r="P766" s="36" t="s">
        <v>12008</v>
      </c>
    </row>
    <row r="767" spans="1:16">
      <c r="A767" s="139">
        <v>766</v>
      </c>
      <c r="B767" s="36" t="s">
        <v>12022</v>
      </c>
      <c r="C767" s="36" t="s">
        <v>12023</v>
      </c>
      <c r="D767" s="36" t="s">
        <v>12024</v>
      </c>
      <c r="E767" s="36" t="s">
        <v>12025</v>
      </c>
      <c r="F767" s="36" t="s">
        <v>12026</v>
      </c>
      <c r="G767" s="36" t="s">
        <v>12027</v>
      </c>
      <c r="H767" s="36" t="s">
        <v>12028</v>
      </c>
      <c r="I767" s="36" t="s">
        <v>12029</v>
      </c>
      <c r="J767" s="36" t="s">
        <v>12030</v>
      </c>
      <c r="K767" s="36" t="s">
        <v>12031</v>
      </c>
      <c r="L767" s="36" t="s">
        <v>12032</v>
      </c>
      <c r="M767" s="36" t="s">
        <v>12033</v>
      </c>
      <c r="N767" s="36" t="s">
        <v>12034</v>
      </c>
      <c r="O767" s="36" t="s">
        <v>12035</v>
      </c>
      <c r="P767" s="36" t="s">
        <v>12022</v>
      </c>
    </row>
    <row r="768" spans="1:16">
      <c r="A768" s="139">
        <v>767</v>
      </c>
      <c r="B768" s="36" t="s">
        <v>12036</v>
      </c>
      <c r="C768" s="36" t="s">
        <v>12037</v>
      </c>
      <c r="D768" s="36" t="s">
        <v>12038</v>
      </c>
      <c r="E768" s="36" t="s">
        <v>12039</v>
      </c>
      <c r="F768" s="36" t="s">
        <v>12040</v>
      </c>
      <c r="G768" s="36" t="s">
        <v>12041</v>
      </c>
      <c r="H768" s="36" t="s">
        <v>12042</v>
      </c>
      <c r="I768" s="36" t="s">
        <v>12043</v>
      </c>
      <c r="J768" s="36" t="s">
        <v>12044</v>
      </c>
      <c r="K768" s="36" t="s">
        <v>12045</v>
      </c>
      <c r="L768" s="36" t="s">
        <v>12046</v>
      </c>
      <c r="M768" s="36" t="s">
        <v>12047</v>
      </c>
      <c r="N768" s="36" t="s">
        <v>12048</v>
      </c>
      <c r="O768" s="36" t="s">
        <v>12049</v>
      </c>
      <c r="P768" s="36" t="s">
        <v>12036</v>
      </c>
    </row>
    <row r="769" spans="1:16">
      <c r="A769" s="139">
        <v>768</v>
      </c>
      <c r="B769" s="36" t="s">
        <v>12050</v>
      </c>
      <c r="C769" s="36" t="s">
        <v>12051</v>
      </c>
      <c r="D769" s="36" t="s">
        <v>12052</v>
      </c>
      <c r="E769" s="36" t="s">
        <v>12053</v>
      </c>
      <c r="F769" s="36" t="s">
        <v>12054</v>
      </c>
      <c r="G769" s="36" t="s">
        <v>12055</v>
      </c>
      <c r="H769" s="36" t="s">
        <v>12056</v>
      </c>
      <c r="I769" s="36" t="s">
        <v>12057</v>
      </c>
      <c r="J769" s="36" t="s">
        <v>12058</v>
      </c>
      <c r="K769" s="36" t="s">
        <v>12059</v>
      </c>
      <c r="L769" s="36" t="s">
        <v>12060</v>
      </c>
      <c r="M769" s="36" t="s">
        <v>12061</v>
      </c>
      <c r="N769" s="36" t="s">
        <v>12062</v>
      </c>
      <c r="O769" s="36" t="s">
        <v>12063</v>
      </c>
      <c r="P769" s="36" t="s">
        <v>12050</v>
      </c>
    </row>
    <row r="770" spans="1:16">
      <c r="A770" s="139">
        <v>769</v>
      </c>
      <c r="B770" s="36" t="s">
        <v>12064</v>
      </c>
      <c r="C770" s="36" t="s">
        <v>12037</v>
      </c>
      <c r="D770" s="36" t="s">
        <v>12038</v>
      </c>
      <c r="E770" s="36" t="s">
        <v>12065</v>
      </c>
      <c r="F770" s="36" t="s">
        <v>6313</v>
      </c>
      <c r="G770" s="36" t="s">
        <v>12041</v>
      </c>
      <c r="H770" s="36" t="s">
        <v>12066</v>
      </c>
      <c r="I770" s="36" t="s">
        <v>12067</v>
      </c>
      <c r="J770" s="36" t="s">
        <v>12068</v>
      </c>
      <c r="K770" s="36" t="s">
        <v>12069</v>
      </c>
      <c r="L770" s="36" t="s">
        <v>12070</v>
      </c>
      <c r="M770" s="36" t="s">
        <v>12071</v>
      </c>
      <c r="N770" s="36" t="s">
        <v>12072</v>
      </c>
      <c r="O770" s="36" t="s">
        <v>12073</v>
      </c>
      <c r="P770" s="36" t="s">
        <v>12064</v>
      </c>
    </row>
    <row r="771" spans="1:16">
      <c r="A771" s="139">
        <v>770</v>
      </c>
      <c r="B771" s="36" t="s">
        <v>12074</v>
      </c>
      <c r="C771" s="36" t="s">
        <v>12075</v>
      </c>
      <c r="D771" s="36" t="s">
        <v>12076</v>
      </c>
      <c r="E771" s="36" t="s">
        <v>12077</v>
      </c>
      <c r="F771" s="36" t="s">
        <v>12078</v>
      </c>
      <c r="G771" s="36" t="s">
        <v>12079</v>
      </c>
      <c r="H771" s="36" t="s">
        <v>12080</v>
      </c>
      <c r="I771" s="36" t="s">
        <v>12081</v>
      </c>
      <c r="J771" s="36" t="s">
        <v>12082</v>
      </c>
      <c r="K771" s="36" t="s">
        <v>12083</v>
      </c>
      <c r="L771" s="36" t="s">
        <v>12084</v>
      </c>
      <c r="M771" s="36" t="s">
        <v>12085</v>
      </c>
      <c r="N771" s="36" t="s">
        <v>12086</v>
      </c>
      <c r="O771" s="36" t="s">
        <v>12087</v>
      </c>
      <c r="P771" s="36" t="s">
        <v>12074</v>
      </c>
    </row>
    <row r="772" spans="1:16">
      <c r="A772" s="139">
        <v>771</v>
      </c>
      <c r="B772" s="36" t="s">
        <v>12088</v>
      </c>
      <c r="C772" s="36" t="s">
        <v>12089</v>
      </c>
      <c r="D772" s="36" t="s">
        <v>12090</v>
      </c>
      <c r="E772" s="36" t="s">
        <v>12091</v>
      </c>
      <c r="F772" s="36" t="s">
        <v>12092</v>
      </c>
      <c r="G772" s="36" t="s">
        <v>12093</v>
      </c>
      <c r="H772" s="36" t="s">
        <v>12094</v>
      </c>
      <c r="I772" s="36" t="s">
        <v>12095</v>
      </c>
      <c r="J772" s="36" t="s">
        <v>12096</v>
      </c>
      <c r="K772" s="36" t="s">
        <v>12097</v>
      </c>
      <c r="L772" s="36" t="s">
        <v>12098</v>
      </c>
      <c r="M772" s="36" t="s">
        <v>12099</v>
      </c>
      <c r="N772" s="36" t="s">
        <v>12100</v>
      </c>
      <c r="O772" s="36" t="s">
        <v>12101</v>
      </c>
      <c r="P772" s="36" t="s">
        <v>12088</v>
      </c>
    </row>
    <row r="773" spans="1:16">
      <c r="A773" s="139">
        <v>772</v>
      </c>
      <c r="B773" s="36" t="s">
        <v>12102</v>
      </c>
      <c r="C773" s="36" t="s">
        <v>12103</v>
      </c>
      <c r="D773" s="36" t="s">
        <v>12104</v>
      </c>
      <c r="E773" s="36" t="s">
        <v>12105</v>
      </c>
      <c r="F773" s="36" t="s">
        <v>12106</v>
      </c>
      <c r="G773" s="36" t="s">
        <v>12107</v>
      </c>
      <c r="H773" s="36" t="s">
        <v>12108</v>
      </c>
      <c r="I773" s="36" t="s">
        <v>12109</v>
      </c>
      <c r="J773" s="36" t="s">
        <v>12110</v>
      </c>
      <c r="K773" s="36" t="s">
        <v>12111</v>
      </c>
      <c r="L773" s="36" t="s">
        <v>12112</v>
      </c>
      <c r="M773" s="36" t="s">
        <v>12113</v>
      </c>
      <c r="N773" s="36" t="s">
        <v>12114</v>
      </c>
      <c r="O773" s="36" t="s">
        <v>12115</v>
      </c>
      <c r="P773" s="36" t="s">
        <v>12102</v>
      </c>
    </row>
    <row r="774" spans="1:16">
      <c r="A774" s="139">
        <v>773</v>
      </c>
      <c r="B774" s="36" t="s">
        <v>12116</v>
      </c>
      <c r="C774" s="36" t="s">
        <v>12117</v>
      </c>
      <c r="D774" s="36" t="s">
        <v>12118</v>
      </c>
      <c r="E774" s="36" t="s">
        <v>12119</v>
      </c>
      <c r="F774" s="36" t="s">
        <v>12120</v>
      </c>
      <c r="G774" s="36" t="s">
        <v>12121</v>
      </c>
      <c r="H774" s="36" t="s">
        <v>12122</v>
      </c>
      <c r="I774" s="36" t="s">
        <v>12123</v>
      </c>
      <c r="J774" s="36" t="s">
        <v>12124</v>
      </c>
      <c r="K774" s="36" t="s">
        <v>12125</v>
      </c>
      <c r="L774" s="36" t="s">
        <v>12126</v>
      </c>
      <c r="M774" s="36" t="s">
        <v>12127</v>
      </c>
      <c r="N774" s="36" t="s">
        <v>12128</v>
      </c>
      <c r="O774" s="36" t="s">
        <v>12129</v>
      </c>
      <c r="P774" s="36" t="s">
        <v>12116</v>
      </c>
    </row>
    <row r="775" spans="1:16">
      <c r="A775" s="139">
        <v>774</v>
      </c>
      <c r="B775" s="36" t="s">
        <v>12130</v>
      </c>
      <c r="C775" s="36" t="s">
        <v>12131</v>
      </c>
      <c r="D775" s="36" t="s">
        <v>12132</v>
      </c>
      <c r="E775" s="36" t="s">
        <v>12133</v>
      </c>
      <c r="F775" s="36" t="s">
        <v>12134</v>
      </c>
      <c r="G775" s="36" t="s">
        <v>12135</v>
      </c>
      <c r="H775" s="36" t="s">
        <v>12136</v>
      </c>
      <c r="I775" s="36" t="s">
        <v>12137</v>
      </c>
      <c r="J775" s="36" t="s">
        <v>12138</v>
      </c>
      <c r="K775" s="36" t="s">
        <v>12139</v>
      </c>
      <c r="L775" s="36" t="s">
        <v>12140</v>
      </c>
      <c r="M775" s="36" t="s">
        <v>12141</v>
      </c>
      <c r="N775" s="36" t="s">
        <v>12142</v>
      </c>
      <c r="O775" s="36" t="s">
        <v>12143</v>
      </c>
      <c r="P775" s="36" t="s">
        <v>12130</v>
      </c>
    </row>
    <row r="776" spans="1:16">
      <c r="A776" s="139">
        <v>775</v>
      </c>
      <c r="B776" s="36" t="s">
        <v>12144</v>
      </c>
      <c r="C776" s="36" t="s">
        <v>12145</v>
      </c>
      <c r="D776" s="36" t="s">
        <v>12146</v>
      </c>
      <c r="E776" s="36" t="s">
        <v>12147</v>
      </c>
      <c r="F776" s="36" t="s">
        <v>12148</v>
      </c>
      <c r="G776" s="36" t="s">
        <v>12149</v>
      </c>
      <c r="H776" s="36" t="s">
        <v>12150</v>
      </c>
      <c r="I776" s="36" t="s">
        <v>12151</v>
      </c>
      <c r="J776" s="36" t="s">
        <v>12152</v>
      </c>
      <c r="K776" s="36" t="s">
        <v>12153</v>
      </c>
      <c r="L776" s="36" t="s">
        <v>12154</v>
      </c>
      <c r="M776" s="36" t="s">
        <v>12155</v>
      </c>
      <c r="N776" s="36" t="s">
        <v>12156</v>
      </c>
      <c r="O776" s="36" t="s">
        <v>12157</v>
      </c>
      <c r="P776" s="36" t="s">
        <v>12144</v>
      </c>
    </row>
    <row r="777" spans="1:16">
      <c r="A777" s="139">
        <v>776</v>
      </c>
      <c r="B777" s="36" t="s">
        <v>12158</v>
      </c>
      <c r="C777" s="36" t="s">
        <v>12159</v>
      </c>
      <c r="D777" s="36" t="s">
        <v>12160</v>
      </c>
      <c r="E777" s="36" t="s">
        <v>12161</v>
      </c>
      <c r="F777" s="36" t="s">
        <v>12162</v>
      </c>
      <c r="G777" s="36" t="s">
        <v>12163</v>
      </c>
      <c r="H777" s="36" t="s">
        <v>12164</v>
      </c>
      <c r="I777" s="36" t="s">
        <v>12165</v>
      </c>
      <c r="J777" s="36" t="s">
        <v>12166</v>
      </c>
      <c r="K777" s="36" t="s">
        <v>12167</v>
      </c>
      <c r="L777" s="36" t="s">
        <v>12168</v>
      </c>
      <c r="M777" s="36" t="s">
        <v>12169</v>
      </c>
      <c r="N777" s="36" t="s">
        <v>12170</v>
      </c>
      <c r="O777" s="36" t="s">
        <v>12171</v>
      </c>
      <c r="P777" s="36" t="s">
        <v>12158</v>
      </c>
    </row>
    <row r="778" spans="1:16">
      <c r="A778" s="139">
        <v>777</v>
      </c>
      <c r="B778" s="36" t="s">
        <v>12172</v>
      </c>
      <c r="C778" s="36" t="s">
        <v>12173</v>
      </c>
      <c r="D778" s="36" t="s">
        <v>12174</v>
      </c>
      <c r="E778" s="36" t="s">
        <v>12175</v>
      </c>
      <c r="F778" s="36" t="s">
        <v>12176</v>
      </c>
      <c r="G778" s="36" t="s">
        <v>12177</v>
      </c>
      <c r="H778" s="36" t="s">
        <v>12178</v>
      </c>
      <c r="I778" s="36" t="s">
        <v>12179</v>
      </c>
      <c r="J778" s="36" t="s">
        <v>12180</v>
      </c>
      <c r="K778" s="36" t="s">
        <v>12181</v>
      </c>
      <c r="L778" s="36" t="s">
        <v>12182</v>
      </c>
      <c r="M778" s="36" t="s">
        <v>12183</v>
      </c>
      <c r="N778" s="36" t="s">
        <v>12184</v>
      </c>
      <c r="O778" s="36" t="s">
        <v>12185</v>
      </c>
      <c r="P778" s="36" t="s">
        <v>12172</v>
      </c>
    </row>
    <row r="779" spans="1:16">
      <c r="A779" s="139">
        <v>778</v>
      </c>
      <c r="B779" s="36" t="s">
        <v>12186</v>
      </c>
      <c r="C779" s="36" t="s">
        <v>12187</v>
      </c>
      <c r="D779" s="36" t="s">
        <v>12188</v>
      </c>
      <c r="E779" s="36" t="s">
        <v>12189</v>
      </c>
      <c r="F779" s="36" t="s">
        <v>12190</v>
      </c>
      <c r="G779" s="36" t="s">
        <v>12191</v>
      </c>
      <c r="H779" s="36" t="s">
        <v>12192</v>
      </c>
      <c r="I779" s="36" t="s">
        <v>12193</v>
      </c>
      <c r="J779" s="36" t="s">
        <v>12194</v>
      </c>
      <c r="K779" s="36" t="s">
        <v>12195</v>
      </c>
      <c r="L779" s="36" t="s">
        <v>12196</v>
      </c>
      <c r="M779" s="36" t="s">
        <v>12197</v>
      </c>
      <c r="N779" s="36" t="s">
        <v>12198</v>
      </c>
      <c r="O779" s="36" t="s">
        <v>12199</v>
      </c>
      <c r="P779" s="36" t="s">
        <v>12186</v>
      </c>
    </row>
    <row r="780" spans="1:16">
      <c r="A780" s="139">
        <v>779</v>
      </c>
      <c r="B780" s="36" t="s">
        <v>12200</v>
      </c>
      <c r="C780" s="36" t="s">
        <v>12201</v>
      </c>
      <c r="D780" s="36" t="s">
        <v>12202</v>
      </c>
      <c r="E780" s="36" t="s">
        <v>12203</v>
      </c>
      <c r="F780" s="36" t="s">
        <v>12204</v>
      </c>
      <c r="G780" s="36" t="s">
        <v>12205</v>
      </c>
      <c r="H780" s="36" t="s">
        <v>12206</v>
      </c>
      <c r="I780" s="36" t="s">
        <v>12207</v>
      </c>
      <c r="J780" s="36" t="s">
        <v>12208</v>
      </c>
      <c r="K780" s="36" t="s">
        <v>12209</v>
      </c>
      <c r="L780" s="36" t="s">
        <v>12210</v>
      </c>
      <c r="M780" s="36" t="s">
        <v>12211</v>
      </c>
      <c r="N780" s="36" t="s">
        <v>12212</v>
      </c>
      <c r="O780" s="36" t="s">
        <v>12213</v>
      </c>
      <c r="P780" s="36" t="s">
        <v>12200</v>
      </c>
    </row>
    <row r="781" spans="1:16">
      <c r="A781" s="139">
        <v>780</v>
      </c>
      <c r="B781" s="36" t="s">
        <v>12214</v>
      </c>
      <c r="C781" s="36" t="s">
        <v>12215</v>
      </c>
      <c r="D781" s="36" t="s">
        <v>12216</v>
      </c>
      <c r="E781" s="36" t="s">
        <v>12025</v>
      </c>
      <c r="F781" s="36" t="s">
        <v>12217</v>
      </c>
      <c r="G781" s="36" t="s">
        <v>12218</v>
      </c>
      <c r="H781" s="36" t="s">
        <v>12219</v>
      </c>
      <c r="I781" s="36" t="s">
        <v>12220</v>
      </c>
      <c r="J781" s="36" t="s">
        <v>12221</v>
      </c>
      <c r="K781" s="36" t="s">
        <v>12222</v>
      </c>
      <c r="L781" s="36" t="s">
        <v>12223</v>
      </c>
      <c r="M781" s="36" t="s">
        <v>12224</v>
      </c>
      <c r="N781" s="36" t="s">
        <v>12225</v>
      </c>
      <c r="O781" s="36" t="s">
        <v>12226</v>
      </c>
      <c r="P781" s="36" t="s">
        <v>12214</v>
      </c>
    </row>
    <row r="782" spans="1:16">
      <c r="A782" s="139">
        <v>781</v>
      </c>
      <c r="B782" s="36" t="s">
        <v>12227</v>
      </c>
      <c r="C782" s="36" t="s">
        <v>12228</v>
      </c>
      <c r="D782" s="36" t="s">
        <v>12229</v>
      </c>
      <c r="E782" s="36" t="s">
        <v>12230</v>
      </c>
      <c r="F782" s="36" t="s">
        <v>12231</v>
      </c>
      <c r="G782" s="36" t="s">
        <v>12232</v>
      </c>
      <c r="H782" s="36" t="s">
        <v>12233</v>
      </c>
      <c r="I782" s="36" t="s">
        <v>12234</v>
      </c>
      <c r="J782" s="36" t="s">
        <v>12235</v>
      </c>
      <c r="K782" s="36" t="s">
        <v>12236</v>
      </c>
      <c r="L782" s="36" t="s">
        <v>12237</v>
      </c>
      <c r="M782" s="36" t="s">
        <v>12238</v>
      </c>
      <c r="N782" s="36" t="s">
        <v>12239</v>
      </c>
      <c r="O782" s="36" t="s">
        <v>12240</v>
      </c>
      <c r="P782" s="36" t="s">
        <v>12227</v>
      </c>
    </row>
    <row r="783" spans="1:16">
      <c r="A783" s="139">
        <v>782</v>
      </c>
      <c r="B783" s="36" t="s">
        <v>12241</v>
      </c>
      <c r="C783" s="36" t="s">
        <v>12242</v>
      </c>
      <c r="D783" s="36" t="s">
        <v>12243</v>
      </c>
      <c r="E783" s="36" t="s">
        <v>12244</v>
      </c>
      <c r="F783" s="36" t="s">
        <v>12245</v>
      </c>
      <c r="G783" s="36" t="s">
        <v>12246</v>
      </c>
      <c r="H783" s="36" t="s">
        <v>12247</v>
      </c>
      <c r="I783" s="36" t="s">
        <v>12248</v>
      </c>
      <c r="J783" s="36" t="s">
        <v>12249</v>
      </c>
      <c r="K783" s="36" t="s">
        <v>12250</v>
      </c>
      <c r="L783" s="36" t="s">
        <v>12251</v>
      </c>
      <c r="M783" s="36" t="s">
        <v>12252</v>
      </c>
      <c r="N783" s="36" t="s">
        <v>12253</v>
      </c>
      <c r="O783" s="36" t="s">
        <v>12254</v>
      </c>
      <c r="P783" s="36" t="s">
        <v>12241</v>
      </c>
    </row>
    <row r="784" spans="1:16">
      <c r="A784" s="139">
        <v>783</v>
      </c>
      <c r="B784" s="36" t="s">
        <v>12255</v>
      </c>
      <c r="C784" s="36" t="s">
        <v>12256</v>
      </c>
      <c r="D784" s="36" t="s">
        <v>12257</v>
      </c>
      <c r="E784" s="36" t="s">
        <v>12258</v>
      </c>
      <c r="F784" s="36" t="s">
        <v>12259</v>
      </c>
      <c r="G784" s="36" t="s">
        <v>12260</v>
      </c>
      <c r="H784" s="36" t="s">
        <v>12261</v>
      </c>
      <c r="I784" s="36" t="s">
        <v>12255</v>
      </c>
      <c r="J784" s="36" t="s">
        <v>12262</v>
      </c>
      <c r="K784" s="36" t="s">
        <v>12263</v>
      </c>
      <c r="L784" s="36" t="s">
        <v>12264</v>
      </c>
      <c r="M784" s="36" t="s">
        <v>12265</v>
      </c>
      <c r="N784" s="36" t="s">
        <v>12266</v>
      </c>
      <c r="O784" s="36" t="s">
        <v>12267</v>
      </c>
      <c r="P784" s="36" t="s">
        <v>12255</v>
      </c>
    </row>
    <row r="785" spans="1:16">
      <c r="A785" s="139">
        <v>784</v>
      </c>
      <c r="B785" s="36" t="s">
        <v>12268</v>
      </c>
      <c r="C785" s="36" t="s">
        <v>12269</v>
      </c>
      <c r="D785" s="36" t="s">
        <v>12257</v>
      </c>
      <c r="E785" s="36" t="s">
        <v>12270</v>
      </c>
      <c r="F785" s="36" t="s">
        <v>12271</v>
      </c>
      <c r="G785" s="36" t="s">
        <v>12272</v>
      </c>
      <c r="H785" s="36" t="s">
        <v>12273</v>
      </c>
      <c r="I785" s="36" t="s">
        <v>12274</v>
      </c>
      <c r="J785" s="36" t="s">
        <v>12275</v>
      </c>
      <c r="K785" s="36" t="s">
        <v>12263</v>
      </c>
      <c r="L785" s="36" t="s">
        <v>12276</v>
      </c>
      <c r="M785" s="36" t="s">
        <v>12277</v>
      </c>
      <c r="N785" s="36" t="s">
        <v>12278</v>
      </c>
      <c r="O785" s="36" t="s">
        <v>12279</v>
      </c>
      <c r="P785" s="36" t="s">
        <v>12268</v>
      </c>
    </row>
    <row r="786" spans="1:16">
      <c r="A786" s="139">
        <v>785</v>
      </c>
      <c r="B786" s="36" t="s">
        <v>12280</v>
      </c>
      <c r="C786" s="36" t="s">
        <v>12281</v>
      </c>
      <c r="D786" s="36" t="s">
        <v>12282</v>
      </c>
      <c r="E786" s="36" t="s">
        <v>7432</v>
      </c>
      <c r="F786" s="36" t="s">
        <v>12283</v>
      </c>
      <c r="G786" s="36" t="s">
        <v>12284</v>
      </c>
      <c r="H786" s="36" t="s">
        <v>12285</v>
      </c>
      <c r="I786" s="36" t="s">
        <v>12286</v>
      </c>
      <c r="J786" s="36" t="s">
        <v>12287</v>
      </c>
      <c r="K786" s="36" t="s">
        <v>12288</v>
      </c>
      <c r="L786" s="36" t="s">
        <v>12289</v>
      </c>
      <c r="M786" s="36" t="s">
        <v>12290</v>
      </c>
      <c r="N786" s="36" t="s">
        <v>12290</v>
      </c>
      <c r="O786" s="36" t="s">
        <v>12291</v>
      </c>
      <c r="P786" s="36" t="s">
        <v>12280</v>
      </c>
    </row>
    <row r="787" spans="1:16">
      <c r="A787" s="139">
        <v>786</v>
      </c>
      <c r="B787" s="36" t="s">
        <v>12292</v>
      </c>
      <c r="C787" s="36" t="s">
        <v>12293</v>
      </c>
      <c r="D787" s="36" t="s">
        <v>12294</v>
      </c>
      <c r="E787" s="36" t="s">
        <v>12295</v>
      </c>
      <c r="F787" s="36" t="s">
        <v>12296</v>
      </c>
      <c r="G787" s="36" t="s">
        <v>12297</v>
      </c>
      <c r="H787" s="36" t="s">
        <v>12298</v>
      </c>
      <c r="I787" s="36" t="s">
        <v>12299</v>
      </c>
      <c r="J787" s="36" t="s">
        <v>12300</v>
      </c>
      <c r="K787" s="36" t="s">
        <v>12301</v>
      </c>
      <c r="L787" s="36" t="s">
        <v>12302</v>
      </c>
      <c r="M787" s="36" t="s">
        <v>12303</v>
      </c>
      <c r="N787" s="36" t="s">
        <v>12304</v>
      </c>
      <c r="O787" s="36" t="s">
        <v>12305</v>
      </c>
      <c r="P787" s="36" t="s">
        <v>12292</v>
      </c>
    </row>
    <row r="788" spans="1:16">
      <c r="A788" s="139">
        <v>787</v>
      </c>
      <c r="B788" s="36" t="s">
        <v>12306</v>
      </c>
      <c r="C788" s="36" t="s">
        <v>12307</v>
      </c>
      <c r="D788" s="36" t="s">
        <v>12308</v>
      </c>
      <c r="E788" s="36" t="s">
        <v>12309</v>
      </c>
      <c r="F788" s="36" t="s">
        <v>12310</v>
      </c>
      <c r="G788" s="36" t="s">
        <v>12311</v>
      </c>
      <c r="H788" s="36" t="s">
        <v>12312</v>
      </c>
      <c r="I788" s="36" t="s">
        <v>12313</v>
      </c>
      <c r="J788" s="36" t="s">
        <v>12314</v>
      </c>
      <c r="K788" s="36" t="s">
        <v>12315</v>
      </c>
      <c r="L788" s="36" t="s">
        <v>12316</v>
      </c>
      <c r="M788" s="36" t="s">
        <v>12317</v>
      </c>
      <c r="N788" s="36" t="s">
        <v>12318</v>
      </c>
      <c r="O788" s="36" t="s">
        <v>12319</v>
      </c>
      <c r="P788" s="36" t="s">
        <v>12306</v>
      </c>
    </row>
    <row r="789" spans="1:16">
      <c r="A789" s="139">
        <v>788</v>
      </c>
      <c r="B789" s="36" t="s">
        <v>12320</v>
      </c>
      <c r="C789" s="36" t="s">
        <v>12321</v>
      </c>
      <c r="D789" s="36" t="s">
        <v>12322</v>
      </c>
      <c r="E789" s="36" t="s">
        <v>12323</v>
      </c>
      <c r="F789" s="36" t="s">
        <v>12324</v>
      </c>
      <c r="G789" s="36" t="s">
        <v>12325</v>
      </c>
      <c r="H789" s="36" t="s">
        <v>12326</v>
      </c>
      <c r="I789" s="36" t="s">
        <v>12327</v>
      </c>
      <c r="J789" s="36" t="s">
        <v>12328</v>
      </c>
      <c r="K789" s="36" t="s">
        <v>12329</v>
      </c>
      <c r="L789" s="36" t="s">
        <v>12330</v>
      </c>
      <c r="M789" s="36" t="s">
        <v>12331</v>
      </c>
      <c r="N789" s="36" t="s">
        <v>12332</v>
      </c>
      <c r="O789" s="36" t="s">
        <v>12333</v>
      </c>
      <c r="P789" s="36" t="s">
        <v>12320</v>
      </c>
    </row>
    <row r="790" spans="1:16">
      <c r="A790" s="139">
        <v>789</v>
      </c>
      <c r="B790" s="36" t="s">
        <v>12334</v>
      </c>
      <c r="C790" s="36" t="s">
        <v>12335</v>
      </c>
      <c r="D790" s="36" t="s">
        <v>12336</v>
      </c>
      <c r="E790" s="36" t="s">
        <v>12337</v>
      </c>
      <c r="F790" s="36" t="s">
        <v>12338</v>
      </c>
      <c r="G790" s="36" t="s">
        <v>12339</v>
      </c>
      <c r="H790" s="36" t="s">
        <v>12340</v>
      </c>
      <c r="I790" s="36" t="s">
        <v>12341</v>
      </c>
      <c r="J790" s="36" t="s">
        <v>12342</v>
      </c>
      <c r="K790" s="36" t="s">
        <v>12343</v>
      </c>
      <c r="L790" s="36" t="s">
        <v>12344</v>
      </c>
      <c r="M790" s="36" t="s">
        <v>12345</v>
      </c>
      <c r="N790" s="36" t="s">
        <v>12346</v>
      </c>
      <c r="O790" s="36" t="s">
        <v>12347</v>
      </c>
      <c r="P790" s="36" t="s">
        <v>12334</v>
      </c>
    </row>
    <row r="791" spans="1:16">
      <c r="A791" s="139">
        <v>790</v>
      </c>
      <c r="B791" s="36" t="s">
        <v>12348</v>
      </c>
      <c r="C791" s="36" t="s">
        <v>12349</v>
      </c>
      <c r="D791" s="36" t="s">
        <v>12350</v>
      </c>
      <c r="E791" s="36" t="s">
        <v>12351</v>
      </c>
      <c r="F791" s="36" t="s">
        <v>12352</v>
      </c>
      <c r="G791" s="36" t="s">
        <v>12353</v>
      </c>
      <c r="H791" s="36" t="s">
        <v>12354</v>
      </c>
      <c r="I791" s="36" t="s">
        <v>12355</v>
      </c>
      <c r="J791" s="36" t="s">
        <v>12356</v>
      </c>
      <c r="K791" s="36" t="s">
        <v>12357</v>
      </c>
      <c r="L791" s="36" t="s">
        <v>12358</v>
      </c>
      <c r="M791" s="36" t="s">
        <v>12359</v>
      </c>
      <c r="N791" s="36" t="s">
        <v>12360</v>
      </c>
      <c r="O791" s="36" t="s">
        <v>12361</v>
      </c>
      <c r="P791" s="36" t="s">
        <v>12348</v>
      </c>
    </row>
    <row r="792" spans="1:16">
      <c r="A792" s="139">
        <v>791</v>
      </c>
      <c r="B792" s="36" t="s">
        <v>12362</v>
      </c>
      <c r="C792" s="36" t="s">
        <v>12363</v>
      </c>
      <c r="D792" s="36" t="s">
        <v>12364</v>
      </c>
      <c r="E792" s="36" t="s">
        <v>12365</v>
      </c>
      <c r="F792" s="36" t="s">
        <v>12366</v>
      </c>
      <c r="G792" s="36" t="s">
        <v>12367</v>
      </c>
      <c r="H792" s="36" t="s">
        <v>12368</v>
      </c>
      <c r="I792" s="36" t="s">
        <v>12369</v>
      </c>
      <c r="J792" s="36" t="s">
        <v>12370</v>
      </c>
      <c r="K792" s="36" t="s">
        <v>3906</v>
      </c>
      <c r="L792" s="36" t="s">
        <v>12371</v>
      </c>
      <c r="M792" s="36" t="s">
        <v>12372</v>
      </c>
      <c r="N792" s="36" t="s">
        <v>12373</v>
      </c>
      <c r="O792" s="36" t="s">
        <v>12374</v>
      </c>
      <c r="P792" s="36" t="s">
        <v>12362</v>
      </c>
    </row>
    <row r="793" spans="1:16">
      <c r="A793" s="139">
        <v>792</v>
      </c>
      <c r="B793" s="36" t="s">
        <v>12375</v>
      </c>
      <c r="C793" s="36" t="s">
        <v>12376</v>
      </c>
      <c r="D793" s="36" t="s">
        <v>12377</v>
      </c>
      <c r="E793" s="36" t="s">
        <v>12378</v>
      </c>
      <c r="F793" s="36" t="s">
        <v>12379</v>
      </c>
      <c r="G793" s="36" t="s">
        <v>12380</v>
      </c>
      <c r="H793" s="36" t="s">
        <v>12381</v>
      </c>
      <c r="I793" s="36" t="s">
        <v>12382</v>
      </c>
      <c r="J793" s="36" t="s">
        <v>12383</v>
      </c>
      <c r="K793" s="36" t="s">
        <v>12384</v>
      </c>
      <c r="L793" s="36" t="s">
        <v>12385</v>
      </c>
      <c r="M793" s="36" t="s">
        <v>12386</v>
      </c>
      <c r="N793" s="36" t="s">
        <v>12387</v>
      </c>
      <c r="O793" s="36" t="s">
        <v>12388</v>
      </c>
      <c r="P793" s="36" t="s">
        <v>12375</v>
      </c>
    </row>
    <row r="794" spans="1:16">
      <c r="A794" s="139">
        <v>793</v>
      </c>
      <c r="B794" s="36" t="s">
        <v>12389</v>
      </c>
      <c r="C794" s="36" t="s">
        <v>12390</v>
      </c>
      <c r="D794" s="36" t="s">
        <v>12391</v>
      </c>
      <c r="E794" s="36" t="s">
        <v>12392</v>
      </c>
      <c r="F794" s="36" t="s">
        <v>12393</v>
      </c>
      <c r="G794" s="36" t="s">
        <v>12394</v>
      </c>
      <c r="H794" s="36" t="s">
        <v>12395</v>
      </c>
      <c r="I794" s="36" t="s">
        <v>12396</v>
      </c>
      <c r="J794" s="36" t="s">
        <v>12397</v>
      </c>
      <c r="K794" s="36" t="s">
        <v>12398</v>
      </c>
      <c r="L794" s="36" t="s">
        <v>12399</v>
      </c>
      <c r="M794" s="36" t="s">
        <v>12400</v>
      </c>
      <c r="N794" s="36" t="s">
        <v>12401</v>
      </c>
      <c r="O794" s="36" t="s">
        <v>12402</v>
      </c>
      <c r="P794" s="36" t="s">
        <v>12389</v>
      </c>
    </row>
    <row r="795" spans="1:16">
      <c r="A795" s="139">
        <v>794</v>
      </c>
      <c r="B795" s="36" t="s">
        <v>12403</v>
      </c>
      <c r="C795" s="36" t="s">
        <v>12404</v>
      </c>
      <c r="D795" s="36" t="s">
        <v>12405</v>
      </c>
      <c r="E795" s="36" t="s">
        <v>12406</v>
      </c>
      <c r="F795" s="36" t="s">
        <v>12407</v>
      </c>
      <c r="G795" s="36" t="s">
        <v>12408</v>
      </c>
      <c r="H795" s="36" t="s">
        <v>12409</v>
      </c>
      <c r="I795" s="36" t="s">
        <v>6521</v>
      </c>
      <c r="J795" s="36" t="s">
        <v>12410</v>
      </c>
      <c r="K795" s="36" t="s">
        <v>6523</v>
      </c>
      <c r="L795" s="36" t="s">
        <v>12411</v>
      </c>
      <c r="M795" s="36" t="s">
        <v>12412</v>
      </c>
      <c r="N795" s="36" t="s">
        <v>12413</v>
      </c>
      <c r="O795" s="36" t="s">
        <v>12414</v>
      </c>
      <c r="P795" s="36" t="s">
        <v>12403</v>
      </c>
    </row>
    <row r="796" spans="1:16">
      <c r="A796" s="139">
        <v>795</v>
      </c>
      <c r="B796" s="36" t="s">
        <v>12415</v>
      </c>
      <c r="C796" s="36" t="s">
        <v>12416</v>
      </c>
      <c r="D796" s="36" t="s">
        <v>12417</v>
      </c>
      <c r="E796" s="36" t="s">
        <v>12418</v>
      </c>
      <c r="F796" s="36" t="s">
        <v>12419</v>
      </c>
      <c r="G796" s="36" t="s">
        <v>12420</v>
      </c>
      <c r="H796" s="36" t="s">
        <v>12421</v>
      </c>
      <c r="I796" s="36" t="s">
        <v>12422</v>
      </c>
      <c r="J796" s="36" t="s">
        <v>12423</v>
      </c>
      <c r="K796" s="36" t="s">
        <v>12424</v>
      </c>
      <c r="L796" s="36" t="s">
        <v>12425</v>
      </c>
      <c r="M796" s="36" t="s">
        <v>12426</v>
      </c>
      <c r="N796" s="36" t="s">
        <v>12427</v>
      </c>
      <c r="O796" s="36" t="s">
        <v>12428</v>
      </c>
      <c r="P796" s="36" t="s">
        <v>12415</v>
      </c>
    </row>
    <row r="797" spans="1:16">
      <c r="A797" s="139">
        <v>796</v>
      </c>
      <c r="B797" s="36" t="s">
        <v>12429</v>
      </c>
      <c r="C797" s="36" t="s">
        <v>12430</v>
      </c>
      <c r="D797" s="36" t="s">
        <v>12431</v>
      </c>
      <c r="E797" s="36" t="s">
        <v>12432</v>
      </c>
      <c r="F797" s="36" t="s">
        <v>12433</v>
      </c>
      <c r="G797" s="36" t="s">
        <v>12434</v>
      </c>
      <c r="H797" s="36" t="s">
        <v>12435</v>
      </c>
      <c r="I797" s="36" t="s">
        <v>12436</v>
      </c>
      <c r="J797" s="36" t="s">
        <v>12437</v>
      </c>
      <c r="K797" s="36" t="s">
        <v>12438</v>
      </c>
      <c r="L797" s="36" t="s">
        <v>12439</v>
      </c>
      <c r="M797" s="36" t="s">
        <v>12440</v>
      </c>
      <c r="N797" s="36" t="s">
        <v>12441</v>
      </c>
      <c r="O797" s="36" t="s">
        <v>12442</v>
      </c>
      <c r="P797" s="36" t="s">
        <v>12429</v>
      </c>
    </row>
    <row r="798" spans="1:16" ht="13.95" customHeight="1">
      <c r="A798" s="139">
        <v>797</v>
      </c>
      <c r="B798" s="36" t="s">
        <v>12443</v>
      </c>
      <c r="C798" s="36" t="s">
        <v>12444</v>
      </c>
      <c r="D798" s="36" t="s">
        <v>12445</v>
      </c>
      <c r="E798" s="36" t="s">
        <v>12446</v>
      </c>
      <c r="F798" s="36" t="s">
        <v>12447</v>
      </c>
      <c r="G798" s="36" t="s">
        <v>12448</v>
      </c>
      <c r="H798" s="36" t="s">
        <v>12449</v>
      </c>
      <c r="I798" s="36" t="s">
        <v>12450</v>
      </c>
      <c r="J798" s="36" t="s">
        <v>12451</v>
      </c>
      <c r="K798" s="36" t="s">
        <v>12452</v>
      </c>
      <c r="L798" s="36" t="s">
        <v>12453</v>
      </c>
      <c r="M798" s="36" t="s">
        <v>12454</v>
      </c>
      <c r="N798" s="36" t="s">
        <v>12455</v>
      </c>
      <c r="O798" s="36" t="s">
        <v>12456</v>
      </c>
      <c r="P798" s="36" t="s">
        <v>12443</v>
      </c>
    </row>
    <row r="799" spans="1:16" ht="13.95" customHeight="1">
      <c r="A799" s="139">
        <v>798</v>
      </c>
      <c r="B799" s="36" t="s">
        <v>12457</v>
      </c>
      <c r="C799" s="36" t="s">
        <v>12458</v>
      </c>
      <c r="D799" s="36" t="s">
        <v>12459</v>
      </c>
      <c r="E799" s="36" t="s">
        <v>12460</v>
      </c>
      <c r="F799" s="36" t="s">
        <v>12461</v>
      </c>
      <c r="G799" s="36" t="s">
        <v>12462</v>
      </c>
      <c r="H799" s="36" t="s">
        <v>12463</v>
      </c>
      <c r="I799" s="36" t="s">
        <v>12464</v>
      </c>
      <c r="J799" s="36" t="s">
        <v>12465</v>
      </c>
      <c r="K799" s="36" t="s">
        <v>12466</v>
      </c>
      <c r="L799" s="36" t="s">
        <v>12467</v>
      </c>
      <c r="M799" s="36" t="s">
        <v>12468</v>
      </c>
      <c r="N799" s="36" t="s">
        <v>12469</v>
      </c>
      <c r="O799" s="36" t="s">
        <v>12470</v>
      </c>
      <c r="P799" s="36" t="s">
        <v>12457</v>
      </c>
    </row>
    <row r="800" spans="1:16" ht="13.95" customHeight="1">
      <c r="A800" s="139">
        <v>799</v>
      </c>
      <c r="B800" s="36" t="s">
        <v>12471</v>
      </c>
      <c r="C800" s="36" t="s">
        <v>12472</v>
      </c>
      <c r="D800" s="36" t="s">
        <v>12473</v>
      </c>
      <c r="E800" s="36" t="s">
        <v>12474</v>
      </c>
      <c r="F800" s="36" t="s">
        <v>12475</v>
      </c>
      <c r="G800" s="36" t="s">
        <v>12476</v>
      </c>
      <c r="H800" s="36" t="s">
        <v>12477</v>
      </c>
      <c r="I800" s="36" t="s">
        <v>12478</v>
      </c>
      <c r="J800" s="36" t="s">
        <v>12479</v>
      </c>
      <c r="K800" s="36" t="s">
        <v>12480</v>
      </c>
      <c r="L800" s="36" t="s">
        <v>12481</v>
      </c>
      <c r="M800" s="36" t="s">
        <v>12482</v>
      </c>
      <c r="N800" s="36" t="s">
        <v>12483</v>
      </c>
      <c r="O800" s="36" t="s">
        <v>12484</v>
      </c>
      <c r="P800" s="36" t="s">
        <v>12471</v>
      </c>
    </row>
    <row r="801" spans="1:16">
      <c r="A801" s="139">
        <v>800</v>
      </c>
      <c r="B801" s="36" t="s">
        <v>12485</v>
      </c>
      <c r="C801" s="36" t="s">
        <v>12486</v>
      </c>
      <c r="D801" s="36" t="s">
        <v>12487</v>
      </c>
      <c r="E801" s="36" t="s">
        <v>12488</v>
      </c>
      <c r="F801" s="36" t="s">
        <v>12489</v>
      </c>
      <c r="G801" s="36" t="s">
        <v>12490</v>
      </c>
      <c r="H801" s="36" t="s">
        <v>12491</v>
      </c>
      <c r="I801" s="36" t="s">
        <v>12492</v>
      </c>
      <c r="J801" s="36" t="s">
        <v>12493</v>
      </c>
      <c r="K801" s="36" t="s">
        <v>12494</v>
      </c>
      <c r="L801" s="36" t="s">
        <v>12495</v>
      </c>
      <c r="M801" s="36" t="s">
        <v>12496</v>
      </c>
      <c r="N801" s="36" t="s">
        <v>12497</v>
      </c>
      <c r="O801" s="36" t="s">
        <v>12498</v>
      </c>
      <c r="P801" s="36" t="s">
        <v>12485</v>
      </c>
    </row>
    <row r="802" spans="1:16">
      <c r="A802" s="139">
        <v>801</v>
      </c>
      <c r="B802" s="36" t="s">
        <v>12485</v>
      </c>
      <c r="C802" s="36" t="s">
        <v>12499</v>
      </c>
      <c r="D802" s="36" t="s">
        <v>12487</v>
      </c>
      <c r="E802" s="36" t="s">
        <v>12488</v>
      </c>
      <c r="F802" s="36" t="s">
        <v>12500</v>
      </c>
      <c r="G802" s="36" t="s">
        <v>12501</v>
      </c>
      <c r="H802" s="36" t="s">
        <v>12502</v>
      </c>
      <c r="I802" s="36" t="s">
        <v>12503</v>
      </c>
      <c r="J802" s="36" t="s">
        <v>12504</v>
      </c>
      <c r="K802" s="36" t="s">
        <v>12505</v>
      </c>
      <c r="L802" s="36" t="s">
        <v>12506</v>
      </c>
      <c r="M802" s="36" t="s">
        <v>12507</v>
      </c>
      <c r="N802" s="36" t="s">
        <v>12508</v>
      </c>
      <c r="O802" s="36" t="s">
        <v>12498</v>
      </c>
      <c r="P802" s="36" t="s">
        <v>12485</v>
      </c>
    </row>
    <row r="803" spans="1:16">
      <c r="A803" s="139">
        <v>802</v>
      </c>
      <c r="B803" s="36" t="s">
        <v>12509</v>
      </c>
      <c r="C803" s="36" t="s">
        <v>12510</v>
      </c>
      <c r="D803" s="36" t="s">
        <v>12511</v>
      </c>
      <c r="E803" s="36" t="s">
        <v>12512</v>
      </c>
      <c r="F803" s="36" t="s">
        <v>12513</v>
      </c>
      <c r="G803" s="36" t="s">
        <v>12514</v>
      </c>
      <c r="H803" s="36" t="s">
        <v>12515</v>
      </c>
      <c r="I803" s="36" t="s">
        <v>12516</v>
      </c>
      <c r="J803" s="36" t="s">
        <v>12517</v>
      </c>
      <c r="K803" s="36" t="s">
        <v>12518</v>
      </c>
      <c r="L803" s="36" t="s">
        <v>12519</v>
      </c>
      <c r="M803" s="36" t="s">
        <v>12520</v>
      </c>
      <c r="N803" s="36" t="s">
        <v>12521</v>
      </c>
      <c r="O803" s="36" t="s">
        <v>12522</v>
      </c>
      <c r="P803" s="36" t="s">
        <v>12509</v>
      </c>
    </row>
    <row r="804" spans="1:16">
      <c r="A804" s="139">
        <v>803</v>
      </c>
      <c r="B804" s="36" t="s">
        <v>12509</v>
      </c>
      <c r="C804" s="36" t="s">
        <v>12523</v>
      </c>
      <c r="D804" s="36" t="s">
        <v>12511</v>
      </c>
      <c r="E804" s="36" t="s">
        <v>12512</v>
      </c>
      <c r="F804" s="36" t="s">
        <v>12524</v>
      </c>
      <c r="G804" s="36" t="s">
        <v>12525</v>
      </c>
      <c r="H804" s="36" t="s">
        <v>12526</v>
      </c>
      <c r="I804" s="36" t="s">
        <v>12527</v>
      </c>
      <c r="J804" s="36" t="s">
        <v>12528</v>
      </c>
      <c r="K804" s="36" t="s">
        <v>12529</v>
      </c>
      <c r="L804" s="36" t="s">
        <v>12530</v>
      </c>
      <c r="M804" s="36" t="s">
        <v>12531</v>
      </c>
      <c r="N804" s="36" t="s">
        <v>12532</v>
      </c>
      <c r="O804" s="36" t="s">
        <v>12522</v>
      </c>
      <c r="P804" s="36" t="s">
        <v>12509</v>
      </c>
    </row>
    <row r="805" spans="1:16">
      <c r="A805" s="139">
        <v>804</v>
      </c>
      <c r="B805" s="36" t="s">
        <v>12509</v>
      </c>
      <c r="C805" s="36" t="s">
        <v>12523</v>
      </c>
      <c r="D805" s="36" t="s">
        <v>12511</v>
      </c>
      <c r="E805" s="36" t="s">
        <v>12512</v>
      </c>
      <c r="F805" s="36" t="s">
        <v>12533</v>
      </c>
      <c r="G805" s="36" t="s">
        <v>12534</v>
      </c>
      <c r="H805" s="36" t="s">
        <v>12526</v>
      </c>
      <c r="I805" s="36" t="s">
        <v>12527</v>
      </c>
      <c r="J805" s="36" t="s">
        <v>12528</v>
      </c>
      <c r="K805" s="36" t="s">
        <v>12529</v>
      </c>
      <c r="L805" s="36" t="s">
        <v>12530</v>
      </c>
      <c r="M805" s="36" t="s">
        <v>12531</v>
      </c>
      <c r="N805" s="36" t="s">
        <v>12532</v>
      </c>
      <c r="O805" s="36" t="s">
        <v>12522</v>
      </c>
      <c r="P805" s="36" t="s">
        <v>12509</v>
      </c>
    </row>
    <row r="806" spans="1:16">
      <c r="A806" s="139">
        <v>805</v>
      </c>
      <c r="B806" s="36" t="s">
        <v>12535</v>
      </c>
      <c r="C806" s="36" t="s">
        <v>12536</v>
      </c>
      <c r="D806" s="36" t="s">
        <v>12537</v>
      </c>
      <c r="E806" s="36" t="s">
        <v>12538</v>
      </c>
      <c r="F806" s="36" t="s">
        <v>12539</v>
      </c>
      <c r="G806" s="36" t="s">
        <v>12540</v>
      </c>
      <c r="H806" s="36" t="s">
        <v>12541</v>
      </c>
      <c r="I806" s="36" t="s">
        <v>12542</v>
      </c>
      <c r="J806" s="36" t="s">
        <v>12543</v>
      </c>
      <c r="K806" s="36" t="s">
        <v>12544</v>
      </c>
      <c r="L806" s="36" t="s">
        <v>12545</v>
      </c>
      <c r="M806" s="36" t="s">
        <v>12546</v>
      </c>
      <c r="N806" s="36" t="s">
        <v>12547</v>
      </c>
      <c r="O806" s="36" t="s">
        <v>12548</v>
      </c>
      <c r="P806" s="36" t="s">
        <v>12535</v>
      </c>
    </row>
    <row r="807" spans="1:16">
      <c r="A807" s="139">
        <v>806</v>
      </c>
      <c r="B807" s="36" t="s">
        <v>12535</v>
      </c>
      <c r="C807" s="36" t="s">
        <v>12549</v>
      </c>
      <c r="D807" s="36" t="s">
        <v>12537</v>
      </c>
      <c r="E807" s="36" t="s">
        <v>12538</v>
      </c>
      <c r="F807" s="36" t="s">
        <v>12550</v>
      </c>
      <c r="G807" s="36" t="s">
        <v>12551</v>
      </c>
      <c r="H807" s="36" t="s">
        <v>12552</v>
      </c>
      <c r="I807" s="36" t="s">
        <v>12553</v>
      </c>
      <c r="J807" s="36" t="s">
        <v>12554</v>
      </c>
      <c r="K807" s="36" t="s">
        <v>12555</v>
      </c>
      <c r="L807" s="36" t="s">
        <v>12556</v>
      </c>
      <c r="M807" s="36" t="s">
        <v>12557</v>
      </c>
      <c r="N807" s="36" t="s">
        <v>12558</v>
      </c>
      <c r="O807" s="36" t="s">
        <v>12548</v>
      </c>
      <c r="P807" s="36" t="s">
        <v>12535</v>
      </c>
    </row>
    <row r="808" spans="1:16">
      <c r="A808" s="139">
        <v>807</v>
      </c>
      <c r="B808" s="36" t="s">
        <v>12559</v>
      </c>
      <c r="C808" s="36" t="s">
        <v>12560</v>
      </c>
      <c r="D808" s="36" t="s">
        <v>12561</v>
      </c>
      <c r="E808" s="36" t="s">
        <v>12562</v>
      </c>
      <c r="F808" s="36" t="s">
        <v>12563</v>
      </c>
      <c r="G808" s="36" t="s">
        <v>12564</v>
      </c>
      <c r="H808" s="36" t="s">
        <v>12565</v>
      </c>
      <c r="I808" s="36" t="s">
        <v>12566</v>
      </c>
      <c r="J808" s="36" t="s">
        <v>12567</v>
      </c>
      <c r="K808" s="36" t="s">
        <v>12568</v>
      </c>
      <c r="L808" s="36" t="s">
        <v>12569</v>
      </c>
      <c r="M808" s="36" t="s">
        <v>12570</v>
      </c>
      <c r="N808" s="36" t="s">
        <v>12571</v>
      </c>
      <c r="O808" s="36" t="s">
        <v>12572</v>
      </c>
      <c r="P808" s="36" t="s">
        <v>12559</v>
      </c>
    </row>
    <row r="809" spans="1:16">
      <c r="A809" s="139">
        <v>808</v>
      </c>
      <c r="B809" s="36" t="s">
        <v>12573</v>
      </c>
      <c r="C809" s="36" t="s">
        <v>12574</v>
      </c>
      <c r="D809" s="36" t="s">
        <v>12575</v>
      </c>
      <c r="E809" s="36" t="s">
        <v>12576</v>
      </c>
      <c r="F809" s="36" t="s">
        <v>12577</v>
      </c>
      <c r="G809" s="36" t="s">
        <v>12578</v>
      </c>
      <c r="H809" s="36" t="s">
        <v>12579</v>
      </c>
      <c r="I809" s="36" t="s">
        <v>12580</v>
      </c>
      <c r="J809" s="36" t="s">
        <v>12581</v>
      </c>
      <c r="K809" s="36" t="s">
        <v>12582</v>
      </c>
      <c r="L809" s="36" t="s">
        <v>12583</v>
      </c>
      <c r="M809" s="36" t="s">
        <v>12584</v>
      </c>
      <c r="N809" s="36" t="s">
        <v>12585</v>
      </c>
      <c r="O809" s="36" t="s">
        <v>12586</v>
      </c>
      <c r="P809" s="36" t="s">
        <v>12573</v>
      </c>
    </row>
    <row r="810" spans="1:16">
      <c r="A810" s="139">
        <v>809</v>
      </c>
      <c r="B810" s="36" t="s">
        <v>12587</v>
      </c>
      <c r="C810" s="36" t="s">
        <v>12588</v>
      </c>
      <c r="D810" s="36" t="s">
        <v>12589</v>
      </c>
      <c r="E810" s="36" t="s">
        <v>12590</v>
      </c>
      <c r="F810" s="36" t="s">
        <v>12591</v>
      </c>
      <c r="G810" s="36" t="s">
        <v>12592</v>
      </c>
      <c r="H810" s="36" t="s">
        <v>12593</v>
      </c>
      <c r="I810" s="36" t="s">
        <v>12594</v>
      </c>
      <c r="J810" s="36" t="s">
        <v>12595</v>
      </c>
      <c r="K810" s="36" t="s">
        <v>12596</v>
      </c>
      <c r="L810" s="36" t="s">
        <v>12597</v>
      </c>
      <c r="M810" s="36" t="s">
        <v>9600</v>
      </c>
      <c r="N810" s="36" t="s">
        <v>12598</v>
      </c>
      <c r="O810" s="36" t="s">
        <v>12599</v>
      </c>
      <c r="P810" s="36" t="s">
        <v>12587</v>
      </c>
    </row>
    <row r="811" spans="1:16">
      <c r="A811" s="139">
        <v>810</v>
      </c>
      <c r="B811" s="36" t="s">
        <v>12600</v>
      </c>
      <c r="C811" s="36" t="s">
        <v>12601</v>
      </c>
      <c r="D811" s="36" t="s">
        <v>12602</v>
      </c>
      <c r="E811" s="36" t="s">
        <v>12603</v>
      </c>
      <c r="F811" s="36" t="s">
        <v>12604</v>
      </c>
      <c r="G811" s="36" t="s">
        <v>12605</v>
      </c>
      <c r="H811" s="36" t="s">
        <v>12606</v>
      </c>
      <c r="I811" s="36" t="s">
        <v>12607</v>
      </c>
      <c r="J811" s="36" t="s">
        <v>12608</v>
      </c>
      <c r="K811" s="36" t="s">
        <v>12609</v>
      </c>
      <c r="L811" s="36" t="s">
        <v>12610</v>
      </c>
      <c r="M811" s="36" t="s">
        <v>12611</v>
      </c>
      <c r="N811" s="36" t="s">
        <v>12612</v>
      </c>
      <c r="O811" s="36" t="s">
        <v>12613</v>
      </c>
      <c r="P811" s="36" t="s">
        <v>12600</v>
      </c>
    </row>
    <row r="812" spans="1:16">
      <c r="A812" s="139">
        <v>811</v>
      </c>
      <c r="B812" s="36" t="s">
        <v>12614</v>
      </c>
      <c r="C812" s="36" t="s">
        <v>12615</v>
      </c>
      <c r="D812" s="36" t="s">
        <v>12616</v>
      </c>
      <c r="E812" s="36" t="s">
        <v>12617</v>
      </c>
      <c r="F812" s="36" t="s">
        <v>12618</v>
      </c>
      <c r="G812" s="36" t="s">
        <v>12619</v>
      </c>
      <c r="H812" s="36" t="s">
        <v>12620</v>
      </c>
      <c r="I812" s="36" t="s">
        <v>12621</v>
      </c>
      <c r="J812" s="36" t="s">
        <v>12622</v>
      </c>
      <c r="K812" s="36" t="s">
        <v>12623</v>
      </c>
      <c r="L812" s="36" t="s">
        <v>12624</v>
      </c>
      <c r="M812" s="36" t="s">
        <v>12625</v>
      </c>
      <c r="N812" s="36" t="s">
        <v>12626</v>
      </c>
      <c r="O812" s="36" t="s">
        <v>12627</v>
      </c>
      <c r="P812" s="36" t="s">
        <v>12614</v>
      </c>
    </row>
    <row r="813" spans="1:16">
      <c r="A813" s="139">
        <v>812</v>
      </c>
      <c r="B813" s="36" t="s">
        <v>12628</v>
      </c>
      <c r="C813" s="36" t="s">
        <v>12629</v>
      </c>
      <c r="D813" s="36" t="s">
        <v>12630</v>
      </c>
      <c r="E813" s="36" t="s">
        <v>12631</v>
      </c>
      <c r="F813" s="36" t="s">
        <v>12632</v>
      </c>
      <c r="G813" s="36" t="s">
        <v>12633</v>
      </c>
      <c r="H813" s="36" t="s">
        <v>12634</v>
      </c>
      <c r="I813" s="36" t="s">
        <v>12635</v>
      </c>
      <c r="J813" s="36" t="s">
        <v>12636</v>
      </c>
      <c r="K813" s="36" t="s">
        <v>12637</v>
      </c>
      <c r="L813" s="36" t="s">
        <v>12638</v>
      </c>
      <c r="M813" s="36" t="s">
        <v>12639</v>
      </c>
      <c r="N813" s="36" t="s">
        <v>12640</v>
      </c>
      <c r="O813" s="36" t="s">
        <v>12641</v>
      </c>
      <c r="P813" s="36" t="s">
        <v>12628</v>
      </c>
    </row>
    <row r="814" spans="1:16">
      <c r="A814" s="139">
        <v>813</v>
      </c>
      <c r="B814" s="36" t="s">
        <v>12642</v>
      </c>
      <c r="C814" s="36" t="s">
        <v>12643</v>
      </c>
      <c r="D814" s="36" t="s">
        <v>12644</v>
      </c>
      <c r="E814" s="36" t="s">
        <v>12645</v>
      </c>
      <c r="F814" s="36" t="s">
        <v>12646</v>
      </c>
      <c r="G814" s="36" t="s">
        <v>12647</v>
      </c>
      <c r="H814" s="36" t="s">
        <v>12648</v>
      </c>
      <c r="I814" s="36" t="s">
        <v>12649</v>
      </c>
      <c r="J814" s="36" t="s">
        <v>12650</v>
      </c>
      <c r="K814" s="36" t="s">
        <v>12651</v>
      </c>
      <c r="L814" s="36" t="s">
        <v>12638</v>
      </c>
      <c r="M814" s="36" t="s">
        <v>12652</v>
      </c>
      <c r="N814" s="36" t="s">
        <v>12653</v>
      </c>
      <c r="O814" s="36" t="s">
        <v>12654</v>
      </c>
      <c r="P814" s="36" t="s">
        <v>12642</v>
      </c>
    </row>
    <row r="815" spans="1:16">
      <c r="A815" s="139">
        <v>814</v>
      </c>
      <c r="B815" s="36" t="s">
        <v>12655</v>
      </c>
      <c r="C815" s="36" t="s">
        <v>12656</v>
      </c>
      <c r="D815" s="36" t="s">
        <v>12657</v>
      </c>
      <c r="E815" s="36" t="s">
        <v>12658</v>
      </c>
      <c r="F815" s="36" t="s">
        <v>12659</v>
      </c>
      <c r="G815" s="36" t="s">
        <v>12660</v>
      </c>
      <c r="H815" s="36" t="s">
        <v>12661</v>
      </c>
      <c r="I815" s="36" t="s">
        <v>12662</v>
      </c>
      <c r="J815" s="36" t="s">
        <v>12663</v>
      </c>
      <c r="K815" s="36" t="s">
        <v>12664</v>
      </c>
      <c r="L815" s="36" t="s">
        <v>12665</v>
      </c>
      <c r="M815" s="36" t="s">
        <v>12666</v>
      </c>
      <c r="N815" s="36" t="s">
        <v>12667</v>
      </c>
      <c r="O815" s="36" t="s">
        <v>12668</v>
      </c>
      <c r="P815" s="36" t="s">
        <v>12655</v>
      </c>
    </row>
    <row r="816" spans="1:16">
      <c r="A816" s="139">
        <v>815</v>
      </c>
      <c r="B816" s="36" t="s">
        <v>12669</v>
      </c>
      <c r="C816" s="36" t="s">
        <v>12670</v>
      </c>
      <c r="D816" s="36" t="s">
        <v>12671</v>
      </c>
      <c r="E816" s="36" t="s">
        <v>12672</v>
      </c>
      <c r="F816" s="36" t="s">
        <v>12673</v>
      </c>
      <c r="G816" s="36" t="s">
        <v>12674</v>
      </c>
      <c r="H816" s="36" t="s">
        <v>12675</v>
      </c>
      <c r="I816" s="36" t="s">
        <v>12676</v>
      </c>
      <c r="J816" s="36" t="s">
        <v>12677</v>
      </c>
      <c r="K816" s="36" t="s">
        <v>12678</v>
      </c>
      <c r="L816" s="36" t="s">
        <v>12679</v>
      </c>
      <c r="M816" s="36" t="s">
        <v>12680</v>
      </c>
      <c r="N816" s="36" t="s">
        <v>12681</v>
      </c>
      <c r="O816" s="36" t="s">
        <v>12682</v>
      </c>
      <c r="P816" s="36" t="s">
        <v>12669</v>
      </c>
    </row>
    <row r="817" spans="1:16">
      <c r="A817" s="139">
        <v>816</v>
      </c>
      <c r="B817" s="36" t="s">
        <v>12683</v>
      </c>
      <c r="C817" s="36" t="s">
        <v>12684</v>
      </c>
      <c r="D817" s="36" t="s">
        <v>12685</v>
      </c>
      <c r="E817" s="36" t="s">
        <v>12686</v>
      </c>
      <c r="F817" s="36" t="s">
        <v>12687</v>
      </c>
      <c r="G817" s="36" t="s">
        <v>12688</v>
      </c>
      <c r="H817" s="36" t="s">
        <v>12689</v>
      </c>
      <c r="I817" s="36" t="s">
        <v>12690</v>
      </c>
      <c r="J817" s="36" t="s">
        <v>12691</v>
      </c>
      <c r="K817" s="36" t="s">
        <v>12692</v>
      </c>
      <c r="L817" s="36" t="s">
        <v>12693</v>
      </c>
      <c r="M817" s="36" t="s">
        <v>12694</v>
      </c>
      <c r="N817" s="36" t="s">
        <v>12695</v>
      </c>
      <c r="O817" s="36" t="s">
        <v>12696</v>
      </c>
      <c r="P817" s="36" t="s">
        <v>12683</v>
      </c>
    </row>
    <row r="818" spans="1:16">
      <c r="A818" s="139">
        <v>817</v>
      </c>
      <c r="B818" s="36" t="s">
        <v>12697</v>
      </c>
      <c r="C818" s="36" t="s">
        <v>12698</v>
      </c>
      <c r="D818" s="36" t="s">
        <v>12699</v>
      </c>
      <c r="E818" s="36" t="s">
        <v>12700</v>
      </c>
      <c r="F818" s="36" t="s">
        <v>12701</v>
      </c>
      <c r="G818" s="36" t="s">
        <v>12702</v>
      </c>
      <c r="H818" s="36" t="s">
        <v>12703</v>
      </c>
      <c r="I818" s="36" t="s">
        <v>12704</v>
      </c>
      <c r="J818" s="36" t="s">
        <v>12705</v>
      </c>
      <c r="K818" s="36" t="s">
        <v>12706</v>
      </c>
      <c r="L818" s="36" t="s">
        <v>12707</v>
      </c>
      <c r="M818" s="36" t="s">
        <v>12708</v>
      </c>
      <c r="N818" s="36" t="s">
        <v>12709</v>
      </c>
      <c r="O818" s="36" t="s">
        <v>12710</v>
      </c>
      <c r="P818" s="36" t="s">
        <v>12697</v>
      </c>
    </row>
    <row r="819" spans="1:16">
      <c r="A819" s="139">
        <v>818</v>
      </c>
      <c r="B819" s="36" t="s">
        <v>12711</v>
      </c>
      <c r="C819" s="36" t="s">
        <v>12712</v>
      </c>
      <c r="D819" s="36" t="s">
        <v>12713</v>
      </c>
      <c r="E819" s="36" t="s">
        <v>12714</v>
      </c>
      <c r="F819" s="36" t="s">
        <v>12563</v>
      </c>
      <c r="G819" s="36" t="s">
        <v>12715</v>
      </c>
      <c r="H819" s="36" t="s">
        <v>12716</v>
      </c>
      <c r="I819" s="36" t="s">
        <v>12717</v>
      </c>
      <c r="J819" s="36" t="s">
        <v>12718</v>
      </c>
      <c r="K819" s="36" t="s">
        <v>12719</v>
      </c>
      <c r="L819" s="36" t="s">
        <v>12720</v>
      </c>
      <c r="M819" s="36" t="s">
        <v>12721</v>
      </c>
      <c r="N819" s="36" t="s">
        <v>12722</v>
      </c>
      <c r="O819" s="36" t="s">
        <v>12723</v>
      </c>
      <c r="P819" s="36" t="s">
        <v>12711</v>
      </c>
    </row>
    <row r="820" spans="1:16">
      <c r="A820" s="139">
        <v>819</v>
      </c>
      <c r="B820" s="36" t="s">
        <v>12724</v>
      </c>
      <c r="C820" s="36" t="s">
        <v>12725</v>
      </c>
      <c r="D820" s="36" t="s">
        <v>12726</v>
      </c>
      <c r="E820" s="36" t="s">
        <v>12727</v>
      </c>
      <c r="F820" s="36" t="s">
        <v>12728</v>
      </c>
      <c r="G820" s="36" t="s">
        <v>12729</v>
      </c>
      <c r="H820" s="36" t="s">
        <v>12730</v>
      </c>
      <c r="I820" s="36" t="s">
        <v>12731</v>
      </c>
      <c r="J820" s="36" t="s">
        <v>12732</v>
      </c>
      <c r="K820" s="36" t="s">
        <v>12733</v>
      </c>
      <c r="L820" s="36" t="s">
        <v>12734</v>
      </c>
      <c r="M820" s="36" t="s">
        <v>12735</v>
      </c>
      <c r="N820" s="36" t="s">
        <v>12736</v>
      </c>
      <c r="O820" s="36" t="s">
        <v>12737</v>
      </c>
      <c r="P820" s="36" t="s">
        <v>12738</v>
      </c>
    </row>
    <row r="821" spans="1:16">
      <c r="A821" s="139">
        <v>820</v>
      </c>
      <c r="B821" s="36" t="s">
        <v>12739</v>
      </c>
      <c r="C821" s="36" t="s">
        <v>12739</v>
      </c>
      <c r="D821" s="36" t="s">
        <v>12740</v>
      </c>
      <c r="E821" s="36" t="s">
        <v>12741</v>
      </c>
      <c r="F821" s="36" t="s">
        <v>12742</v>
      </c>
      <c r="G821" s="36" t="s">
        <v>12743</v>
      </c>
      <c r="H821" s="36" t="s">
        <v>12744</v>
      </c>
      <c r="I821" s="36" t="s">
        <v>12745</v>
      </c>
      <c r="J821" s="36" t="s">
        <v>12739</v>
      </c>
      <c r="K821" s="36" t="s">
        <v>12746</v>
      </c>
      <c r="L821" s="36" t="s">
        <v>12739</v>
      </c>
      <c r="M821" s="36" t="s">
        <v>12739</v>
      </c>
      <c r="N821" s="36" t="s">
        <v>12739</v>
      </c>
      <c r="O821" s="36" t="s">
        <v>12747</v>
      </c>
      <c r="P821" s="36" t="s">
        <v>12739</v>
      </c>
    </row>
    <row r="822" spans="1:16">
      <c r="A822" s="139">
        <v>821</v>
      </c>
      <c r="B822" s="36" t="s">
        <v>12748</v>
      </c>
      <c r="C822" s="36" t="s">
        <v>12749</v>
      </c>
      <c r="D822" s="36" t="s">
        <v>12749</v>
      </c>
      <c r="E822" s="36" t="s">
        <v>12750</v>
      </c>
      <c r="F822" s="36" t="s">
        <v>12751</v>
      </c>
      <c r="G822" s="36" t="s">
        <v>8740</v>
      </c>
      <c r="H822" s="36" t="s">
        <v>6328</v>
      </c>
      <c r="I822" s="36" t="s">
        <v>12751</v>
      </c>
      <c r="J822" s="36" t="s">
        <v>12748</v>
      </c>
      <c r="K822" s="36" t="s">
        <v>12752</v>
      </c>
      <c r="L822" s="36" t="s">
        <v>12753</v>
      </c>
      <c r="M822" s="36" t="s">
        <v>12754</v>
      </c>
      <c r="N822" s="36" t="s">
        <v>12755</v>
      </c>
      <c r="O822" s="36" t="s">
        <v>12748</v>
      </c>
      <c r="P822" s="36" t="s">
        <v>12748</v>
      </c>
    </row>
    <row r="823" spans="1:16">
      <c r="A823" s="139">
        <v>822</v>
      </c>
      <c r="B823" s="36" t="s">
        <v>12756</v>
      </c>
      <c r="C823" s="36" t="s">
        <v>12757</v>
      </c>
      <c r="D823" s="36" t="s">
        <v>12758</v>
      </c>
      <c r="E823" s="36" t="s">
        <v>12759</v>
      </c>
      <c r="F823" s="36" t="s">
        <v>12760</v>
      </c>
      <c r="G823" s="36" t="s">
        <v>12761</v>
      </c>
      <c r="H823" s="36" t="s">
        <v>12762</v>
      </c>
      <c r="I823" s="36" t="s">
        <v>12763</v>
      </c>
      <c r="J823" s="36" t="s">
        <v>12764</v>
      </c>
      <c r="K823" s="36" t="s">
        <v>12765</v>
      </c>
      <c r="L823" s="36" t="s">
        <v>12766</v>
      </c>
      <c r="M823" s="36" t="s">
        <v>12767</v>
      </c>
      <c r="N823" s="36" t="s">
        <v>12768</v>
      </c>
      <c r="O823" s="36" t="s">
        <v>12769</v>
      </c>
      <c r="P823" s="36" t="s">
        <v>12756</v>
      </c>
    </row>
    <row r="824" spans="1:16">
      <c r="A824" s="139">
        <v>823</v>
      </c>
      <c r="B824" s="36" t="s">
        <v>10631</v>
      </c>
      <c r="C824" s="36" t="s">
        <v>10632</v>
      </c>
      <c r="D824" s="36" t="s">
        <v>10633</v>
      </c>
      <c r="E824" s="36" t="s">
        <v>10634</v>
      </c>
      <c r="F824" s="36" t="s">
        <v>10635</v>
      </c>
      <c r="G824" s="36" t="s">
        <v>10636</v>
      </c>
      <c r="H824" s="36" t="s">
        <v>10637</v>
      </c>
      <c r="I824" s="36" t="s">
        <v>10638</v>
      </c>
      <c r="J824" s="36" t="s">
        <v>10639</v>
      </c>
      <c r="K824" s="36" t="s">
        <v>10640</v>
      </c>
      <c r="L824" s="36" t="s">
        <v>10641</v>
      </c>
      <c r="M824" s="36" t="s">
        <v>10642</v>
      </c>
      <c r="N824" s="36" t="s">
        <v>10643</v>
      </c>
      <c r="O824" s="36" t="s">
        <v>10644</v>
      </c>
      <c r="P824" s="36" t="s">
        <v>10631</v>
      </c>
    </row>
    <row r="825" spans="1:16">
      <c r="A825" s="139">
        <v>824</v>
      </c>
      <c r="B825" s="36" t="s">
        <v>10631</v>
      </c>
      <c r="C825" s="36" t="s">
        <v>10632</v>
      </c>
      <c r="D825" s="36" t="s">
        <v>10633</v>
      </c>
      <c r="E825" s="36" t="s">
        <v>10634</v>
      </c>
      <c r="F825" s="36" t="s">
        <v>10635</v>
      </c>
      <c r="G825" s="36" t="s">
        <v>10636</v>
      </c>
      <c r="H825" s="36" t="s">
        <v>10637</v>
      </c>
      <c r="I825" s="36" t="s">
        <v>10638</v>
      </c>
      <c r="J825" s="36" t="s">
        <v>10639</v>
      </c>
      <c r="K825" s="36" t="s">
        <v>10640</v>
      </c>
      <c r="L825" s="36" t="s">
        <v>10641</v>
      </c>
      <c r="M825" s="36" t="s">
        <v>10642</v>
      </c>
      <c r="N825" s="36" t="s">
        <v>10643</v>
      </c>
      <c r="O825" s="36" t="s">
        <v>10644</v>
      </c>
      <c r="P825" s="36" t="s">
        <v>10631</v>
      </c>
    </row>
    <row r="826" spans="1:16">
      <c r="A826" s="139">
        <v>825</v>
      </c>
      <c r="B826" s="36" t="s">
        <v>12770</v>
      </c>
      <c r="C826" s="36" t="s">
        <v>12771</v>
      </c>
      <c r="D826" s="36" t="s">
        <v>12772</v>
      </c>
      <c r="E826" s="36" t="s">
        <v>12773</v>
      </c>
      <c r="F826" s="36" t="s">
        <v>12774</v>
      </c>
      <c r="G826" s="36" t="s">
        <v>12775</v>
      </c>
      <c r="H826" s="36" t="s">
        <v>12776</v>
      </c>
      <c r="I826" s="36" t="s">
        <v>12777</v>
      </c>
      <c r="J826" s="36" t="s">
        <v>12778</v>
      </c>
      <c r="K826" s="36" t="s">
        <v>12779</v>
      </c>
      <c r="L826" s="36" t="s">
        <v>12780</v>
      </c>
      <c r="M826" s="36" t="s">
        <v>12781</v>
      </c>
      <c r="N826" s="36" t="s">
        <v>12782</v>
      </c>
      <c r="O826" s="36" t="s">
        <v>12783</v>
      </c>
      <c r="P826" s="36" t="s">
        <v>12770</v>
      </c>
    </row>
    <row r="827" spans="1:16">
      <c r="A827" s="139">
        <v>826</v>
      </c>
      <c r="B827" s="36" t="s">
        <v>12784</v>
      </c>
      <c r="C827" s="36" t="s">
        <v>12785</v>
      </c>
      <c r="D827" s="36" t="s">
        <v>12786</v>
      </c>
      <c r="E827" s="36" t="s">
        <v>12787</v>
      </c>
      <c r="F827" s="36" t="s">
        <v>12788</v>
      </c>
      <c r="G827" s="36" t="s">
        <v>12789</v>
      </c>
      <c r="H827" s="36" t="s">
        <v>12790</v>
      </c>
      <c r="I827" s="36" t="s">
        <v>12791</v>
      </c>
      <c r="J827" s="36" t="s">
        <v>12792</v>
      </c>
      <c r="K827" s="36" t="s">
        <v>12793</v>
      </c>
      <c r="L827" s="36" t="s">
        <v>12794</v>
      </c>
      <c r="M827" s="36" t="s">
        <v>12795</v>
      </c>
      <c r="N827" s="36" t="s">
        <v>12796</v>
      </c>
      <c r="O827" s="36" t="s">
        <v>12797</v>
      </c>
      <c r="P827" s="36" t="s">
        <v>12784</v>
      </c>
    </row>
    <row r="828" spans="1:16">
      <c r="A828" s="139">
        <v>827</v>
      </c>
      <c r="B828" s="36" t="s">
        <v>12798</v>
      </c>
      <c r="C828" s="36" t="s">
        <v>12799</v>
      </c>
      <c r="D828" s="36" t="s">
        <v>12800</v>
      </c>
      <c r="E828" s="36" t="s">
        <v>12801</v>
      </c>
      <c r="F828" s="36" t="s">
        <v>12802</v>
      </c>
      <c r="G828" s="36" t="s">
        <v>12803</v>
      </c>
      <c r="H828" s="36" t="s">
        <v>12804</v>
      </c>
      <c r="I828" s="36" t="s">
        <v>12805</v>
      </c>
      <c r="J828" s="36" t="s">
        <v>12806</v>
      </c>
      <c r="K828" s="36" t="s">
        <v>12807</v>
      </c>
      <c r="L828" s="36" t="s">
        <v>12808</v>
      </c>
      <c r="M828" s="36" t="s">
        <v>12809</v>
      </c>
      <c r="N828" s="36" t="s">
        <v>12810</v>
      </c>
      <c r="O828" s="36" t="s">
        <v>12811</v>
      </c>
      <c r="P828" s="36" t="s">
        <v>12798</v>
      </c>
    </row>
    <row r="829" spans="1:16">
      <c r="A829" s="139">
        <v>828</v>
      </c>
      <c r="B829" s="36" t="s">
        <v>12812</v>
      </c>
      <c r="C829" s="36" t="s">
        <v>12813</v>
      </c>
      <c r="D829" s="36" t="s">
        <v>12814</v>
      </c>
      <c r="E829" s="36" t="s">
        <v>12815</v>
      </c>
      <c r="F829" s="36" t="s">
        <v>12816</v>
      </c>
      <c r="G829" s="36" t="s">
        <v>12817</v>
      </c>
      <c r="H829" s="36" t="s">
        <v>12818</v>
      </c>
      <c r="I829" s="36" t="s">
        <v>12819</v>
      </c>
      <c r="J829" s="36" t="s">
        <v>12820</v>
      </c>
      <c r="K829" s="36" t="s">
        <v>12821</v>
      </c>
      <c r="L829" s="36" t="s">
        <v>12822</v>
      </c>
      <c r="M829" s="36" t="s">
        <v>12823</v>
      </c>
      <c r="N829" s="36" t="s">
        <v>12824</v>
      </c>
      <c r="O829" s="36" t="s">
        <v>12825</v>
      </c>
      <c r="P829" s="36" t="s">
        <v>12812</v>
      </c>
    </row>
    <row r="830" spans="1:16">
      <c r="A830" s="139">
        <v>829</v>
      </c>
      <c r="B830" s="36" t="s">
        <v>3966</v>
      </c>
      <c r="C830" s="36" t="s">
        <v>3967</v>
      </c>
      <c r="D830" s="36" t="s">
        <v>3966</v>
      </c>
      <c r="E830" s="36" t="s">
        <v>3968</v>
      </c>
      <c r="F830" s="36" t="s">
        <v>3966</v>
      </c>
      <c r="G830" s="36" t="s">
        <v>3966</v>
      </c>
      <c r="H830" s="36" t="s">
        <v>3966</v>
      </c>
      <c r="I830" s="36" t="s">
        <v>3966</v>
      </c>
      <c r="J830" s="36" t="s">
        <v>3966</v>
      </c>
      <c r="K830" s="36" t="s">
        <v>3966</v>
      </c>
      <c r="L830" s="36" t="s">
        <v>3969</v>
      </c>
      <c r="M830" s="36" t="s">
        <v>3966</v>
      </c>
      <c r="N830" s="36" t="s">
        <v>3966</v>
      </c>
      <c r="O830" s="36" t="s">
        <v>3970</v>
      </c>
      <c r="P830" s="36" t="s">
        <v>3966</v>
      </c>
    </row>
    <row r="831" spans="1:16">
      <c r="A831" s="139">
        <v>830</v>
      </c>
      <c r="B831" s="36" t="s">
        <v>12826</v>
      </c>
      <c r="C831" s="36" t="s">
        <v>12826</v>
      </c>
      <c r="D831" s="36" t="s">
        <v>12826</v>
      </c>
      <c r="E831" s="36" t="s">
        <v>3968</v>
      </c>
      <c r="F831" s="36" t="s">
        <v>12827</v>
      </c>
      <c r="G831" s="36" t="s">
        <v>12826</v>
      </c>
      <c r="H831" s="36" t="s">
        <v>12826</v>
      </c>
      <c r="I831" s="36" t="s">
        <v>12827</v>
      </c>
      <c r="J831" s="36" t="s">
        <v>12826</v>
      </c>
      <c r="K831" s="36" t="s">
        <v>12826</v>
      </c>
      <c r="L831" s="36" t="s">
        <v>12828</v>
      </c>
      <c r="M831" s="36" t="s">
        <v>12826</v>
      </c>
      <c r="N831" s="36" t="s">
        <v>12829</v>
      </c>
      <c r="O831" s="36" t="s">
        <v>12830</v>
      </c>
      <c r="P831" s="36" t="s">
        <v>12826</v>
      </c>
    </row>
    <row r="832" spans="1:16">
      <c r="A832" s="139">
        <v>831</v>
      </c>
      <c r="B832" s="36" t="s">
        <v>12831</v>
      </c>
      <c r="C832" s="36" t="s">
        <v>12832</v>
      </c>
      <c r="D832" s="36" t="s">
        <v>12831</v>
      </c>
      <c r="E832" s="36" t="s">
        <v>12833</v>
      </c>
      <c r="F832" s="36" t="s">
        <v>12834</v>
      </c>
      <c r="G832" s="36" t="s">
        <v>12835</v>
      </c>
      <c r="H832" s="36" t="s">
        <v>12836</v>
      </c>
      <c r="I832" s="36" t="s">
        <v>12837</v>
      </c>
      <c r="J832" s="36" t="s">
        <v>12838</v>
      </c>
      <c r="K832" s="36" t="s">
        <v>12839</v>
      </c>
      <c r="L832" s="36" t="s">
        <v>12840</v>
      </c>
      <c r="M832" s="36" t="s">
        <v>12841</v>
      </c>
      <c r="N832" s="36" t="s">
        <v>12841</v>
      </c>
      <c r="O832" s="36" t="s">
        <v>12842</v>
      </c>
      <c r="P832" s="36" t="s">
        <v>12831</v>
      </c>
    </row>
    <row r="833" spans="1:16">
      <c r="A833" s="139">
        <v>832</v>
      </c>
      <c r="B833" s="36" t="s">
        <v>12843</v>
      </c>
      <c r="C833" s="36" t="s">
        <v>12844</v>
      </c>
      <c r="D833" s="36" t="s">
        <v>12845</v>
      </c>
      <c r="E833" s="36" t="s">
        <v>12846</v>
      </c>
      <c r="F833" s="36" t="s">
        <v>12847</v>
      </c>
      <c r="G833" s="36" t="s">
        <v>12848</v>
      </c>
      <c r="H833" s="36" t="s">
        <v>12849</v>
      </c>
      <c r="I833" s="36" t="s">
        <v>12850</v>
      </c>
      <c r="J833" s="36" t="s">
        <v>12851</v>
      </c>
      <c r="K833" s="36" t="s">
        <v>12852</v>
      </c>
      <c r="L833" s="36" t="s">
        <v>12853</v>
      </c>
      <c r="M833" s="36" t="s">
        <v>12854</v>
      </c>
      <c r="N833" s="36" t="s">
        <v>12855</v>
      </c>
      <c r="O833" s="36" t="s">
        <v>12856</v>
      </c>
      <c r="P833" s="36" t="s">
        <v>12843</v>
      </c>
    </row>
    <row r="834" spans="1:16">
      <c r="A834" s="139">
        <v>833</v>
      </c>
      <c r="B834" s="36" t="s">
        <v>12857</v>
      </c>
      <c r="C834" s="36" t="s">
        <v>12858</v>
      </c>
      <c r="D834" s="36" t="s">
        <v>12859</v>
      </c>
      <c r="E834" s="36" t="s">
        <v>12860</v>
      </c>
      <c r="F834" s="36" t="s">
        <v>12861</v>
      </c>
      <c r="G834" s="36" t="s">
        <v>12862</v>
      </c>
      <c r="H834" s="36" t="s">
        <v>12863</v>
      </c>
      <c r="I834" s="36" t="s">
        <v>12864</v>
      </c>
      <c r="J834" s="36" t="s">
        <v>12865</v>
      </c>
      <c r="K834" s="36" t="s">
        <v>12866</v>
      </c>
      <c r="L834" s="36" t="s">
        <v>12867</v>
      </c>
      <c r="M834" s="36" t="s">
        <v>12868</v>
      </c>
      <c r="N834" s="36" t="s">
        <v>12869</v>
      </c>
      <c r="O834" s="36" t="s">
        <v>12870</v>
      </c>
      <c r="P834" s="36" t="s">
        <v>12857</v>
      </c>
    </row>
    <row r="835" spans="1:16">
      <c r="A835" s="139">
        <v>834</v>
      </c>
      <c r="B835" s="36" t="s">
        <v>12871</v>
      </c>
      <c r="C835" s="36" t="s">
        <v>12872</v>
      </c>
      <c r="D835" s="36" t="s">
        <v>12873</v>
      </c>
      <c r="E835" s="36" t="s">
        <v>12874</v>
      </c>
      <c r="F835" s="36" t="s">
        <v>12875</v>
      </c>
      <c r="G835" s="36" t="s">
        <v>12876</v>
      </c>
      <c r="H835" s="36" t="s">
        <v>12877</v>
      </c>
      <c r="I835" s="36" t="s">
        <v>12878</v>
      </c>
      <c r="J835" s="36" t="s">
        <v>12879</v>
      </c>
      <c r="K835" s="36" t="s">
        <v>12880</v>
      </c>
      <c r="L835" s="36" t="s">
        <v>12881</v>
      </c>
      <c r="M835" s="36" t="s">
        <v>12871</v>
      </c>
      <c r="N835" s="36" t="s">
        <v>12871</v>
      </c>
      <c r="O835" s="36" t="s">
        <v>12882</v>
      </c>
      <c r="P835" s="36" t="s">
        <v>12871</v>
      </c>
    </row>
    <row r="836" spans="1:16">
      <c r="A836" s="139">
        <v>835</v>
      </c>
      <c r="B836" s="36" t="s">
        <v>12883</v>
      </c>
      <c r="C836" s="36" t="s">
        <v>12884</v>
      </c>
      <c r="D836" s="36" t="s">
        <v>12885</v>
      </c>
      <c r="E836" s="36" t="s">
        <v>12886</v>
      </c>
      <c r="F836" s="36" t="s">
        <v>12887</v>
      </c>
      <c r="G836" s="36" t="s">
        <v>12888</v>
      </c>
      <c r="H836" s="36" t="s">
        <v>12889</v>
      </c>
      <c r="I836" s="36" t="s">
        <v>12890</v>
      </c>
      <c r="J836" s="36" t="s">
        <v>12891</v>
      </c>
      <c r="K836" s="36" t="s">
        <v>12892</v>
      </c>
      <c r="L836" s="36" t="s">
        <v>12893</v>
      </c>
      <c r="M836" s="36" t="s">
        <v>12894</v>
      </c>
      <c r="N836" s="36" t="s">
        <v>12895</v>
      </c>
      <c r="O836" s="36" t="s">
        <v>12896</v>
      </c>
      <c r="P836" s="36" t="s">
        <v>12883</v>
      </c>
    </row>
    <row r="837" spans="1:16">
      <c r="A837" s="139">
        <v>836</v>
      </c>
      <c r="B837" s="36" t="s">
        <v>12897</v>
      </c>
      <c r="C837" s="36" t="s">
        <v>12898</v>
      </c>
      <c r="D837" s="36" t="s">
        <v>12899</v>
      </c>
      <c r="E837" s="36" t="s">
        <v>12900</v>
      </c>
      <c r="F837" s="36" t="s">
        <v>12901</v>
      </c>
      <c r="G837" s="36" t="s">
        <v>12902</v>
      </c>
      <c r="H837" s="36" t="s">
        <v>12903</v>
      </c>
      <c r="I837" s="36" t="s">
        <v>12904</v>
      </c>
      <c r="J837" s="36" t="s">
        <v>12905</v>
      </c>
      <c r="K837" s="36" t="s">
        <v>12906</v>
      </c>
      <c r="L837" s="36" t="s">
        <v>12907</v>
      </c>
      <c r="M837" s="36" t="s">
        <v>12908</v>
      </c>
      <c r="N837" s="36" t="s">
        <v>12909</v>
      </c>
      <c r="O837" s="36" t="s">
        <v>12910</v>
      </c>
      <c r="P837" s="36" t="s">
        <v>12897</v>
      </c>
    </row>
    <row r="838" spans="1:16">
      <c r="A838" s="139">
        <v>837</v>
      </c>
      <c r="B838" s="36" t="s">
        <v>12911</v>
      </c>
      <c r="C838" s="36" t="s">
        <v>12911</v>
      </c>
      <c r="D838" s="36" t="s">
        <v>12911</v>
      </c>
      <c r="E838" s="36" t="s">
        <v>12912</v>
      </c>
      <c r="F838" s="36" t="s">
        <v>12913</v>
      </c>
      <c r="G838" s="36" t="s">
        <v>12911</v>
      </c>
      <c r="H838" s="36" t="s">
        <v>12911</v>
      </c>
      <c r="I838" s="36" t="s">
        <v>12913</v>
      </c>
      <c r="J838" s="36" t="s">
        <v>12911</v>
      </c>
      <c r="K838" s="36" t="s">
        <v>12911</v>
      </c>
      <c r="L838" s="36" t="s">
        <v>12914</v>
      </c>
      <c r="M838" s="36" t="s">
        <v>12911</v>
      </c>
      <c r="N838" s="36" t="s">
        <v>12915</v>
      </c>
      <c r="O838" s="36" t="s">
        <v>12911</v>
      </c>
      <c r="P838" s="36" t="s">
        <v>12911</v>
      </c>
    </row>
    <row r="839" spans="1:16">
      <c r="A839" s="139">
        <v>838</v>
      </c>
      <c r="B839" s="36" t="s">
        <v>12916</v>
      </c>
      <c r="C839" s="36" t="s">
        <v>12917</v>
      </c>
      <c r="D839" s="36" t="s">
        <v>12918</v>
      </c>
      <c r="E839" s="36" t="s">
        <v>12919</v>
      </c>
      <c r="F839" s="36" t="s">
        <v>12920</v>
      </c>
      <c r="G839" s="36" t="s">
        <v>12921</v>
      </c>
      <c r="H839" s="36" t="s">
        <v>12922</v>
      </c>
      <c r="I839" s="36" t="s">
        <v>12923</v>
      </c>
      <c r="J839" s="36" t="s">
        <v>12924</v>
      </c>
      <c r="K839" s="36" t="s">
        <v>12925</v>
      </c>
      <c r="L839" s="36" t="s">
        <v>12926</v>
      </c>
      <c r="M839" s="36" t="s">
        <v>12927</v>
      </c>
      <c r="N839" s="36" t="s">
        <v>12928</v>
      </c>
      <c r="O839" s="36" t="s">
        <v>12929</v>
      </c>
      <c r="P839" s="36" t="s">
        <v>12916</v>
      </c>
    </row>
    <row r="840" spans="1:16">
      <c r="A840" s="139">
        <v>839</v>
      </c>
      <c r="B840" s="36" t="s">
        <v>12930</v>
      </c>
      <c r="C840" s="36" t="s">
        <v>12931</v>
      </c>
      <c r="D840" s="36" t="s">
        <v>12932</v>
      </c>
      <c r="E840" s="36" t="s">
        <v>12933</v>
      </c>
      <c r="F840" s="36" t="s">
        <v>12934</v>
      </c>
      <c r="G840" s="36" t="s">
        <v>12935</v>
      </c>
      <c r="H840" s="36" t="s">
        <v>12936</v>
      </c>
      <c r="I840" s="36" t="s">
        <v>12937</v>
      </c>
      <c r="J840" s="36" t="s">
        <v>12938</v>
      </c>
      <c r="K840" s="36" t="s">
        <v>12939</v>
      </c>
      <c r="L840" s="36" t="s">
        <v>12940</v>
      </c>
      <c r="M840" s="36" t="s">
        <v>12941</v>
      </c>
      <c r="N840" s="36" t="s">
        <v>12942</v>
      </c>
      <c r="O840" s="36" t="s">
        <v>12943</v>
      </c>
      <c r="P840" s="36" t="s">
        <v>12930</v>
      </c>
    </row>
    <row r="841" spans="1:16">
      <c r="A841" s="139">
        <v>840</v>
      </c>
      <c r="B841" s="36" t="s">
        <v>12944</v>
      </c>
      <c r="C841" s="36" t="s">
        <v>12945</v>
      </c>
      <c r="D841" s="36" t="s">
        <v>12946</v>
      </c>
      <c r="E841" s="36" t="s">
        <v>12947</v>
      </c>
      <c r="F841" s="36" t="s">
        <v>12948</v>
      </c>
      <c r="G841" s="36" t="s">
        <v>12930</v>
      </c>
      <c r="H841" s="36" t="s">
        <v>12949</v>
      </c>
      <c r="I841" s="36" t="s">
        <v>12950</v>
      </c>
      <c r="J841" s="36" t="s">
        <v>12951</v>
      </c>
      <c r="K841" s="36" t="s">
        <v>12952</v>
      </c>
      <c r="L841" s="36" t="s">
        <v>12953</v>
      </c>
      <c r="M841" s="36" t="s">
        <v>12954</v>
      </c>
      <c r="N841" s="36" t="s">
        <v>12955</v>
      </c>
      <c r="O841" s="36" t="s">
        <v>12956</v>
      </c>
      <c r="P841" s="36" t="s">
        <v>12944</v>
      </c>
    </row>
    <row r="842" spans="1:16">
      <c r="A842" s="139">
        <v>841</v>
      </c>
      <c r="B842" s="36" t="s">
        <v>12957</v>
      </c>
      <c r="C842" s="36" t="s">
        <v>12958</v>
      </c>
      <c r="D842" s="36" t="s">
        <v>12959</v>
      </c>
      <c r="E842" s="36" t="s">
        <v>12960</v>
      </c>
      <c r="F842" s="36" t="s">
        <v>12961</v>
      </c>
      <c r="G842" s="36" t="s">
        <v>12962</v>
      </c>
      <c r="H842" s="36" t="s">
        <v>12963</v>
      </c>
      <c r="I842" s="36" t="s">
        <v>12964</v>
      </c>
      <c r="J842" s="36" t="s">
        <v>12965</v>
      </c>
      <c r="K842" s="36" t="s">
        <v>12966</v>
      </c>
      <c r="L842" s="36" t="s">
        <v>12967</v>
      </c>
      <c r="M842" s="36" t="s">
        <v>12968</v>
      </c>
      <c r="N842" s="36" t="s">
        <v>12969</v>
      </c>
      <c r="O842" s="36" t="s">
        <v>12970</v>
      </c>
      <c r="P842" s="36" t="s">
        <v>12957</v>
      </c>
    </row>
    <row r="843" spans="1:16">
      <c r="A843" s="139">
        <v>842</v>
      </c>
      <c r="B843" s="36" t="s">
        <v>12971</v>
      </c>
      <c r="C843" s="36" t="s">
        <v>12972</v>
      </c>
      <c r="D843" s="36" t="s">
        <v>12973</v>
      </c>
      <c r="E843" s="36" t="s">
        <v>12974</v>
      </c>
      <c r="F843" s="36" t="s">
        <v>12975</v>
      </c>
      <c r="G843" s="36" t="s">
        <v>12976</v>
      </c>
      <c r="H843" s="36" t="s">
        <v>12977</v>
      </c>
      <c r="I843" s="36" t="s">
        <v>12978</v>
      </c>
      <c r="J843" s="36" t="s">
        <v>12979</v>
      </c>
      <c r="K843" s="36" t="s">
        <v>12980</v>
      </c>
      <c r="L843" s="36" t="s">
        <v>12981</v>
      </c>
      <c r="M843" s="36" t="s">
        <v>12982</v>
      </c>
      <c r="N843" s="36" t="s">
        <v>12983</v>
      </c>
      <c r="O843" s="36" t="s">
        <v>12984</v>
      </c>
      <c r="P843" s="36" t="s">
        <v>12971</v>
      </c>
    </row>
    <row r="844" spans="1:16">
      <c r="A844" s="139">
        <v>843</v>
      </c>
      <c r="B844" s="36" t="s">
        <v>12985</v>
      </c>
      <c r="C844" s="36" t="s">
        <v>12986</v>
      </c>
      <c r="D844" s="36" t="s">
        <v>12987</v>
      </c>
      <c r="E844" s="36" t="s">
        <v>12988</v>
      </c>
      <c r="F844" s="36" t="s">
        <v>12989</v>
      </c>
      <c r="G844" s="36" t="s">
        <v>12990</v>
      </c>
      <c r="H844" s="36" t="s">
        <v>12991</v>
      </c>
      <c r="I844" s="36" t="s">
        <v>12992</v>
      </c>
      <c r="J844" s="36" t="s">
        <v>12993</v>
      </c>
      <c r="K844" s="36" t="s">
        <v>12994</v>
      </c>
      <c r="L844" s="36" t="s">
        <v>12995</v>
      </c>
      <c r="M844" s="36" t="s">
        <v>12996</v>
      </c>
      <c r="N844" s="36" t="s">
        <v>12997</v>
      </c>
      <c r="O844" s="36" t="s">
        <v>12998</v>
      </c>
      <c r="P844" s="36" t="s">
        <v>12985</v>
      </c>
    </row>
    <row r="845" spans="1:16">
      <c r="A845" s="139">
        <v>844</v>
      </c>
      <c r="B845" s="36" t="s">
        <v>12999</v>
      </c>
      <c r="C845" s="36" t="s">
        <v>13000</v>
      </c>
      <c r="D845" s="36" t="s">
        <v>13001</v>
      </c>
      <c r="E845" s="36" t="s">
        <v>13002</v>
      </c>
      <c r="F845" s="36" t="s">
        <v>13003</v>
      </c>
      <c r="G845" s="36" t="s">
        <v>9544</v>
      </c>
      <c r="H845" s="36" t="s">
        <v>13004</v>
      </c>
      <c r="I845" s="36" t="s">
        <v>13005</v>
      </c>
      <c r="J845" s="36" t="s">
        <v>13006</v>
      </c>
      <c r="K845" s="36" t="s">
        <v>13007</v>
      </c>
      <c r="L845" s="36" t="s">
        <v>13008</v>
      </c>
      <c r="M845" s="36" t="s">
        <v>12999</v>
      </c>
      <c r="N845" s="36" t="s">
        <v>13009</v>
      </c>
      <c r="O845" s="36" t="s">
        <v>13010</v>
      </c>
      <c r="P845" s="36" t="s">
        <v>12999</v>
      </c>
    </row>
    <row r="846" spans="1:16">
      <c r="A846" s="139">
        <v>845</v>
      </c>
      <c r="B846" s="36" t="s">
        <v>13011</v>
      </c>
      <c r="C846" s="36" t="s">
        <v>13012</v>
      </c>
      <c r="D846" s="36" t="s">
        <v>13013</v>
      </c>
      <c r="E846" s="36" t="s">
        <v>13014</v>
      </c>
      <c r="F846" s="36" t="s">
        <v>13015</v>
      </c>
      <c r="G846" s="36" t="s">
        <v>13016</v>
      </c>
      <c r="H846" s="36" t="s">
        <v>13017</v>
      </c>
      <c r="I846" s="36" t="s">
        <v>13018</v>
      </c>
      <c r="J846" s="36" t="s">
        <v>13019</v>
      </c>
      <c r="K846" s="36" t="s">
        <v>13020</v>
      </c>
      <c r="L846" s="36" t="s">
        <v>13021</v>
      </c>
      <c r="M846" s="36" t="s">
        <v>13022</v>
      </c>
      <c r="N846" s="36" t="s">
        <v>13023</v>
      </c>
      <c r="O846" s="36" t="s">
        <v>13024</v>
      </c>
      <c r="P846" s="36" t="s">
        <v>13011</v>
      </c>
    </row>
    <row r="847" spans="1:16">
      <c r="A847" s="139">
        <v>846</v>
      </c>
      <c r="B847" s="36" t="s">
        <v>13025</v>
      </c>
      <c r="C847" s="36" t="s">
        <v>13026</v>
      </c>
      <c r="D847" s="36" t="s">
        <v>13027</v>
      </c>
      <c r="E847" s="36" t="s">
        <v>13028</v>
      </c>
      <c r="F847" s="36" t="s">
        <v>13029</v>
      </c>
      <c r="G847" s="36" t="s">
        <v>13030</v>
      </c>
      <c r="H847" s="36" t="s">
        <v>13031</v>
      </c>
      <c r="I847" s="36" t="s">
        <v>13032</v>
      </c>
      <c r="J847" s="36" t="s">
        <v>13033</v>
      </c>
      <c r="K847" s="36" t="s">
        <v>13034</v>
      </c>
      <c r="L847" s="36" t="s">
        <v>13035</v>
      </c>
      <c r="M847" s="36" t="s">
        <v>13036</v>
      </c>
      <c r="N847" s="36" t="s">
        <v>13037</v>
      </c>
      <c r="O847" s="36" t="s">
        <v>13038</v>
      </c>
      <c r="P847" s="36" t="s">
        <v>13025</v>
      </c>
    </row>
    <row r="848" spans="1:16">
      <c r="A848" s="139">
        <v>847</v>
      </c>
      <c r="B848" s="36" t="s">
        <v>13039</v>
      </c>
      <c r="C848" s="36" t="s">
        <v>13040</v>
      </c>
      <c r="D848" s="36" t="s">
        <v>13041</v>
      </c>
      <c r="E848" s="36" t="s">
        <v>13042</v>
      </c>
      <c r="F848" s="36" t="s">
        <v>13043</v>
      </c>
      <c r="G848" s="36" t="s">
        <v>13044</v>
      </c>
      <c r="H848" s="36" t="s">
        <v>13045</v>
      </c>
      <c r="I848" s="36" t="s">
        <v>13046</v>
      </c>
      <c r="J848" s="36" t="s">
        <v>13047</v>
      </c>
      <c r="K848" s="36" t="s">
        <v>13048</v>
      </c>
      <c r="L848" s="36" t="s">
        <v>13049</v>
      </c>
      <c r="M848" s="36" t="s">
        <v>13050</v>
      </c>
      <c r="N848" s="36" t="s">
        <v>13051</v>
      </c>
      <c r="O848" s="36" t="s">
        <v>13052</v>
      </c>
      <c r="P848" s="36" t="s">
        <v>13039</v>
      </c>
    </row>
    <row r="849" spans="1:16">
      <c r="A849" s="139">
        <v>848</v>
      </c>
      <c r="B849" s="36" t="s">
        <v>13053</v>
      </c>
      <c r="C849" s="36" t="s">
        <v>13054</v>
      </c>
      <c r="D849" s="36" t="s">
        <v>13055</v>
      </c>
      <c r="E849" s="36" t="s">
        <v>13056</v>
      </c>
      <c r="F849" s="36" t="s">
        <v>5594</v>
      </c>
      <c r="G849" s="36" t="s">
        <v>13057</v>
      </c>
      <c r="H849" s="36" t="s">
        <v>13058</v>
      </c>
      <c r="I849" s="36" t="s">
        <v>5597</v>
      </c>
      <c r="J849" s="36" t="s">
        <v>13059</v>
      </c>
      <c r="K849" s="36" t="s">
        <v>13060</v>
      </c>
      <c r="L849" s="36" t="s">
        <v>5600</v>
      </c>
      <c r="M849" s="36" t="s">
        <v>13061</v>
      </c>
      <c r="N849" s="36" t="s">
        <v>13062</v>
      </c>
      <c r="O849" s="36" t="s">
        <v>13063</v>
      </c>
      <c r="P849" s="36" t="s">
        <v>13053</v>
      </c>
    </row>
    <row r="850" spans="1:16">
      <c r="A850" s="139">
        <v>849</v>
      </c>
      <c r="B850" s="36" t="s">
        <v>13064</v>
      </c>
      <c r="C850" s="36" t="s">
        <v>13065</v>
      </c>
      <c r="D850" s="36" t="s">
        <v>13066</v>
      </c>
      <c r="E850" s="36" t="s">
        <v>13067</v>
      </c>
      <c r="F850" s="36" t="s">
        <v>13068</v>
      </c>
      <c r="G850" s="36" t="s">
        <v>13069</v>
      </c>
      <c r="H850" s="36" t="s">
        <v>13070</v>
      </c>
      <c r="I850" s="36" t="s">
        <v>13071</v>
      </c>
      <c r="J850" s="36" t="s">
        <v>13072</v>
      </c>
      <c r="K850" s="36" t="s">
        <v>13073</v>
      </c>
      <c r="L850" s="36" t="s">
        <v>13074</v>
      </c>
      <c r="M850" s="36" t="s">
        <v>13075</v>
      </c>
      <c r="N850" s="36" t="s">
        <v>13076</v>
      </c>
      <c r="O850" s="36" t="s">
        <v>13077</v>
      </c>
      <c r="P850" s="36" t="s">
        <v>13064</v>
      </c>
    </row>
    <row r="851" spans="1:16">
      <c r="A851" s="139">
        <v>850</v>
      </c>
      <c r="B851" s="36" t="s">
        <v>13078</v>
      </c>
      <c r="C851" s="36" t="s">
        <v>13079</v>
      </c>
      <c r="D851" s="36" t="s">
        <v>13080</v>
      </c>
      <c r="E851" s="36" t="s">
        <v>13081</v>
      </c>
      <c r="F851" s="36" t="s">
        <v>13082</v>
      </c>
      <c r="G851" s="36" t="s">
        <v>13083</v>
      </c>
      <c r="H851" s="36" t="s">
        <v>13084</v>
      </c>
      <c r="I851" s="36" t="s">
        <v>13085</v>
      </c>
      <c r="J851" s="36" t="s">
        <v>13086</v>
      </c>
      <c r="K851" s="36" t="s">
        <v>13087</v>
      </c>
      <c r="L851" s="36" t="s">
        <v>13088</v>
      </c>
      <c r="M851" s="36" t="s">
        <v>13089</v>
      </c>
      <c r="N851" s="36" t="s">
        <v>13090</v>
      </c>
      <c r="O851" s="36" t="s">
        <v>13091</v>
      </c>
      <c r="P851" s="36" t="s">
        <v>13078</v>
      </c>
    </row>
    <row r="852" spans="1:16">
      <c r="A852" s="139">
        <v>851</v>
      </c>
      <c r="B852" s="36" t="s">
        <v>13092</v>
      </c>
      <c r="C852" s="36" t="s">
        <v>13093</v>
      </c>
      <c r="D852" s="36" t="s">
        <v>13094</v>
      </c>
      <c r="E852" s="36" t="s">
        <v>13095</v>
      </c>
      <c r="F852" s="36" t="s">
        <v>13096</v>
      </c>
      <c r="G852" s="36" t="s">
        <v>13097</v>
      </c>
      <c r="H852" s="36" t="s">
        <v>13098</v>
      </c>
      <c r="I852" s="36" t="s">
        <v>13099</v>
      </c>
      <c r="J852" s="36" t="s">
        <v>13100</v>
      </c>
      <c r="K852" s="36" t="s">
        <v>13101</v>
      </c>
      <c r="L852" s="36" t="s">
        <v>13102</v>
      </c>
      <c r="M852" s="36" t="s">
        <v>13103</v>
      </c>
      <c r="N852" s="36" t="s">
        <v>13104</v>
      </c>
      <c r="O852" s="36" t="s">
        <v>13105</v>
      </c>
      <c r="P852" s="36" t="s">
        <v>13092</v>
      </c>
    </row>
    <row r="853" spans="1:16">
      <c r="A853" s="139">
        <v>852</v>
      </c>
      <c r="B853" s="36" t="s">
        <v>13106</v>
      </c>
      <c r="C853" s="36" t="s">
        <v>13107</v>
      </c>
      <c r="D853" s="36" t="s">
        <v>13108</v>
      </c>
      <c r="E853" s="36" t="s">
        <v>13109</v>
      </c>
      <c r="F853" s="36" t="s">
        <v>13110</v>
      </c>
      <c r="G853" s="36" t="s">
        <v>13111</v>
      </c>
      <c r="H853" s="36" t="s">
        <v>13112</v>
      </c>
      <c r="I853" s="36" t="s">
        <v>13113</v>
      </c>
      <c r="J853" s="36" t="s">
        <v>13114</v>
      </c>
      <c r="K853" s="36" t="s">
        <v>13115</v>
      </c>
      <c r="L853" s="36" t="s">
        <v>13116</v>
      </c>
      <c r="M853" s="36" t="s">
        <v>13117</v>
      </c>
      <c r="N853" s="36" t="s">
        <v>13118</v>
      </c>
      <c r="O853" s="36" t="s">
        <v>13119</v>
      </c>
      <c r="P853" s="36" t="s">
        <v>13106</v>
      </c>
    </row>
    <row r="854" spans="1:16">
      <c r="A854" s="139">
        <v>853</v>
      </c>
      <c r="B854" s="36" t="s">
        <v>13120</v>
      </c>
      <c r="C854" s="36" t="s">
        <v>13121</v>
      </c>
      <c r="D854" s="36" t="s">
        <v>13122</v>
      </c>
      <c r="E854" s="36" t="s">
        <v>13123</v>
      </c>
      <c r="F854" s="36" t="s">
        <v>13124</v>
      </c>
      <c r="G854" s="36" t="s">
        <v>13125</v>
      </c>
      <c r="H854" s="36" t="s">
        <v>13126</v>
      </c>
      <c r="I854" s="36" t="s">
        <v>13127</v>
      </c>
      <c r="J854" s="36" t="s">
        <v>13128</v>
      </c>
      <c r="K854" s="36" t="s">
        <v>13129</v>
      </c>
      <c r="L854" s="36" t="s">
        <v>13130</v>
      </c>
      <c r="M854" s="36" t="s">
        <v>13131</v>
      </c>
      <c r="N854" s="36" t="s">
        <v>13130</v>
      </c>
      <c r="O854" s="36" t="s">
        <v>13132</v>
      </c>
      <c r="P854" s="36" t="s">
        <v>13120</v>
      </c>
    </row>
    <row r="855" spans="1:16">
      <c r="A855" s="139">
        <v>854</v>
      </c>
      <c r="B855" s="36" t="s">
        <v>13133</v>
      </c>
      <c r="C855" s="36" t="s">
        <v>13134</v>
      </c>
      <c r="D855" s="36" t="s">
        <v>13135</v>
      </c>
      <c r="E855" s="36" t="s">
        <v>13136</v>
      </c>
      <c r="F855" s="36" t="s">
        <v>13137</v>
      </c>
      <c r="G855" s="36" t="s">
        <v>13138</v>
      </c>
      <c r="H855" s="36" t="s">
        <v>13139</v>
      </c>
      <c r="I855" s="36" t="s">
        <v>13140</v>
      </c>
      <c r="J855" s="36" t="s">
        <v>13141</v>
      </c>
      <c r="K855" s="36" t="s">
        <v>13142</v>
      </c>
      <c r="L855" s="36" t="s">
        <v>13143</v>
      </c>
      <c r="M855" s="36" t="s">
        <v>13144</v>
      </c>
      <c r="N855" s="36" t="s">
        <v>13145</v>
      </c>
      <c r="O855" s="36" t="s">
        <v>13146</v>
      </c>
      <c r="P855" s="36" t="s">
        <v>13133</v>
      </c>
    </row>
    <row r="856" spans="1:16">
      <c r="A856" s="139">
        <v>855</v>
      </c>
      <c r="B856" s="36" t="s">
        <v>13147</v>
      </c>
      <c r="C856" s="36" t="s">
        <v>13148</v>
      </c>
      <c r="D856" s="36" t="s">
        <v>13149</v>
      </c>
      <c r="E856" s="36" t="s">
        <v>13150</v>
      </c>
      <c r="F856" s="36" t="s">
        <v>13151</v>
      </c>
      <c r="G856" s="36" t="s">
        <v>13152</v>
      </c>
      <c r="H856" s="36" t="s">
        <v>13153</v>
      </c>
      <c r="I856" s="36" t="s">
        <v>13154</v>
      </c>
      <c r="J856" s="36" t="s">
        <v>13155</v>
      </c>
      <c r="K856" s="36" t="s">
        <v>13156</v>
      </c>
      <c r="L856" s="36" t="s">
        <v>13157</v>
      </c>
      <c r="M856" s="36" t="s">
        <v>13158</v>
      </c>
      <c r="N856" s="36" t="s">
        <v>13159</v>
      </c>
      <c r="O856" s="36" t="s">
        <v>13160</v>
      </c>
      <c r="P856" s="36" t="s">
        <v>13147</v>
      </c>
    </row>
    <row r="857" spans="1:16">
      <c r="A857" s="139">
        <v>856</v>
      </c>
      <c r="B857" s="36" t="s">
        <v>13161</v>
      </c>
      <c r="C857" s="36" t="s">
        <v>13162</v>
      </c>
      <c r="D857" s="36" t="s">
        <v>13163</v>
      </c>
      <c r="E857" s="36" t="s">
        <v>13164</v>
      </c>
      <c r="F857" s="36" t="s">
        <v>13165</v>
      </c>
      <c r="G857" s="36" t="s">
        <v>13166</v>
      </c>
      <c r="H857" s="36" t="s">
        <v>13167</v>
      </c>
      <c r="I857" s="36" t="s">
        <v>13165</v>
      </c>
      <c r="J857" s="36" t="s">
        <v>13168</v>
      </c>
      <c r="K857" s="36" t="s">
        <v>13169</v>
      </c>
      <c r="L857" s="36" t="s">
        <v>13170</v>
      </c>
      <c r="M857" s="36" t="s">
        <v>13161</v>
      </c>
      <c r="N857" s="36" t="s">
        <v>13161</v>
      </c>
      <c r="O857" s="36" t="s">
        <v>13171</v>
      </c>
      <c r="P857" s="36" t="s">
        <v>13161</v>
      </c>
    </row>
    <row r="858" spans="1:16">
      <c r="A858" s="139">
        <v>857</v>
      </c>
      <c r="B858" s="36" t="s">
        <v>13172</v>
      </c>
      <c r="C858" s="36" t="s">
        <v>13173</v>
      </c>
      <c r="D858" s="36" t="s">
        <v>13174</v>
      </c>
      <c r="E858" s="36" t="s">
        <v>13164</v>
      </c>
      <c r="F858" s="36" t="s">
        <v>13175</v>
      </c>
      <c r="G858" s="36" t="s">
        <v>13176</v>
      </c>
      <c r="H858" s="36" t="s">
        <v>13177</v>
      </c>
      <c r="I858" s="36" t="s">
        <v>13175</v>
      </c>
      <c r="J858" s="36" t="s">
        <v>13178</v>
      </c>
      <c r="K858" s="36" t="s">
        <v>13172</v>
      </c>
      <c r="L858" s="36" t="s">
        <v>13179</v>
      </c>
      <c r="M858" s="36" t="s">
        <v>13173</v>
      </c>
      <c r="N858" s="36" t="s">
        <v>13172</v>
      </c>
      <c r="O858" s="36" t="s">
        <v>13180</v>
      </c>
      <c r="P858" s="36" t="s">
        <v>13172</v>
      </c>
    </row>
    <row r="859" spans="1:16">
      <c r="A859" s="139">
        <v>858</v>
      </c>
      <c r="B859" s="36" t="s">
        <v>13161</v>
      </c>
      <c r="C859" s="36" t="s">
        <v>13162</v>
      </c>
      <c r="D859" s="36" t="s">
        <v>13163</v>
      </c>
      <c r="E859" s="36" t="s">
        <v>13164</v>
      </c>
      <c r="F859" s="36" t="s">
        <v>13165</v>
      </c>
      <c r="G859" s="36" t="s">
        <v>13166</v>
      </c>
      <c r="H859" s="36" t="s">
        <v>13167</v>
      </c>
      <c r="I859" s="36" t="s">
        <v>13165</v>
      </c>
      <c r="J859" s="36" t="s">
        <v>13181</v>
      </c>
      <c r="K859" s="36" t="s">
        <v>13182</v>
      </c>
      <c r="L859" s="36" t="s">
        <v>13169</v>
      </c>
      <c r="M859" s="36" t="s">
        <v>13162</v>
      </c>
      <c r="N859" s="36" t="s">
        <v>13161</v>
      </c>
      <c r="O859" s="36" t="s">
        <v>13183</v>
      </c>
      <c r="P859" s="36" t="s">
        <v>13161</v>
      </c>
    </row>
    <row r="860" spans="1:16">
      <c r="A860" s="139">
        <v>859</v>
      </c>
      <c r="B860" s="36" t="s">
        <v>13184</v>
      </c>
      <c r="C860" s="36" t="s">
        <v>13185</v>
      </c>
      <c r="D860" s="36" t="s">
        <v>13186</v>
      </c>
      <c r="E860" s="36" t="s">
        <v>13187</v>
      </c>
      <c r="F860" s="36" t="s">
        <v>13188</v>
      </c>
      <c r="G860" s="36" t="s">
        <v>13189</v>
      </c>
      <c r="H860" s="36" t="s">
        <v>13190</v>
      </c>
      <c r="I860" s="36" t="s">
        <v>13191</v>
      </c>
      <c r="J860" s="36" t="s">
        <v>13192</v>
      </c>
      <c r="K860" s="36" t="s">
        <v>13193</v>
      </c>
      <c r="L860" s="36" t="s">
        <v>13194</v>
      </c>
      <c r="M860" s="36" t="s">
        <v>13195</v>
      </c>
      <c r="N860" s="36" t="s">
        <v>13196</v>
      </c>
      <c r="O860" s="36" t="s">
        <v>13197</v>
      </c>
      <c r="P860" s="36" t="s">
        <v>13184</v>
      </c>
    </row>
    <row r="861" spans="1:16">
      <c r="A861" s="139">
        <v>860</v>
      </c>
      <c r="B861" s="36" t="s">
        <v>2350</v>
      </c>
      <c r="C861" s="36" t="s">
        <v>13198</v>
      </c>
      <c r="D861" s="36" t="s">
        <v>13199</v>
      </c>
      <c r="E861" s="36" t="s">
        <v>13200</v>
      </c>
      <c r="F861" s="36" t="s">
        <v>13201</v>
      </c>
      <c r="G861" s="36" t="s">
        <v>13202</v>
      </c>
      <c r="H861" s="36" t="s">
        <v>13203</v>
      </c>
      <c r="I861" s="36" t="s">
        <v>13204</v>
      </c>
      <c r="J861" s="36" t="s">
        <v>13205</v>
      </c>
      <c r="K861" s="36" t="s">
        <v>13206</v>
      </c>
      <c r="L861" s="36" t="s">
        <v>13207</v>
      </c>
      <c r="M861" s="36" t="s">
        <v>13208</v>
      </c>
      <c r="N861" s="36" t="s">
        <v>13209</v>
      </c>
      <c r="O861" s="36" t="s">
        <v>13210</v>
      </c>
      <c r="P861" s="36" t="s">
        <v>2350</v>
      </c>
    </row>
    <row r="862" spans="1:16">
      <c r="A862" s="139">
        <v>861</v>
      </c>
      <c r="B862" s="36" t="s">
        <v>13211</v>
      </c>
      <c r="C862" s="36" t="s">
        <v>13212</v>
      </c>
      <c r="D862" s="36" t="s">
        <v>11637</v>
      </c>
      <c r="E862" s="36" t="s">
        <v>13213</v>
      </c>
      <c r="F862" s="36" t="s">
        <v>11681</v>
      </c>
      <c r="G862" s="36" t="s">
        <v>13214</v>
      </c>
      <c r="H862" s="36" t="s">
        <v>13215</v>
      </c>
      <c r="I862" s="36" t="s">
        <v>13216</v>
      </c>
      <c r="J862" s="36" t="s">
        <v>13217</v>
      </c>
      <c r="K862" s="36" t="s">
        <v>13218</v>
      </c>
      <c r="L862" s="36" t="s">
        <v>13219</v>
      </c>
      <c r="M862" s="36" t="s">
        <v>13220</v>
      </c>
      <c r="N862" s="36" t="s">
        <v>13221</v>
      </c>
      <c r="O862" s="36" t="s">
        <v>13222</v>
      </c>
      <c r="P862" s="36" t="s">
        <v>13211</v>
      </c>
    </row>
    <row r="863" spans="1:16">
      <c r="A863" s="139">
        <v>862</v>
      </c>
      <c r="B863" s="36" t="s">
        <v>13223</v>
      </c>
      <c r="C863" s="36" t="s">
        <v>13224</v>
      </c>
      <c r="D863" s="36" t="s">
        <v>13225</v>
      </c>
      <c r="E863" s="36" t="s">
        <v>13226</v>
      </c>
      <c r="F863" s="36" t="s">
        <v>13227</v>
      </c>
      <c r="G863" s="36" t="s">
        <v>13228</v>
      </c>
      <c r="H863" s="36" t="s">
        <v>13229</v>
      </c>
      <c r="I863" s="36" t="s">
        <v>13230</v>
      </c>
      <c r="J863" s="36" t="s">
        <v>13231</v>
      </c>
      <c r="K863" s="36" t="s">
        <v>13232</v>
      </c>
      <c r="L863" s="36" t="s">
        <v>13233</v>
      </c>
      <c r="M863" s="36" t="s">
        <v>13234</v>
      </c>
      <c r="N863" s="36" t="s">
        <v>13235</v>
      </c>
      <c r="O863" s="36" t="s">
        <v>13236</v>
      </c>
      <c r="P863" s="36" t="s">
        <v>13223</v>
      </c>
    </row>
    <row r="864" spans="1:16">
      <c r="A864" s="139">
        <v>863</v>
      </c>
      <c r="B864" s="36" t="s">
        <v>13237</v>
      </c>
      <c r="C864" s="36" t="s">
        <v>13238</v>
      </c>
      <c r="D864" s="36" t="s">
        <v>13239</v>
      </c>
      <c r="E864" s="36" t="s">
        <v>13240</v>
      </c>
      <c r="F864" s="36" t="s">
        <v>13241</v>
      </c>
      <c r="G864" s="36" t="s">
        <v>13242</v>
      </c>
      <c r="H864" s="36" t="s">
        <v>13243</v>
      </c>
      <c r="I864" s="36" t="s">
        <v>13244</v>
      </c>
      <c r="J864" s="36" t="s">
        <v>13245</v>
      </c>
      <c r="K864" s="36" t="s">
        <v>13246</v>
      </c>
      <c r="L864" s="36" t="s">
        <v>13247</v>
      </c>
      <c r="M864" s="36" t="s">
        <v>13248</v>
      </c>
      <c r="N864" s="36" t="s">
        <v>13249</v>
      </c>
      <c r="O864" s="36" t="s">
        <v>13250</v>
      </c>
      <c r="P864" s="36" t="s">
        <v>13237</v>
      </c>
    </row>
    <row r="865" spans="1:16">
      <c r="A865" s="139">
        <v>864</v>
      </c>
      <c r="B865" s="36" t="s">
        <v>13251</v>
      </c>
      <c r="C865" s="36" t="s">
        <v>13252</v>
      </c>
      <c r="D865" s="36" t="s">
        <v>13253</v>
      </c>
      <c r="E865" s="36" t="s">
        <v>13254</v>
      </c>
      <c r="F865" s="36" t="s">
        <v>13255</v>
      </c>
      <c r="G865" s="36" t="s">
        <v>13256</v>
      </c>
      <c r="H865" s="36" t="s">
        <v>13257</v>
      </c>
      <c r="I865" s="36" t="s">
        <v>13258</v>
      </c>
      <c r="J865" s="36" t="s">
        <v>13259</v>
      </c>
      <c r="K865" s="36" t="s">
        <v>13260</v>
      </c>
      <c r="L865" s="36" t="s">
        <v>13261</v>
      </c>
      <c r="M865" s="36" t="s">
        <v>13262</v>
      </c>
      <c r="N865" s="36" t="s">
        <v>13263</v>
      </c>
      <c r="O865" s="36" t="s">
        <v>13264</v>
      </c>
      <c r="P865" s="36" t="s">
        <v>13251</v>
      </c>
    </row>
    <row r="866" spans="1:16">
      <c r="A866" s="139">
        <v>865</v>
      </c>
      <c r="B866" s="36" t="s">
        <v>13265</v>
      </c>
      <c r="C866" s="36" t="s">
        <v>13266</v>
      </c>
      <c r="D866" s="36" t="s">
        <v>13267</v>
      </c>
      <c r="E866" s="36" t="s">
        <v>13268</v>
      </c>
      <c r="F866" s="36" t="s">
        <v>13269</v>
      </c>
      <c r="G866" s="36" t="s">
        <v>13270</v>
      </c>
      <c r="H866" s="36" t="s">
        <v>13271</v>
      </c>
      <c r="I866" s="36" t="s">
        <v>13272</v>
      </c>
      <c r="J866" s="36" t="s">
        <v>13273</v>
      </c>
      <c r="K866" s="36" t="s">
        <v>13274</v>
      </c>
      <c r="L866" s="36" t="s">
        <v>13275</v>
      </c>
      <c r="M866" s="36" t="s">
        <v>13276</v>
      </c>
      <c r="N866" s="36" t="s">
        <v>13277</v>
      </c>
      <c r="O866" s="36" t="s">
        <v>13278</v>
      </c>
      <c r="P866" s="36" t="s">
        <v>13265</v>
      </c>
    </row>
    <row r="867" spans="1:16">
      <c r="A867" s="139">
        <v>866</v>
      </c>
      <c r="B867" s="36" t="s">
        <v>13279</v>
      </c>
      <c r="C867" s="36" t="s">
        <v>13280</v>
      </c>
      <c r="D867" s="36" t="s">
        <v>13281</v>
      </c>
      <c r="E867" s="36" t="s">
        <v>13282</v>
      </c>
      <c r="F867" s="36" t="s">
        <v>13283</v>
      </c>
      <c r="G867" s="36" t="s">
        <v>13284</v>
      </c>
      <c r="H867" s="36" t="s">
        <v>13285</v>
      </c>
      <c r="I867" s="36" t="s">
        <v>13286</v>
      </c>
      <c r="J867" s="36" t="s">
        <v>13287</v>
      </c>
      <c r="K867" s="36" t="s">
        <v>13288</v>
      </c>
      <c r="L867" s="36" t="s">
        <v>13289</v>
      </c>
      <c r="M867" s="36" t="s">
        <v>13290</v>
      </c>
      <c r="N867" s="36" t="s">
        <v>13291</v>
      </c>
      <c r="O867" s="36" t="s">
        <v>13292</v>
      </c>
      <c r="P867" s="36" t="s">
        <v>13279</v>
      </c>
    </row>
    <row r="868" spans="1:16">
      <c r="A868" s="139">
        <v>867</v>
      </c>
      <c r="B868" s="36" t="s">
        <v>13293</v>
      </c>
      <c r="C868" s="36" t="s">
        <v>13294</v>
      </c>
      <c r="D868" s="36" t="s">
        <v>13295</v>
      </c>
      <c r="E868" s="36" t="s">
        <v>13296</v>
      </c>
      <c r="F868" s="36" t="s">
        <v>13297</v>
      </c>
      <c r="G868" s="36" t="s">
        <v>13298</v>
      </c>
      <c r="H868" s="36" t="s">
        <v>13299</v>
      </c>
      <c r="I868" s="36" t="s">
        <v>13300</v>
      </c>
      <c r="J868" s="36" t="s">
        <v>13301</v>
      </c>
      <c r="K868" s="36" t="s">
        <v>13302</v>
      </c>
      <c r="L868" s="36" t="s">
        <v>13303</v>
      </c>
      <c r="M868" s="36" t="s">
        <v>13304</v>
      </c>
      <c r="N868" s="36" t="s">
        <v>13305</v>
      </c>
      <c r="O868" s="36" t="s">
        <v>13306</v>
      </c>
      <c r="P868" s="36" t="s">
        <v>13293</v>
      </c>
    </row>
    <row r="869" spans="1:16">
      <c r="A869" s="139">
        <v>868</v>
      </c>
      <c r="B869" s="36" t="s">
        <v>13307</v>
      </c>
      <c r="C869" s="36" t="s">
        <v>13308</v>
      </c>
      <c r="D869" s="36" t="s">
        <v>13309</v>
      </c>
      <c r="E869" s="36" t="s">
        <v>13310</v>
      </c>
      <c r="F869" s="36" t="s">
        <v>13311</v>
      </c>
      <c r="G869" s="36" t="s">
        <v>13312</v>
      </c>
      <c r="H869" s="36" t="s">
        <v>13313</v>
      </c>
      <c r="I869" s="36" t="s">
        <v>13314</v>
      </c>
      <c r="J869" s="36" t="s">
        <v>13315</v>
      </c>
      <c r="K869" s="36" t="s">
        <v>13316</v>
      </c>
      <c r="L869" s="36" t="s">
        <v>13317</v>
      </c>
      <c r="M869" s="36" t="s">
        <v>13318</v>
      </c>
      <c r="N869" s="36" t="s">
        <v>13319</v>
      </c>
      <c r="O869" s="36" t="s">
        <v>13320</v>
      </c>
      <c r="P869" s="36" t="s">
        <v>13307</v>
      </c>
    </row>
    <row r="870" spans="1:16">
      <c r="A870" s="139">
        <v>869</v>
      </c>
      <c r="B870" s="36" t="s">
        <v>13321</v>
      </c>
      <c r="C870" s="36" t="s">
        <v>13322</v>
      </c>
      <c r="D870" s="36" t="s">
        <v>13323</v>
      </c>
      <c r="E870" s="36" t="s">
        <v>13324</v>
      </c>
      <c r="F870" s="36" t="s">
        <v>13325</v>
      </c>
      <c r="G870" s="36" t="s">
        <v>13326</v>
      </c>
      <c r="H870" s="36" t="s">
        <v>13327</v>
      </c>
      <c r="I870" s="36" t="s">
        <v>13328</v>
      </c>
      <c r="J870" s="36" t="s">
        <v>13329</v>
      </c>
      <c r="K870" s="36" t="s">
        <v>13330</v>
      </c>
      <c r="L870" s="36" t="s">
        <v>13331</v>
      </c>
      <c r="M870" s="36" t="s">
        <v>13332</v>
      </c>
      <c r="N870" s="36" t="s">
        <v>13333</v>
      </c>
      <c r="O870" s="36" t="s">
        <v>13334</v>
      </c>
      <c r="P870" s="36" t="s">
        <v>13321</v>
      </c>
    </row>
    <row r="871" spans="1:16">
      <c r="A871" s="139">
        <v>870</v>
      </c>
      <c r="B871" s="36" t="s">
        <v>13335</v>
      </c>
      <c r="C871" s="36" t="s">
        <v>13336</v>
      </c>
      <c r="D871" s="36" t="s">
        <v>13337</v>
      </c>
      <c r="E871" s="36" t="s">
        <v>13338</v>
      </c>
      <c r="F871" s="36" t="s">
        <v>13339</v>
      </c>
      <c r="G871" s="36" t="s">
        <v>13340</v>
      </c>
      <c r="H871" s="36" t="s">
        <v>13341</v>
      </c>
      <c r="I871" s="36" t="s">
        <v>13342</v>
      </c>
      <c r="J871" s="36" t="s">
        <v>13343</v>
      </c>
      <c r="K871" s="36" t="s">
        <v>13344</v>
      </c>
      <c r="L871" s="36" t="s">
        <v>13345</v>
      </c>
      <c r="M871" s="36" t="s">
        <v>13346</v>
      </c>
      <c r="N871" s="36" t="s">
        <v>13347</v>
      </c>
      <c r="O871" s="36" t="s">
        <v>13348</v>
      </c>
      <c r="P871" s="36" t="s">
        <v>13335</v>
      </c>
    </row>
    <row r="872" spans="1:16">
      <c r="A872" s="139">
        <v>871</v>
      </c>
      <c r="B872" s="36" t="s">
        <v>13307</v>
      </c>
      <c r="C872" s="36" t="s">
        <v>13308</v>
      </c>
      <c r="D872" s="36" t="s">
        <v>13309</v>
      </c>
      <c r="E872" s="36" t="s">
        <v>13310</v>
      </c>
      <c r="F872" s="36" t="s">
        <v>13349</v>
      </c>
      <c r="G872" s="36" t="s">
        <v>13312</v>
      </c>
      <c r="H872" s="36" t="s">
        <v>13313</v>
      </c>
      <c r="I872" s="36" t="s">
        <v>13350</v>
      </c>
      <c r="J872" s="36" t="s">
        <v>13351</v>
      </c>
      <c r="K872" s="36" t="s">
        <v>13316</v>
      </c>
      <c r="L872" s="36" t="s">
        <v>13317</v>
      </c>
      <c r="M872" s="36" t="s">
        <v>13317</v>
      </c>
      <c r="N872" s="36" t="s">
        <v>13352</v>
      </c>
      <c r="O872" s="36" t="s">
        <v>13320</v>
      </c>
      <c r="P872" s="36" t="s">
        <v>13307</v>
      </c>
    </row>
    <row r="873" spans="1:16">
      <c r="A873" s="139">
        <v>872</v>
      </c>
      <c r="B873" s="36" t="s">
        <v>13353</v>
      </c>
      <c r="C873" s="36" t="s">
        <v>13354</v>
      </c>
      <c r="D873" s="36" t="s">
        <v>13355</v>
      </c>
      <c r="E873" s="36" t="s">
        <v>13356</v>
      </c>
      <c r="F873" s="36" t="s">
        <v>13357</v>
      </c>
      <c r="G873" s="36" t="s">
        <v>13358</v>
      </c>
      <c r="H873" s="36" t="s">
        <v>13359</v>
      </c>
      <c r="I873" s="36" t="s">
        <v>13360</v>
      </c>
      <c r="J873" s="36" t="s">
        <v>13361</v>
      </c>
      <c r="K873" s="36" t="s">
        <v>13362</v>
      </c>
      <c r="L873" s="36" t="s">
        <v>13363</v>
      </c>
      <c r="M873" s="36" t="s">
        <v>13364</v>
      </c>
      <c r="N873" s="36" t="s">
        <v>13365</v>
      </c>
      <c r="O873" s="36" t="s">
        <v>13366</v>
      </c>
      <c r="P873" s="36" t="s">
        <v>13353</v>
      </c>
    </row>
    <row r="874" spans="1:16">
      <c r="A874" s="139">
        <v>873</v>
      </c>
      <c r="B874" s="36" t="s">
        <v>13367</v>
      </c>
      <c r="C874" s="36" t="s">
        <v>13368</v>
      </c>
      <c r="D874" s="36" t="s">
        <v>13369</v>
      </c>
      <c r="E874" s="36" t="s">
        <v>13370</v>
      </c>
      <c r="F874" s="36" t="s">
        <v>13371</v>
      </c>
      <c r="G874" s="36" t="s">
        <v>13372</v>
      </c>
      <c r="H874" s="36" t="s">
        <v>13373</v>
      </c>
      <c r="I874" s="36" t="s">
        <v>13374</v>
      </c>
      <c r="J874" s="36" t="s">
        <v>13375</v>
      </c>
      <c r="K874" s="36" t="s">
        <v>13376</v>
      </c>
      <c r="L874" s="36" t="s">
        <v>13377</v>
      </c>
      <c r="M874" s="36" t="s">
        <v>13378</v>
      </c>
      <c r="N874" s="36" t="s">
        <v>13379</v>
      </c>
      <c r="O874" s="36" t="s">
        <v>13380</v>
      </c>
      <c r="P874" s="36" t="s">
        <v>13367</v>
      </c>
    </row>
    <row r="875" spans="1:16">
      <c r="A875" s="139">
        <v>874</v>
      </c>
      <c r="B875" s="36" t="s">
        <v>13381</v>
      </c>
      <c r="C875" s="36" t="s">
        <v>13382</v>
      </c>
      <c r="D875" s="36" t="s">
        <v>13383</v>
      </c>
      <c r="E875" s="36" t="s">
        <v>13384</v>
      </c>
      <c r="F875" s="36" t="s">
        <v>13385</v>
      </c>
      <c r="G875" s="36" t="s">
        <v>13386</v>
      </c>
      <c r="H875" s="36" t="s">
        <v>13387</v>
      </c>
      <c r="I875" s="36" t="s">
        <v>13388</v>
      </c>
      <c r="J875" s="36" t="s">
        <v>13389</v>
      </c>
      <c r="K875" s="36" t="s">
        <v>13390</v>
      </c>
      <c r="L875" s="36" t="s">
        <v>13391</v>
      </c>
      <c r="M875" s="36" t="s">
        <v>13392</v>
      </c>
      <c r="N875" s="36" t="s">
        <v>13393</v>
      </c>
      <c r="O875" s="36" t="s">
        <v>13394</v>
      </c>
      <c r="P875" s="36" t="s">
        <v>13381</v>
      </c>
    </row>
    <row r="876" spans="1:16">
      <c r="A876" s="139">
        <v>875</v>
      </c>
      <c r="B876" s="36" t="s">
        <v>13395</v>
      </c>
      <c r="C876" s="36" t="s">
        <v>13396</v>
      </c>
      <c r="D876" s="36" t="s">
        <v>13397</v>
      </c>
      <c r="E876" s="36" t="s">
        <v>13398</v>
      </c>
      <c r="F876" s="36" t="s">
        <v>13399</v>
      </c>
      <c r="G876" s="36" t="s">
        <v>13400</v>
      </c>
      <c r="H876" s="36" t="s">
        <v>13401</v>
      </c>
      <c r="I876" s="36" t="s">
        <v>13402</v>
      </c>
      <c r="J876" s="36" t="s">
        <v>13403</v>
      </c>
      <c r="K876" s="36" t="s">
        <v>13404</v>
      </c>
      <c r="L876" s="36" t="s">
        <v>13405</v>
      </c>
      <c r="M876" s="36" t="s">
        <v>13406</v>
      </c>
      <c r="N876" s="36" t="s">
        <v>13407</v>
      </c>
      <c r="O876" s="36" t="s">
        <v>13408</v>
      </c>
      <c r="P876" s="36" t="s">
        <v>13395</v>
      </c>
    </row>
    <row r="877" spans="1:16">
      <c r="A877" s="139">
        <v>876</v>
      </c>
      <c r="B877" s="36" t="s">
        <v>13409</v>
      </c>
      <c r="C877" s="36" t="s">
        <v>13410</v>
      </c>
      <c r="D877" s="36" t="s">
        <v>13411</v>
      </c>
      <c r="E877" s="36" t="s">
        <v>13412</v>
      </c>
      <c r="F877" s="36" t="s">
        <v>13413</v>
      </c>
      <c r="G877" s="36" t="s">
        <v>13414</v>
      </c>
      <c r="H877" s="36" t="s">
        <v>13415</v>
      </c>
      <c r="I877" s="36" t="s">
        <v>13416</v>
      </c>
      <c r="J877" s="36" t="s">
        <v>13417</v>
      </c>
      <c r="K877" s="36" t="s">
        <v>13418</v>
      </c>
      <c r="L877" s="36" t="s">
        <v>13419</v>
      </c>
      <c r="M877" s="36" t="s">
        <v>13420</v>
      </c>
      <c r="N877" s="36" t="s">
        <v>13421</v>
      </c>
      <c r="O877" s="36" t="s">
        <v>13422</v>
      </c>
      <c r="P877" s="36" t="s">
        <v>13409</v>
      </c>
    </row>
    <row r="878" spans="1:16">
      <c r="A878" s="139">
        <v>877</v>
      </c>
      <c r="B878" s="36" t="s">
        <v>13423</v>
      </c>
      <c r="C878" s="36" t="s">
        <v>13424</v>
      </c>
      <c r="D878" s="36" t="s">
        <v>13425</v>
      </c>
      <c r="E878" s="36" t="s">
        <v>13426</v>
      </c>
      <c r="F878" s="36" t="s">
        <v>13427</v>
      </c>
      <c r="G878" s="36" t="s">
        <v>13428</v>
      </c>
      <c r="H878" s="36" t="s">
        <v>13429</v>
      </c>
      <c r="I878" s="36" t="s">
        <v>13430</v>
      </c>
      <c r="J878" s="36" t="s">
        <v>13431</v>
      </c>
      <c r="K878" s="36" t="s">
        <v>13432</v>
      </c>
      <c r="L878" s="36" t="s">
        <v>13433</v>
      </c>
      <c r="M878" s="36" t="s">
        <v>13434</v>
      </c>
      <c r="N878" s="36" t="s">
        <v>13435</v>
      </c>
      <c r="O878" s="36" t="s">
        <v>13436</v>
      </c>
      <c r="P878" s="36" t="s">
        <v>13423</v>
      </c>
    </row>
    <row r="879" spans="1:16">
      <c r="A879" s="139">
        <v>878</v>
      </c>
      <c r="B879" s="36" t="s">
        <v>13437</v>
      </c>
      <c r="C879" s="36" t="s">
        <v>13438</v>
      </c>
      <c r="D879" s="36" t="s">
        <v>13438</v>
      </c>
      <c r="E879" s="36" t="s">
        <v>13439</v>
      </c>
      <c r="F879" s="36" t="s">
        <v>13440</v>
      </c>
      <c r="G879" s="36" t="s">
        <v>13441</v>
      </c>
      <c r="H879" s="36" t="s">
        <v>13442</v>
      </c>
      <c r="I879" s="36" t="s">
        <v>13443</v>
      </c>
      <c r="J879" s="36" t="s">
        <v>13444</v>
      </c>
      <c r="K879" s="36" t="s">
        <v>13445</v>
      </c>
      <c r="L879" s="36" t="s">
        <v>13446</v>
      </c>
      <c r="M879" s="36" t="s">
        <v>13447</v>
      </c>
      <c r="N879" s="36" t="s">
        <v>13437</v>
      </c>
      <c r="O879" s="36" t="s">
        <v>13448</v>
      </c>
      <c r="P879" s="36" t="s">
        <v>13437</v>
      </c>
    </row>
    <row r="880" spans="1:16">
      <c r="A880" s="139">
        <v>879</v>
      </c>
      <c r="B880" s="36" t="s">
        <v>13449</v>
      </c>
      <c r="C880" s="36" t="s">
        <v>13450</v>
      </c>
      <c r="D880" s="36" t="s">
        <v>13451</v>
      </c>
      <c r="E880" s="36" t="s">
        <v>13452</v>
      </c>
      <c r="F880" s="36" t="s">
        <v>13453</v>
      </c>
      <c r="G880" s="36" t="s">
        <v>13454</v>
      </c>
      <c r="H880" s="36" t="s">
        <v>13455</v>
      </c>
      <c r="I880" s="36" t="s">
        <v>13456</v>
      </c>
      <c r="J880" s="36" t="s">
        <v>13457</v>
      </c>
      <c r="K880" s="36" t="s">
        <v>13458</v>
      </c>
      <c r="L880" s="36" t="s">
        <v>13459</v>
      </c>
      <c r="M880" s="36" t="s">
        <v>13460</v>
      </c>
      <c r="N880" s="36" t="s">
        <v>13461</v>
      </c>
      <c r="O880" s="36" t="s">
        <v>13462</v>
      </c>
      <c r="P880" s="36" t="s">
        <v>13449</v>
      </c>
    </row>
    <row r="881" spans="1:16">
      <c r="A881" s="139">
        <v>880</v>
      </c>
      <c r="B881" s="36" t="s">
        <v>13463</v>
      </c>
      <c r="C881" s="36" t="s">
        <v>13464</v>
      </c>
      <c r="D881" s="36" t="s">
        <v>13465</v>
      </c>
      <c r="E881" s="36" t="s">
        <v>13466</v>
      </c>
      <c r="F881" s="36" t="s">
        <v>13467</v>
      </c>
      <c r="G881" s="36" t="s">
        <v>13468</v>
      </c>
      <c r="H881" s="36" t="s">
        <v>13469</v>
      </c>
      <c r="I881" s="36" t="s">
        <v>13470</v>
      </c>
      <c r="J881" s="36" t="s">
        <v>13471</v>
      </c>
      <c r="K881" s="36" t="s">
        <v>13472</v>
      </c>
      <c r="L881" s="36" t="s">
        <v>13473</v>
      </c>
      <c r="M881" s="36" t="s">
        <v>13474</v>
      </c>
      <c r="N881" s="36" t="s">
        <v>13475</v>
      </c>
      <c r="O881" s="36" t="s">
        <v>13476</v>
      </c>
      <c r="P881" s="36" t="s">
        <v>13463</v>
      </c>
    </row>
    <row r="882" spans="1:16">
      <c r="A882" s="139">
        <v>881</v>
      </c>
      <c r="B882" s="36" t="s">
        <v>13477</v>
      </c>
      <c r="C882" s="36" t="s">
        <v>13478</v>
      </c>
      <c r="D882" s="36" t="s">
        <v>13479</v>
      </c>
      <c r="E882" s="36" t="s">
        <v>13480</v>
      </c>
      <c r="F882" s="36" t="s">
        <v>13481</v>
      </c>
      <c r="G882" s="36" t="s">
        <v>13482</v>
      </c>
      <c r="H882" s="36" t="s">
        <v>13483</v>
      </c>
      <c r="I882" s="36" t="s">
        <v>13484</v>
      </c>
      <c r="J882" s="36" t="s">
        <v>13485</v>
      </c>
      <c r="K882" s="36" t="s">
        <v>13486</v>
      </c>
      <c r="L882" s="36" t="s">
        <v>13487</v>
      </c>
      <c r="M882" s="36" t="s">
        <v>13488</v>
      </c>
      <c r="N882" s="36" t="s">
        <v>13489</v>
      </c>
      <c r="O882" s="36" t="s">
        <v>13490</v>
      </c>
      <c r="P882" s="36" t="s">
        <v>13477</v>
      </c>
    </row>
    <row r="883" spans="1:16">
      <c r="A883" s="139">
        <v>882</v>
      </c>
      <c r="B883" s="36" t="s">
        <v>13491</v>
      </c>
      <c r="C883" s="36" t="s">
        <v>13492</v>
      </c>
      <c r="D883" s="36" t="s">
        <v>13493</v>
      </c>
      <c r="E883" s="36" t="s">
        <v>13494</v>
      </c>
      <c r="F883" s="36" t="s">
        <v>13495</v>
      </c>
      <c r="G883" s="36" t="s">
        <v>13496</v>
      </c>
      <c r="H883" s="36" t="s">
        <v>13497</v>
      </c>
      <c r="I883" s="36" t="s">
        <v>13498</v>
      </c>
      <c r="J883" s="36" t="s">
        <v>13499</v>
      </c>
      <c r="K883" s="36" t="s">
        <v>13500</v>
      </c>
      <c r="L883" s="36" t="s">
        <v>13501</v>
      </c>
      <c r="M883" s="36" t="s">
        <v>13502</v>
      </c>
      <c r="N883" s="36" t="s">
        <v>13503</v>
      </c>
      <c r="O883" s="36" t="s">
        <v>13504</v>
      </c>
      <c r="P883" s="36" t="s">
        <v>13491</v>
      </c>
    </row>
    <row r="884" spans="1:16">
      <c r="A884" s="139">
        <v>883</v>
      </c>
      <c r="B884" s="36" t="s">
        <v>13505</v>
      </c>
      <c r="C884" s="36" t="s">
        <v>13506</v>
      </c>
      <c r="D884" s="36" t="s">
        <v>13507</v>
      </c>
      <c r="E884" s="36" t="s">
        <v>13508</v>
      </c>
      <c r="F884" s="36" t="s">
        <v>13509</v>
      </c>
      <c r="G884" s="36" t="s">
        <v>13510</v>
      </c>
      <c r="H884" s="36" t="s">
        <v>13511</v>
      </c>
      <c r="I884" s="36" t="s">
        <v>13512</v>
      </c>
      <c r="J884" s="36" t="s">
        <v>13513</v>
      </c>
      <c r="K884" s="36" t="s">
        <v>13514</v>
      </c>
      <c r="L884" s="36" t="s">
        <v>13515</v>
      </c>
      <c r="M884" s="36" t="s">
        <v>13516</v>
      </c>
      <c r="N884" s="36" t="s">
        <v>13517</v>
      </c>
      <c r="O884" s="36" t="s">
        <v>13518</v>
      </c>
      <c r="P884" s="36" t="s">
        <v>13505</v>
      </c>
    </row>
    <row r="885" spans="1:16">
      <c r="A885" s="139">
        <v>884</v>
      </c>
      <c r="B885" s="36" t="s">
        <v>13519</v>
      </c>
      <c r="C885" s="36" t="s">
        <v>13520</v>
      </c>
      <c r="D885" s="36" t="s">
        <v>13521</v>
      </c>
      <c r="E885" s="36" t="s">
        <v>13522</v>
      </c>
      <c r="F885" s="36" t="s">
        <v>13523</v>
      </c>
      <c r="G885" s="36" t="s">
        <v>13524</v>
      </c>
      <c r="H885" s="36" t="s">
        <v>13525</v>
      </c>
      <c r="I885" s="36" t="s">
        <v>13524</v>
      </c>
      <c r="J885" s="36" t="s">
        <v>13526</v>
      </c>
      <c r="K885" s="36" t="s">
        <v>13527</v>
      </c>
      <c r="L885" s="36" t="s">
        <v>13528</v>
      </c>
      <c r="M885" s="36" t="s">
        <v>13529</v>
      </c>
      <c r="N885" s="36" t="s">
        <v>13530</v>
      </c>
      <c r="O885" s="36" t="s">
        <v>13524</v>
      </c>
      <c r="P885" s="36" t="s">
        <v>13519</v>
      </c>
    </row>
    <row r="886" spans="1:16">
      <c r="A886" s="139">
        <v>885</v>
      </c>
      <c r="B886" s="36" t="s">
        <v>13531</v>
      </c>
      <c r="C886" s="36" t="s">
        <v>13532</v>
      </c>
      <c r="D886" s="36" t="s">
        <v>13533</v>
      </c>
      <c r="E886" s="36" t="s">
        <v>13534</v>
      </c>
      <c r="F886" s="36" t="s">
        <v>13535</v>
      </c>
      <c r="G886" s="36" t="s">
        <v>13536</v>
      </c>
      <c r="H886" s="36" t="s">
        <v>13537</v>
      </c>
      <c r="I886" s="36" t="s">
        <v>13538</v>
      </c>
      <c r="J886" s="36" t="s">
        <v>13539</v>
      </c>
      <c r="K886" s="36" t="s">
        <v>13540</v>
      </c>
      <c r="L886" s="36" t="s">
        <v>13541</v>
      </c>
      <c r="M886" s="36" t="s">
        <v>13542</v>
      </c>
      <c r="N886" s="36" t="s">
        <v>13531</v>
      </c>
      <c r="O886" s="36" t="s">
        <v>13543</v>
      </c>
      <c r="P886" s="36" t="s">
        <v>13531</v>
      </c>
    </row>
    <row r="887" spans="1:16">
      <c r="A887" s="139">
        <v>886</v>
      </c>
      <c r="B887" s="36" t="s">
        <v>29</v>
      </c>
      <c r="C887" s="36" t="s">
        <v>27</v>
      </c>
      <c r="D887" s="36" t="s">
        <v>29</v>
      </c>
      <c r="E887" s="36" t="s">
        <v>13544</v>
      </c>
      <c r="F887" s="36" t="s">
        <v>29</v>
      </c>
      <c r="G887" s="36" t="s">
        <v>27</v>
      </c>
      <c r="H887" s="36" t="s">
        <v>13545</v>
      </c>
      <c r="I887" s="36" t="s">
        <v>29</v>
      </c>
      <c r="J887" s="36" t="s">
        <v>27</v>
      </c>
      <c r="K887" s="36" t="s">
        <v>27</v>
      </c>
      <c r="L887" s="36" t="s">
        <v>13546</v>
      </c>
      <c r="M887" s="36" t="s">
        <v>27</v>
      </c>
      <c r="N887" s="36" t="s">
        <v>27</v>
      </c>
      <c r="O887" s="36" t="s">
        <v>27</v>
      </c>
      <c r="P887" s="36" t="s">
        <v>29</v>
      </c>
    </row>
    <row r="888" spans="1:16">
      <c r="A888" s="139">
        <v>887</v>
      </c>
      <c r="B888" s="36" t="s">
        <v>13547</v>
      </c>
      <c r="C888" s="36" t="s">
        <v>13548</v>
      </c>
      <c r="D888" s="36" t="s">
        <v>13549</v>
      </c>
      <c r="E888" s="36" t="s">
        <v>13550</v>
      </c>
      <c r="F888" s="36" t="s">
        <v>13551</v>
      </c>
      <c r="G888" s="36" t="s">
        <v>13552</v>
      </c>
      <c r="H888" s="36" t="s">
        <v>13553</v>
      </c>
      <c r="I888" s="36" t="s">
        <v>13554</v>
      </c>
      <c r="J888" s="36" t="s">
        <v>13555</v>
      </c>
      <c r="K888" s="36" t="s">
        <v>13556</v>
      </c>
      <c r="L888" s="36" t="s">
        <v>13557</v>
      </c>
      <c r="M888" s="36" t="s">
        <v>13558</v>
      </c>
      <c r="N888" s="36" t="s">
        <v>13559</v>
      </c>
      <c r="O888" s="36" t="s">
        <v>13560</v>
      </c>
      <c r="P888" s="36" t="s">
        <v>13547</v>
      </c>
    </row>
    <row r="889" spans="1:16">
      <c r="A889" s="139">
        <v>888</v>
      </c>
      <c r="B889" s="36" t="s">
        <v>13561</v>
      </c>
      <c r="C889" s="36" t="s">
        <v>13562</v>
      </c>
      <c r="D889" s="36" t="s">
        <v>13563</v>
      </c>
      <c r="E889" s="36" t="s">
        <v>13564</v>
      </c>
      <c r="F889" s="36" t="s">
        <v>13565</v>
      </c>
      <c r="G889" s="36" t="s">
        <v>13566</v>
      </c>
      <c r="H889" s="36" t="s">
        <v>13567</v>
      </c>
      <c r="I889" s="36" t="s">
        <v>13568</v>
      </c>
      <c r="J889" s="36" t="s">
        <v>13569</v>
      </c>
      <c r="K889" s="36" t="s">
        <v>13570</v>
      </c>
      <c r="L889" s="36" t="s">
        <v>13571</v>
      </c>
      <c r="M889" s="36" t="s">
        <v>13572</v>
      </c>
      <c r="N889" s="36" t="s">
        <v>13572</v>
      </c>
      <c r="O889" s="36" t="s">
        <v>13573</v>
      </c>
      <c r="P889" s="36" t="s">
        <v>13561</v>
      </c>
    </row>
    <row r="890" spans="1:16">
      <c r="A890" s="139">
        <v>889</v>
      </c>
      <c r="B890" s="36" t="s">
        <v>13574</v>
      </c>
      <c r="C890" s="36" t="s">
        <v>13562</v>
      </c>
      <c r="D890" s="36" t="s">
        <v>13563</v>
      </c>
      <c r="E890" s="36" t="s">
        <v>13575</v>
      </c>
      <c r="F890" s="36" t="s">
        <v>13576</v>
      </c>
      <c r="G890" s="36" t="s">
        <v>13577</v>
      </c>
      <c r="H890" s="36" t="s">
        <v>13578</v>
      </c>
      <c r="I890" s="36" t="s">
        <v>13579</v>
      </c>
      <c r="J890" s="36" t="s">
        <v>13580</v>
      </c>
      <c r="K890" s="36" t="s">
        <v>13581</v>
      </c>
      <c r="L890" s="36" t="s">
        <v>13582</v>
      </c>
      <c r="M890" s="36" t="s">
        <v>13583</v>
      </c>
      <c r="N890" s="36" t="s">
        <v>13583</v>
      </c>
      <c r="O890" s="36" t="s">
        <v>13584</v>
      </c>
      <c r="P890" s="36" t="s">
        <v>13574</v>
      </c>
    </row>
    <row r="891" spans="1:16">
      <c r="A891" s="139">
        <v>890</v>
      </c>
      <c r="B891" s="36" t="s">
        <v>13585</v>
      </c>
      <c r="C891" s="36" t="s">
        <v>13586</v>
      </c>
      <c r="D891" s="36" t="s">
        <v>13587</v>
      </c>
      <c r="E891" s="36" t="s">
        <v>13588</v>
      </c>
      <c r="F891" s="36" t="s">
        <v>13589</v>
      </c>
      <c r="G891" s="36" t="s">
        <v>13590</v>
      </c>
      <c r="H891" s="36" t="s">
        <v>13591</v>
      </c>
      <c r="I891" s="36" t="s">
        <v>13592</v>
      </c>
      <c r="J891" s="36" t="s">
        <v>13593</v>
      </c>
      <c r="K891" s="36" t="s">
        <v>13594</v>
      </c>
      <c r="L891" s="36" t="s">
        <v>13595</v>
      </c>
      <c r="M891" s="36" t="s">
        <v>13596</v>
      </c>
      <c r="N891" s="36" t="s">
        <v>13597</v>
      </c>
      <c r="O891" s="36" t="s">
        <v>13598</v>
      </c>
      <c r="P891" s="36" t="s">
        <v>13585</v>
      </c>
    </row>
    <row r="892" spans="1:16">
      <c r="A892" s="139">
        <v>891</v>
      </c>
      <c r="B892" s="36" t="s">
        <v>13599</v>
      </c>
      <c r="C892" s="36" t="s">
        <v>12023</v>
      </c>
      <c r="D892" s="36" t="s">
        <v>12216</v>
      </c>
      <c r="E892" s="36" t="s">
        <v>13600</v>
      </c>
      <c r="F892" s="36" t="s">
        <v>12029</v>
      </c>
      <c r="G892" s="36" t="s">
        <v>13601</v>
      </c>
      <c r="H892" s="36" t="s">
        <v>13602</v>
      </c>
      <c r="I892" s="36" t="s">
        <v>12029</v>
      </c>
      <c r="J892" s="36" t="s">
        <v>13603</v>
      </c>
      <c r="K892" s="36" t="s">
        <v>13604</v>
      </c>
      <c r="L892" s="36" t="s">
        <v>13605</v>
      </c>
      <c r="M892" s="36" t="s">
        <v>13606</v>
      </c>
      <c r="N892" s="36" t="s">
        <v>13607</v>
      </c>
      <c r="O892" s="36" t="s">
        <v>3801</v>
      </c>
      <c r="P892" s="36" t="s">
        <v>13599</v>
      </c>
    </row>
    <row r="893" spans="1:16">
      <c r="A893" s="139">
        <v>892</v>
      </c>
      <c r="B893" s="36" t="s">
        <v>13608</v>
      </c>
      <c r="C893" s="36" t="s">
        <v>13609</v>
      </c>
      <c r="D893" s="36" t="s">
        <v>13610</v>
      </c>
      <c r="E893" s="36" t="s">
        <v>13611</v>
      </c>
      <c r="F893" s="36" t="s">
        <v>13612</v>
      </c>
      <c r="G893" s="36" t="s">
        <v>13613</v>
      </c>
      <c r="H893" s="36" t="s">
        <v>13614</v>
      </c>
      <c r="I893" s="36" t="s">
        <v>13615</v>
      </c>
      <c r="J893" s="36" t="s">
        <v>13616</v>
      </c>
      <c r="K893" s="36" t="s">
        <v>13617</v>
      </c>
      <c r="L893" s="36" t="s">
        <v>13618</v>
      </c>
      <c r="M893" s="36" t="s">
        <v>13619</v>
      </c>
      <c r="N893" s="36" t="s">
        <v>13620</v>
      </c>
      <c r="O893" s="36" t="s">
        <v>13621</v>
      </c>
      <c r="P893" s="36" t="s">
        <v>13608</v>
      </c>
    </row>
    <row r="894" spans="1:16">
      <c r="A894" s="139">
        <v>893</v>
      </c>
      <c r="B894" s="36" t="s">
        <v>13622</v>
      </c>
      <c r="C894" s="36" t="s">
        <v>13623</v>
      </c>
      <c r="D894" s="36" t="s">
        <v>13624</v>
      </c>
      <c r="E894" s="36" t="s">
        <v>13625</v>
      </c>
      <c r="F894" s="36" t="s">
        <v>13626</v>
      </c>
      <c r="G894" s="36" t="s">
        <v>13627</v>
      </c>
      <c r="H894" s="36" t="s">
        <v>13628</v>
      </c>
      <c r="I894" s="36" t="s">
        <v>13629</v>
      </c>
      <c r="J894" s="36" t="s">
        <v>13630</v>
      </c>
      <c r="K894" s="36" t="s">
        <v>13631</v>
      </c>
      <c r="L894" s="36" t="s">
        <v>13632</v>
      </c>
      <c r="M894" s="36" t="s">
        <v>13633</v>
      </c>
      <c r="N894" s="36" t="s">
        <v>13634</v>
      </c>
      <c r="O894" s="36" t="s">
        <v>13635</v>
      </c>
      <c r="P894" s="36" t="s">
        <v>13622</v>
      </c>
    </row>
    <row r="895" spans="1:16">
      <c r="A895" s="139">
        <v>894</v>
      </c>
      <c r="B895" s="36" t="s">
        <v>13636</v>
      </c>
      <c r="C895" s="36" t="s">
        <v>13636</v>
      </c>
      <c r="D895" s="36" t="s">
        <v>13636</v>
      </c>
      <c r="E895" s="36" t="s">
        <v>13636</v>
      </c>
      <c r="F895" s="36" t="s">
        <v>13636</v>
      </c>
      <c r="G895" s="36" t="s">
        <v>13636</v>
      </c>
      <c r="H895" s="36" t="s">
        <v>13636</v>
      </c>
      <c r="I895" s="36" t="s">
        <v>13636</v>
      </c>
      <c r="J895" s="36" t="s">
        <v>13636</v>
      </c>
      <c r="K895" s="36" t="s">
        <v>13636</v>
      </c>
      <c r="L895" s="36" t="s">
        <v>13636</v>
      </c>
      <c r="M895" s="36" t="s">
        <v>13636</v>
      </c>
      <c r="N895" s="36" t="s">
        <v>13636</v>
      </c>
      <c r="O895" s="36" t="s">
        <v>13636</v>
      </c>
      <c r="P895" s="36" t="s">
        <v>13636</v>
      </c>
    </row>
    <row r="896" spans="1:16">
      <c r="A896" s="139">
        <v>895</v>
      </c>
      <c r="B896" s="36" t="s">
        <v>13637</v>
      </c>
      <c r="C896" s="36" t="s">
        <v>13637</v>
      </c>
      <c r="D896" s="36" t="s">
        <v>13637</v>
      </c>
      <c r="E896" s="36" t="s">
        <v>13637</v>
      </c>
      <c r="F896" s="36" t="s">
        <v>13637</v>
      </c>
      <c r="G896" s="36" t="s">
        <v>13637</v>
      </c>
      <c r="H896" s="36" t="s">
        <v>13637</v>
      </c>
      <c r="I896" s="36" t="s">
        <v>13637</v>
      </c>
      <c r="J896" s="36" t="s">
        <v>13637</v>
      </c>
      <c r="K896" s="36" t="s">
        <v>13637</v>
      </c>
      <c r="L896" s="36" t="s">
        <v>13637</v>
      </c>
      <c r="M896" s="36" t="s">
        <v>13637</v>
      </c>
      <c r="N896" s="36" t="s">
        <v>13637</v>
      </c>
      <c r="O896" s="36" t="s">
        <v>13637</v>
      </c>
      <c r="P896" s="36" t="s">
        <v>13637</v>
      </c>
    </row>
    <row r="897" spans="1:16">
      <c r="A897" s="139">
        <v>896</v>
      </c>
      <c r="B897" s="36" t="s">
        <v>13638</v>
      </c>
      <c r="C897" s="36" t="s">
        <v>13639</v>
      </c>
      <c r="D897" s="36" t="s">
        <v>13640</v>
      </c>
      <c r="E897" s="36" t="s">
        <v>13641</v>
      </c>
      <c r="F897" s="36" t="s">
        <v>13642</v>
      </c>
      <c r="G897" s="36" t="s">
        <v>13643</v>
      </c>
      <c r="H897" s="36" t="s">
        <v>13644</v>
      </c>
      <c r="I897" s="36" t="s">
        <v>13645</v>
      </c>
      <c r="J897" s="36" t="s">
        <v>13646</v>
      </c>
      <c r="K897" s="36" t="s">
        <v>13647</v>
      </c>
      <c r="L897" s="36" t="s">
        <v>13648</v>
      </c>
      <c r="M897" s="36" t="s">
        <v>13649</v>
      </c>
      <c r="N897" s="36" t="s">
        <v>13650</v>
      </c>
      <c r="O897" s="36" t="s">
        <v>13647</v>
      </c>
      <c r="P897" s="36" t="s">
        <v>13638</v>
      </c>
    </row>
    <row r="898" spans="1:16">
      <c r="A898" s="139">
        <v>897</v>
      </c>
      <c r="B898" s="36" t="s">
        <v>13651</v>
      </c>
      <c r="C898" s="36" t="s">
        <v>13652</v>
      </c>
      <c r="D898" s="36" t="s">
        <v>13653</v>
      </c>
      <c r="E898" s="36" t="s">
        <v>13654</v>
      </c>
      <c r="F898" s="36" t="s">
        <v>13655</v>
      </c>
      <c r="G898" s="36" t="s">
        <v>13656</v>
      </c>
      <c r="H898" s="36" t="s">
        <v>13657</v>
      </c>
      <c r="I898" s="36" t="s">
        <v>13658</v>
      </c>
      <c r="J898" s="36" t="s">
        <v>13659</v>
      </c>
      <c r="K898" s="36" t="s">
        <v>13660</v>
      </c>
      <c r="L898" s="36" t="s">
        <v>13661</v>
      </c>
      <c r="M898" s="36" t="s">
        <v>13662</v>
      </c>
      <c r="N898" s="36" t="s">
        <v>13663</v>
      </c>
      <c r="O898" s="36" t="s">
        <v>13664</v>
      </c>
      <c r="P898" s="36" t="s">
        <v>13651</v>
      </c>
    </row>
    <row r="899" spans="1:16">
      <c r="A899" s="139">
        <v>898</v>
      </c>
      <c r="B899" s="36" t="s">
        <v>13665</v>
      </c>
      <c r="C899" s="36" t="s">
        <v>13666</v>
      </c>
      <c r="D899" s="36" t="s">
        <v>13653</v>
      </c>
      <c r="E899" s="36" t="s">
        <v>13667</v>
      </c>
      <c r="F899" s="36" t="s">
        <v>13668</v>
      </c>
      <c r="G899" s="36" t="s">
        <v>13669</v>
      </c>
      <c r="H899" s="36" t="s">
        <v>13670</v>
      </c>
      <c r="I899" s="36" t="s">
        <v>13671</v>
      </c>
      <c r="J899" s="36" t="s">
        <v>13672</v>
      </c>
      <c r="K899" s="36" t="s">
        <v>13673</v>
      </c>
      <c r="L899" s="36" t="s">
        <v>13674</v>
      </c>
      <c r="M899" s="36" t="s">
        <v>13675</v>
      </c>
      <c r="N899" s="36" t="s">
        <v>13676</v>
      </c>
      <c r="O899" s="36" t="s">
        <v>13677</v>
      </c>
      <c r="P899" s="36" t="s">
        <v>13665</v>
      </c>
    </row>
    <row r="900" spans="1:16">
      <c r="A900" s="139">
        <v>899</v>
      </c>
      <c r="B900" s="36" t="s">
        <v>13678</v>
      </c>
      <c r="C900" s="36" t="s">
        <v>13679</v>
      </c>
      <c r="D900" s="36" t="s">
        <v>13680</v>
      </c>
      <c r="E900" s="36" t="s">
        <v>13681</v>
      </c>
      <c r="F900" s="36" t="s">
        <v>13682</v>
      </c>
      <c r="G900" s="36" t="s">
        <v>13683</v>
      </c>
      <c r="H900" s="36" t="s">
        <v>13684</v>
      </c>
      <c r="I900" s="36" t="s">
        <v>13685</v>
      </c>
      <c r="J900" s="36" t="s">
        <v>13686</v>
      </c>
      <c r="K900" s="36" t="s">
        <v>13687</v>
      </c>
      <c r="L900" s="36" t="s">
        <v>13688</v>
      </c>
      <c r="M900" s="36" t="s">
        <v>13689</v>
      </c>
      <c r="N900" s="36" t="s">
        <v>13690</v>
      </c>
      <c r="O900" s="36" t="s">
        <v>13691</v>
      </c>
      <c r="P900" s="36" t="s">
        <v>13678</v>
      </c>
    </row>
    <row r="901" spans="1:16">
      <c r="A901" s="139">
        <v>900</v>
      </c>
      <c r="B901" s="36" t="s">
        <v>13692</v>
      </c>
      <c r="C901" s="36" t="s">
        <v>13693</v>
      </c>
      <c r="D901" s="36" t="s">
        <v>13694</v>
      </c>
      <c r="E901" s="36" t="s">
        <v>13695</v>
      </c>
      <c r="F901" s="36" t="s">
        <v>13696</v>
      </c>
      <c r="G901" s="36" t="s">
        <v>13697</v>
      </c>
      <c r="H901" s="36" t="s">
        <v>13698</v>
      </c>
      <c r="I901" s="36" t="s">
        <v>13699</v>
      </c>
      <c r="J901" s="36" t="s">
        <v>13700</v>
      </c>
      <c r="K901" s="36" t="s">
        <v>13701</v>
      </c>
      <c r="L901" s="36" t="s">
        <v>13702</v>
      </c>
      <c r="M901" s="36" t="s">
        <v>13703</v>
      </c>
      <c r="N901" s="36" t="s">
        <v>13704</v>
      </c>
      <c r="O901" s="36" t="s">
        <v>13705</v>
      </c>
      <c r="P901" s="36" t="s">
        <v>13692</v>
      </c>
    </row>
    <row r="902" spans="1:16">
      <c r="A902" s="139">
        <v>901</v>
      </c>
      <c r="B902" s="36" t="s">
        <v>13706</v>
      </c>
      <c r="C902" s="36" t="s">
        <v>13707</v>
      </c>
      <c r="D902" s="36" t="s">
        <v>13708</v>
      </c>
      <c r="E902" s="36" t="s">
        <v>13709</v>
      </c>
      <c r="F902" s="36" t="s">
        <v>13706</v>
      </c>
      <c r="G902" s="36" t="s">
        <v>13706</v>
      </c>
      <c r="H902" s="36" t="s">
        <v>13706</v>
      </c>
      <c r="I902" s="36" t="s">
        <v>13710</v>
      </c>
      <c r="J902" s="36" t="s">
        <v>13711</v>
      </c>
      <c r="K902" s="36" t="s">
        <v>13712</v>
      </c>
      <c r="L902" s="36" t="s">
        <v>13706</v>
      </c>
      <c r="M902" s="36" t="s">
        <v>13706</v>
      </c>
      <c r="N902" s="36" t="s">
        <v>13706</v>
      </c>
      <c r="O902" s="36" t="s">
        <v>13706</v>
      </c>
      <c r="P902" s="36" t="s">
        <v>13706</v>
      </c>
    </row>
    <row r="903" spans="1:16">
      <c r="A903" s="139">
        <v>902</v>
      </c>
      <c r="B903" s="36" t="s">
        <v>13713</v>
      </c>
      <c r="C903" s="36" t="s">
        <v>13714</v>
      </c>
      <c r="D903" s="36" t="s">
        <v>13715</v>
      </c>
      <c r="E903" s="36" t="s">
        <v>13716</v>
      </c>
      <c r="F903" s="36" t="s">
        <v>13717</v>
      </c>
      <c r="G903" s="36" t="s">
        <v>13718</v>
      </c>
      <c r="H903" s="36" t="s">
        <v>13719</v>
      </c>
      <c r="I903" s="36" t="s">
        <v>13720</v>
      </c>
      <c r="J903" s="36" t="s">
        <v>13721</v>
      </c>
      <c r="K903" s="36" t="s">
        <v>13722</v>
      </c>
      <c r="L903" s="36" t="s">
        <v>13723</v>
      </c>
      <c r="M903" s="36" t="s">
        <v>13724</v>
      </c>
      <c r="N903" s="36" t="s">
        <v>13725</v>
      </c>
      <c r="O903" s="36" t="s">
        <v>13726</v>
      </c>
      <c r="P903" s="36" t="s">
        <v>13713</v>
      </c>
    </row>
    <row r="904" spans="1:16">
      <c r="A904" s="139">
        <v>903</v>
      </c>
      <c r="B904" s="36" t="s">
        <v>13727</v>
      </c>
      <c r="C904" s="36" t="s">
        <v>13727</v>
      </c>
      <c r="D904" s="36" t="s">
        <v>13727</v>
      </c>
      <c r="E904" s="36" t="s">
        <v>13728</v>
      </c>
      <c r="F904" s="36" t="s">
        <v>13729</v>
      </c>
      <c r="G904" s="36" t="s">
        <v>13730</v>
      </c>
      <c r="H904" s="36" t="s">
        <v>13731</v>
      </c>
      <c r="I904" s="36" t="s">
        <v>13732</v>
      </c>
      <c r="J904" s="36" t="s">
        <v>13733</v>
      </c>
      <c r="K904" s="36" t="s">
        <v>13734</v>
      </c>
      <c r="L904" s="36" t="s">
        <v>13735</v>
      </c>
      <c r="M904" s="36" t="s">
        <v>13736</v>
      </c>
      <c r="N904" s="36" t="s">
        <v>13735</v>
      </c>
      <c r="O904" s="36" t="s">
        <v>13737</v>
      </c>
      <c r="P904" s="36" t="s">
        <v>13727</v>
      </c>
    </row>
    <row r="905" spans="1:16">
      <c r="A905" s="139">
        <v>904</v>
      </c>
      <c r="B905" s="36" t="s">
        <v>13738</v>
      </c>
      <c r="C905" s="36" t="s">
        <v>13739</v>
      </c>
      <c r="D905" s="36" t="s">
        <v>13740</v>
      </c>
      <c r="E905" s="36" t="s">
        <v>13741</v>
      </c>
      <c r="F905" s="36" t="s">
        <v>13742</v>
      </c>
      <c r="G905" s="36" t="s">
        <v>13743</v>
      </c>
      <c r="H905" s="36" t="s">
        <v>13744</v>
      </c>
      <c r="I905" s="36" t="s">
        <v>13742</v>
      </c>
      <c r="J905" s="36" t="s">
        <v>13745</v>
      </c>
      <c r="K905" s="36" t="s">
        <v>13746</v>
      </c>
      <c r="L905" s="36" t="s">
        <v>13747</v>
      </c>
      <c r="M905" s="36" t="s">
        <v>13748</v>
      </c>
      <c r="N905" s="36" t="s">
        <v>13749</v>
      </c>
      <c r="O905" s="36" t="s">
        <v>13750</v>
      </c>
      <c r="P905" s="36" t="s">
        <v>13738</v>
      </c>
    </row>
    <row r="906" spans="1:16">
      <c r="A906" s="139">
        <v>905</v>
      </c>
      <c r="B906" s="36" t="s">
        <v>13751</v>
      </c>
      <c r="C906" s="36" t="s">
        <v>13752</v>
      </c>
      <c r="D906" s="36" t="s">
        <v>13753</v>
      </c>
      <c r="E906" s="36" t="s">
        <v>13754</v>
      </c>
      <c r="F906" s="36" t="s">
        <v>13589</v>
      </c>
      <c r="G906" s="36" t="s">
        <v>13755</v>
      </c>
      <c r="H906" s="36" t="s">
        <v>13756</v>
      </c>
      <c r="I906" s="36" t="s">
        <v>13757</v>
      </c>
      <c r="J906" s="36" t="s">
        <v>13758</v>
      </c>
      <c r="K906" s="36" t="s">
        <v>13759</v>
      </c>
      <c r="L906" s="36" t="s">
        <v>13760</v>
      </c>
      <c r="M906" s="36" t="s">
        <v>13761</v>
      </c>
      <c r="N906" s="36" t="s">
        <v>13762</v>
      </c>
      <c r="O906" s="36" t="s">
        <v>13763</v>
      </c>
      <c r="P906" s="36" t="s">
        <v>13751</v>
      </c>
    </row>
    <row r="907" spans="1:16">
      <c r="A907" s="139">
        <v>906</v>
      </c>
      <c r="B907" s="36" t="s">
        <v>13764</v>
      </c>
      <c r="C907" s="36" t="s">
        <v>13765</v>
      </c>
      <c r="D907" s="36" t="s">
        <v>13766</v>
      </c>
      <c r="E907" s="36" t="s">
        <v>13767</v>
      </c>
      <c r="F907" s="36" t="s">
        <v>13768</v>
      </c>
      <c r="G907" s="36" t="s">
        <v>13769</v>
      </c>
      <c r="H907" s="36" t="s">
        <v>13770</v>
      </c>
      <c r="I907" s="36" t="s">
        <v>13771</v>
      </c>
      <c r="J907" s="36" t="s">
        <v>13772</v>
      </c>
      <c r="K907" s="36" t="s">
        <v>13773</v>
      </c>
      <c r="L907" s="36" t="s">
        <v>13774</v>
      </c>
      <c r="M907" s="36" t="s">
        <v>13775</v>
      </c>
      <c r="N907" s="36" t="s">
        <v>13776</v>
      </c>
      <c r="O907" s="36" t="s">
        <v>13777</v>
      </c>
      <c r="P907" s="36" t="s">
        <v>13764</v>
      </c>
    </row>
    <row r="908" spans="1:16">
      <c r="A908" s="139">
        <v>907</v>
      </c>
      <c r="B908" s="36" t="s">
        <v>13778</v>
      </c>
      <c r="C908" s="36" t="s">
        <v>13779</v>
      </c>
      <c r="D908" s="36" t="s">
        <v>13780</v>
      </c>
      <c r="E908" s="36" t="s">
        <v>13781</v>
      </c>
      <c r="F908" s="36" t="s">
        <v>13782</v>
      </c>
      <c r="G908" s="36" t="s">
        <v>13783</v>
      </c>
      <c r="H908" s="36" t="s">
        <v>13784</v>
      </c>
      <c r="I908" s="36" t="s">
        <v>13785</v>
      </c>
      <c r="J908" s="36" t="s">
        <v>13786</v>
      </c>
      <c r="K908" s="36" t="s">
        <v>13787</v>
      </c>
      <c r="L908" s="36" t="s">
        <v>13788</v>
      </c>
      <c r="M908" s="36" t="s">
        <v>13789</v>
      </c>
      <c r="N908" s="36" t="s">
        <v>13790</v>
      </c>
      <c r="O908" s="36" t="s">
        <v>13791</v>
      </c>
      <c r="P908" s="36" t="s">
        <v>13778</v>
      </c>
    </row>
    <row r="909" spans="1:16">
      <c r="A909" s="139">
        <v>908</v>
      </c>
      <c r="B909" s="36" t="s">
        <v>13792</v>
      </c>
      <c r="C909" s="36" t="s">
        <v>13793</v>
      </c>
      <c r="D909" s="36" t="s">
        <v>13794</v>
      </c>
      <c r="E909" s="36" t="s">
        <v>13795</v>
      </c>
      <c r="F909" s="36" t="s">
        <v>13796</v>
      </c>
      <c r="G909" s="36" t="s">
        <v>13797</v>
      </c>
      <c r="H909" s="36" t="s">
        <v>13798</v>
      </c>
      <c r="I909" s="36" t="s">
        <v>13799</v>
      </c>
      <c r="J909" s="36" t="s">
        <v>13800</v>
      </c>
      <c r="K909" s="36" t="s">
        <v>13801</v>
      </c>
      <c r="L909" s="36" t="s">
        <v>13802</v>
      </c>
      <c r="M909" s="36" t="s">
        <v>13803</v>
      </c>
      <c r="N909" s="36" t="s">
        <v>13804</v>
      </c>
      <c r="O909" s="36" t="s">
        <v>13805</v>
      </c>
      <c r="P909" s="36" t="s">
        <v>13792</v>
      </c>
    </row>
    <row r="910" spans="1:16">
      <c r="A910" s="139">
        <v>909</v>
      </c>
      <c r="B910" s="36" t="s">
        <v>13806</v>
      </c>
      <c r="C910" s="36" t="s">
        <v>13807</v>
      </c>
      <c r="D910" s="36" t="s">
        <v>13808</v>
      </c>
      <c r="E910" s="36" t="s">
        <v>13809</v>
      </c>
      <c r="F910" s="36" t="s">
        <v>13810</v>
      </c>
      <c r="G910" s="36" t="s">
        <v>13811</v>
      </c>
      <c r="H910" s="36" t="s">
        <v>13812</v>
      </c>
      <c r="I910" s="36" t="s">
        <v>13813</v>
      </c>
      <c r="J910" s="36" t="s">
        <v>13814</v>
      </c>
      <c r="K910" s="36" t="s">
        <v>13815</v>
      </c>
      <c r="L910" s="36" t="s">
        <v>13816</v>
      </c>
      <c r="M910" s="36" t="s">
        <v>13817</v>
      </c>
      <c r="N910" s="36" t="s">
        <v>13818</v>
      </c>
      <c r="O910" s="36" t="s">
        <v>13819</v>
      </c>
      <c r="P910" s="36" t="s">
        <v>13806</v>
      </c>
    </row>
    <row r="911" spans="1:16">
      <c r="A911" s="139">
        <v>910</v>
      </c>
      <c r="B911" s="36" t="s">
        <v>13820</v>
      </c>
      <c r="C911" s="36" t="s">
        <v>13821</v>
      </c>
      <c r="D911" s="36" t="s">
        <v>13822</v>
      </c>
      <c r="E911" s="36" t="s">
        <v>13823</v>
      </c>
      <c r="F911" s="36" t="s">
        <v>13824</v>
      </c>
      <c r="G911" s="36" t="s">
        <v>13825</v>
      </c>
      <c r="H911" s="36" t="s">
        <v>13826</v>
      </c>
      <c r="I911" s="36" t="s">
        <v>13827</v>
      </c>
      <c r="J911" s="36" t="s">
        <v>13828</v>
      </c>
      <c r="K911" s="36" t="s">
        <v>13829</v>
      </c>
      <c r="L911" s="36" t="s">
        <v>13830</v>
      </c>
      <c r="M911" s="36" t="s">
        <v>13831</v>
      </c>
      <c r="N911" s="36" t="s">
        <v>13832</v>
      </c>
      <c r="O911" s="36" t="s">
        <v>13833</v>
      </c>
      <c r="P911" s="36" t="s">
        <v>13820</v>
      </c>
    </row>
    <row r="912" spans="1:16">
      <c r="A912" s="139">
        <v>911</v>
      </c>
      <c r="B912" s="36" t="s">
        <v>13834</v>
      </c>
      <c r="C912" s="36" t="s">
        <v>13835</v>
      </c>
      <c r="D912" s="36" t="s">
        <v>13836</v>
      </c>
      <c r="E912" s="36" t="s">
        <v>13837</v>
      </c>
      <c r="F912" s="36" t="s">
        <v>13838</v>
      </c>
      <c r="G912" s="36" t="s">
        <v>13839</v>
      </c>
      <c r="H912" s="36" t="s">
        <v>13840</v>
      </c>
      <c r="I912" s="36" t="s">
        <v>13841</v>
      </c>
      <c r="J912" s="36" t="s">
        <v>13842</v>
      </c>
      <c r="K912" s="36" t="s">
        <v>13843</v>
      </c>
      <c r="L912" s="36" t="s">
        <v>13844</v>
      </c>
      <c r="M912" s="36" t="s">
        <v>13845</v>
      </c>
      <c r="N912" s="36" t="s">
        <v>13846</v>
      </c>
      <c r="O912" s="36" t="s">
        <v>13847</v>
      </c>
      <c r="P912" s="36" t="s">
        <v>13834</v>
      </c>
    </row>
    <row r="913" spans="1:16">
      <c r="A913" s="139">
        <v>912</v>
      </c>
      <c r="B913" s="36" t="s">
        <v>13848</v>
      </c>
      <c r="C913" s="36" t="s">
        <v>13849</v>
      </c>
      <c r="D913" s="36" t="s">
        <v>13850</v>
      </c>
      <c r="E913" s="36" t="s">
        <v>13851</v>
      </c>
      <c r="F913" s="36" t="s">
        <v>13852</v>
      </c>
      <c r="G913" s="36" t="s">
        <v>13853</v>
      </c>
      <c r="H913" s="36" t="s">
        <v>13854</v>
      </c>
      <c r="I913" s="36" t="s">
        <v>13855</v>
      </c>
      <c r="J913" s="36" t="s">
        <v>13856</v>
      </c>
      <c r="K913" s="36" t="s">
        <v>13857</v>
      </c>
      <c r="L913" s="36" t="s">
        <v>13858</v>
      </c>
      <c r="M913" s="36" t="s">
        <v>13859</v>
      </c>
      <c r="N913" s="36" t="s">
        <v>13860</v>
      </c>
      <c r="O913" s="36" t="s">
        <v>13861</v>
      </c>
      <c r="P913" s="36" t="s">
        <v>13848</v>
      </c>
    </row>
    <row r="914" spans="1:16">
      <c r="A914" s="139">
        <v>913</v>
      </c>
      <c r="B914" s="36" t="s">
        <v>13862</v>
      </c>
      <c r="C914" s="36" t="s">
        <v>13863</v>
      </c>
      <c r="D914" s="36" t="s">
        <v>13864</v>
      </c>
      <c r="E914" s="36" t="s">
        <v>13865</v>
      </c>
      <c r="F914" s="36" t="s">
        <v>13866</v>
      </c>
      <c r="G914" s="36" t="s">
        <v>13867</v>
      </c>
      <c r="H914" s="36" t="s">
        <v>13868</v>
      </c>
      <c r="I914" s="36" t="s">
        <v>13869</v>
      </c>
      <c r="J914" s="36" t="s">
        <v>13870</v>
      </c>
      <c r="K914" s="36" t="s">
        <v>13871</v>
      </c>
      <c r="L914" s="36" t="s">
        <v>13872</v>
      </c>
      <c r="M914" s="36" t="s">
        <v>13873</v>
      </c>
      <c r="N914" s="36" t="s">
        <v>13874</v>
      </c>
      <c r="O914" s="36" t="s">
        <v>13875</v>
      </c>
      <c r="P914" s="36" t="s">
        <v>13862</v>
      </c>
    </row>
    <row r="915" spans="1:16">
      <c r="A915" s="139">
        <v>914</v>
      </c>
      <c r="B915" s="36" t="s">
        <v>13876</v>
      </c>
      <c r="C915" s="36" t="s">
        <v>13877</v>
      </c>
      <c r="D915" s="36" t="s">
        <v>13878</v>
      </c>
      <c r="E915" s="36" t="s">
        <v>13879</v>
      </c>
      <c r="F915" s="36" t="s">
        <v>13880</v>
      </c>
      <c r="G915" s="36" t="s">
        <v>13881</v>
      </c>
      <c r="H915" s="36" t="s">
        <v>13882</v>
      </c>
      <c r="I915" s="36" t="s">
        <v>13883</v>
      </c>
      <c r="J915" s="36" t="s">
        <v>13884</v>
      </c>
      <c r="K915" s="36" t="s">
        <v>13885</v>
      </c>
      <c r="L915" s="36" t="s">
        <v>13886</v>
      </c>
      <c r="M915" s="36" t="s">
        <v>13887</v>
      </c>
      <c r="N915" s="36" t="s">
        <v>13888</v>
      </c>
      <c r="O915" s="36" t="s">
        <v>13889</v>
      </c>
      <c r="P915" s="36" t="s">
        <v>13876</v>
      </c>
    </row>
    <row r="916" spans="1:16">
      <c r="A916" s="139">
        <v>915</v>
      </c>
      <c r="B916" s="36" t="s">
        <v>13890</v>
      </c>
      <c r="C916" s="36" t="s">
        <v>13891</v>
      </c>
      <c r="D916" s="36" t="s">
        <v>13892</v>
      </c>
      <c r="E916" s="36" t="s">
        <v>13893</v>
      </c>
      <c r="F916" s="36" t="s">
        <v>13880</v>
      </c>
      <c r="G916" s="36" t="s">
        <v>13894</v>
      </c>
      <c r="H916" s="36" t="s">
        <v>13895</v>
      </c>
      <c r="I916" s="36" t="s">
        <v>13896</v>
      </c>
      <c r="J916" s="36" t="s">
        <v>13897</v>
      </c>
      <c r="K916" s="36" t="s">
        <v>13898</v>
      </c>
      <c r="L916" s="36" t="s">
        <v>13899</v>
      </c>
      <c r="M916" s="36" t="s">
        <v>13900</v>
      </c>
      <c r="N916" s="36" t="s">
        <v>13901</v>
      </c>
      <c r="O916" s="36" t="s">
        <v>13902</v>
      </c>
      <c r="P916" s="36" t="s">
        <v>13890</v>
      </c>
    </row>
    <row r="917" spans="1:16">
      <c r="A917" s="139">
        <v>916</v>
      </c>
      <c r="B917" s="36" t="s">
        <v>13903</v>
      </c>
      <c r="C917" s="36" t="s">
        <v>13904</v>
      </c>
      <c r="D917" s="36" t="s">
        <v>13905</v>
      </c>
      <c r="E917" s="36" t="s">
        <v>13906</v>
      </c>
      <c r="F917" s="36" t="s">
        <v>13907</v>
      </c>
      <c r="G917" s="36" t="s">
        <v>13908</v>
      </c>
      <c r="H917" s="36" t="s">
        <v>13909</v>
      </c>
      <c r="I917" s="36" t="s">
        <v>13910</v>
      </c>
      <c r="J917" s="36" t="s">
        <v>13911</v>
      </c>
      <c r="K917" s="36" t="s">
        <v>13912</v>
      </c>
      <c r="L917" s="36" t="s">
        <v>13913</v>
      </c>
      <c r="M917" s="36" t="s">
        <v>13914</v>
      </c>
      <c r="N917" s="36" t="s">
        <v>13915</v>
      </c>
      <c r="O917" s="36" t="s">
        <v>13916</v>
      </c>
      <c r="P917" s="36" t="s">
        <v>13903</v>
      </c>
    </row>
    <row r="918" spans="1:16">
      <c r="A918" s="139">
        <v>917</v>
      </c>
      <c r="B918" s="36" t="s">
        <v>13917</v>
      </c>
      <c r="C918" s="36" t="s">
        <v>6528</v>
      </c>
      <c r="D918" s="36" t="s">
        <v>12038</v>
      </c>
      <c r="E918" s="36" t="s">
        <v>6337</v>
      </c>
      <c r="F918" s="36" t="s">
        <v>6313</v>
      </c>
      <c r="G918" s="36" t="s">
        <v>13918</v>
      </c>
      <c r="H918" s="36" t="s">
        <v>13919</v>
      </c>
      <c r="I918" s="36" t="s">
        <v>13920</v>
      </c>
      <c r="J918" s="36" t="s">
        <v>13921</v>
      </c>
      <c r="K918" s="36" t="s">
        <v>13922</v>
      </c>
      <c r="L918" s="36" t="s">
        <v>13923</v>
      </c>
      <c r="M918" s="36" t="s">
        <v>13924</v>
      </c>
      <c r="N918" s="36" t="s">
        <v>13925</v>
      </c>
      <c r="O918" s="36" t="s">
        <v>13926</v>
      </c>
      <c r="P918" s="36" t="s">
        <v>13917</v>
      </c>
    </row>
    <row r="919" spans="1:16">
      <c r="A919" s="139">
        <v>918</v>
      </c>
      <c r="B919" s="36" t="s">
        <v>13927</v>
      </c>
      <c r="C919" s="36" t="s">
        <v>6528</v>
      </c>
      <c r="D919" s="36" t="s">
        <v>12038</v>
      </c>
      <c r="E919" s="36" t="s">
        <v>6337</v>
      </c>
      <c r="F919" s="36" t="s">
        <v>6313</v>
      </c>
      <c r="G919" s="36" t="s">
        <v>13928</v>
      </c>
      <c r="H919" s="36" t="s">
        <v>13919</v>
      </c>
      <c r="I919" s="36" t="s">
        <v>13929</v>
      </c>
      <c r="J919" s="36" t="s">
        <v>13930</v>
      </c>
      <c r="K919" s="36" t="s">
        <v>13922</v>
      </c>
      <c r="L919" s="36" t="s">
        <v>13931</v>
      </c>
      <c r="M919" s="36" t="s">
        <v>13924</v>
      </c>
      <c r="N919" s="36" t="s">
        <v>13932</v>
      </c>
      <c r="O919" s="36" t="s">
        <v>13933</v>
      </c>
      <c r="P919" s="36" t="s">
        <v>13927</v>
      </c>
    </row>
    <row r="920" spans="1:16">
      <c r="A920" s="139">
        <v>919</v>
      </c>
      <c r="B920" s="36" t="s">
        <v>13934</v>
      </c>
      <c r="C920" s="36" t="s">
        <v>13935</v>
      </c>
      <c r="D920" s="36" t="s">
        <v>13936</v>
      </c>
      <c r="E920" s="36" t="s">
        <v>13937</v>
      </c>
      <c r="F920" s="36" t="s">
        <v>5027</v>
      </c>
      <c r="G920" s="36" t="s">
        <v>13938</v>
      </c>
      <c r="H920" s="36" t="s">
        <v>13939</v>
      </c>
      <c r="I920" s="36" t="s">
        <v>13940</v>
      </c>
      <c r="J920" s="36" t="s">
        <v>13941</v>
      </c>
      <c r="K920" s="36" t="s">
        <v>13942</v>
      </c>
      <c r="L920" s="36" t="s">
        <v>13943</v>
      </c>
      <c r="M920" s="36" t="s">
        <v>13944</v>
      </c>
      <c r="N920" s="36" t="s">
        <v>13945</v>
      </c>
      <c r="O920" s="36" t="s">
        <v>13946</v>
      </c>
      <c r="P920" s="36" t="s">
        <v>13934</v>
      </c>
    </row>
    <row r="921" spans="1:16">
      <c r="A921" s="139">
        <v>920</v>
      </c>
      <c r="B921" s="36" t="s">
        <v>13947</v>
      </c>
      <c r="C921" s="36" t="s">
        <v>13948</v>
      </c>
      <c r="D921" s="36" t="s">
        <v>13949</v>
      </c>
      <c r="E921" s="36" t="s">
        <v>13950</v>
      </c>
      <c r="F921" s="36" t="s">
        <v>13951</v>
      </c>
      <c r="G921" s="36" t="s">
        <v>13952</v>
      </c>
      <c r="H921" s="36" t="s">
        <v>13953</v>
      </c>
      <c r="I921" s="36" t="s">
        <v>13954</v>
      </c>
      <c r="J921" s="36" t="s">
        <v>13955</v>
      </c>
      <c r="K921" s="36" t="s">
        <v>13956</v>
      </c>
      <c r="L921" s="36" t="s">
        <v>13957</v>
      </c>
      <c r="M921" s="36" t="s">
        <v>11950</v>
      </c>
      <c r="N921" s="36" t="s">
        <v>13958</v>
      </c>
      <c r="O921" s="36" t="s">
        <v>13959</v>
      </c>
      <c r="P921" s="36" t="s">
        <v>13947</v>
      </c>
    </row>
    <row r="922" spans="1:16">
      <c r="A922" s="139">
        <v>921</v>
      </c>
      <c r="B922" s="36" t="s">
        <v>13960</v>
      </c>
      <c r="C922" s="36" t="s">
        <v>13961</v>
      </c>
      <c r="D922" s="36" t="s">
        <v>13962</v>
      </c>
      <c r="E922" s="36" t="s">
        <v>13963</v>
      </c>
      <c r="F922" s="36" t="s">
        <v>13964</v>
      </c>
      <c r="G922" s="36" t="s">
        <v>13965</v>
      </c>
      <c r="H922" s="36" t="s">
        <v>13966</v>
      </c>
      <c r="I922" s="36" t="s">
        <v>13967</v>
      </c>
      <c r="J922" s="36" t="s">
        <v>13968</v>
      </c>
      <c r="K922" s="36" t="s">
        <v>13969</v>
      </c>
      <c r="L922" s="36" t="s">
        <v>13970</v>
      </c>
      <c r="M922" s="36" t="s">
        <v>13971</v>
      </c>
      <c r="N922" s="36" t="s">
        <v>13972</v>
      </c>
      <c r="O922" s="36" t="s">
        <v>13973</v>
      </c>
      <c r="P922" s="36" t="s">
        <v>13960</v>
      </c>
    </row>
    <row r="923" spans="1:16">
      <c r="A923" s="139">
        <v>922</v>
      </c>
      <c r="B923" s="36" t="s">
        <v>13974</v>
      </c>
      <c r="C923" s="36" t="s">
        <v>13975</v>
      </c>
      <c r="D923" s="36" t="s">
        <v>13976</v>
      </c>
      <c r="E923" s="36" t="s">
        <v>13977</v>
      </c>
      <c r="F923" s="36" t="s">
        <v>13978</v>
      </c>
      <c r="G923" s="36" t="s">
        <v>13979</v>
      </c>
      <c r="H923" s="36" t="s">
        <v>13980</v>
      </c>
      <c r="I923" s="36" t="s">
        <v>13981</v>
      </c>
      <c r="J923" s="36" t="s">
        <v>13982</v>
      </c>
      <c r="K923" s="36" t="s">
        <v>13983</v>
      </c>
      <c r="L923" s="36" t="s">
        <v>13984</v>
      </c>
      <c r="M923" s="36" t="s">
        <v>13985</v>
      </c>
      <c r="N923" s="36" t="s">
        <v>13986</v>
      </c>
      <c r="O923" s="36" t="s">
        <v>13987</v>
      </c>
      <c r="P923" s="36" t="s">
        <v>13974</v>
      </c>
    </row>
    <row r="924" spans="1:16">
      <c r="A924" s="139">
        <v>923</v>
      </c>
      <c r="B924" s="36" t="s">
        <v>13988</v>
      </c>
      <c r="C924" s="36" t="s">
        <v>13989</v>
      </c>
      <c r="D924" s="36" t="s">
        <v>13990</v>
      </c>
      <c r="E924" s="36" t="s">
        <v>13991</v>
      </c>
      <c r="F924" s="36" t="s">
        <v>13992</v>
      </c>
      <c r="G924" s="36" t="s">
        <v>13993</v>
      </c>
      <c r="H924" s="36" t="s">
        <v>13994</v>
      </c>
      <c r="I924" s="36" t="s">
        <v>13995</v>
      </c>
      <c r="J924" s="36" t="s">
        <v>13996</v>
      </c>
      <c r="K924" s="36" t="s">
        <v>13997</v>
      </c>
      <c r="L924" s="36" t="s">
        <v>13998</v>
      </c>
      <c r="M924" s="36" t="s">
        <v>13999</v>
      </c>
      <c r="N924" s="36" t="s">
        <v>13996</v>
      </c>
      <c r="O924" s="36" t="s">
        <v>14000</v>
      </c>
      <c r="P924" s="36" t="s">
        <v>13988</v>
      </c>
    </row>
    <row r="925" spans="1:16">
      <c r="A925" s="139">
        <v>924</v>
      </c>
      <c r="B925" s="36" t="s">
        <v>14001</v>
      </c>
      <c r="C925" s="36" t="s">
        <v>14002</v>
      </c>
      <c r="D925" s="36" t="s">
        <v>14003</v>
      </c>
      <c r="E925" s="36" t="s">
        <v>14004</v>
      </c>
      <c r="F925" s="36" t="s">
        <v>14005</v>
      </c>
      <c r="G925" s="36" t="s">
        <v>14006</v>
      </c>
      <c r="H925" s="36" t="s">
        <v>14007</v>
      </c>
      <c r="I925" s="36" t="s">
        <v>14008</v>
      </c>
      <c r="J925" s="36" t="s">
        <v>14009</v>
      </c>
      <c r="K925" s="36" t="s">
        <v>14010</v>
      </c>
      <c r="L925" s="36" t="s">
        <v>14011</v>
      </c>
      <c r="M925" s="36" t="s">
        <v>14012</v>
      </c>
      <c r="N925" s="36" t="s">
        <v>14013</v>
      </c>
      <c r="O925" s="36" t="s">
        <v>14014</v>
      </c>
      <c r="P925" s="36" t="s">
        <v>14001</v>
      </c>
    </row>
    <row r="926" spans="1:16">
      <c r="A926" s="139">
        <v>925</v>
      </c>
      <c r="B926" s="36" t="s">
        <v>14015</v>
      </c>
      <c r="C926" s="36" t="s">
        <v>14016</v>
      </c>
      <c r="D926" s="36" t="s">
        <v>14017</v>
      </c>
      <c r="E926" s="36" t="s">
        <v>14018</v>
      </c>
      <c r="F926" s="36" t="s">
        <v>14019</v>
      </c>
      <c r="G926" s="36" t="s">
        <v>14020</v>
      </c>
      <c r="H926" s="36" t="s">
        <v>14021</v>
      </c>
      <c r="I926" s="36" t="s">
        <v>14022</v>
      </c>
      <c r="J926" s="36" t="s">
        <v>14023</v>
      </c>
      <c r="K926" s="36" t="s">
        <v>14024</v>
      </c>
      <c r="L926" s="36" t="s">
        <v>14025</v>
      </c>
      <c r="M926" s="36" t="s">
        <v>14026</v>
      </c>
      <c r="N926" s="36" t="s">
        <v>14027</v>
      </c>
      <c r="O926" s="36" t="s">
        <v>14028</v>
      </c>
      <c r="P926" s="36" t="s">
        <v>14015</v>
      </c>
    </row>
    <row r="927" spans="1:16">
      <c r="A927" s="139">
        <v>926</v>
      </c>
      <c r="B927" s="36" t="s">
        <v>14029</v>
      </c>
      <c r="C927" s="36" t="s">
        <v>14030</v>
      </c>
      <c r="D927" s="36" t="s">
        <v>14031</v>
      </c>
      <c r="E927" s="36" t="s">
        <v>14032</v>
      </c>
      <c r="F927" s="36" t="s">
        <v>14033</v>
      </c>
      <c r="G927" s="36" t="s">
        <v>14034</v>
      </c>
      <c r="H927" s="36" t="s">
        <v>14035</v>
      </c>
      <c r="I927" s="36" t="s">
        <v>14036</v>
      </c>
      <c r="J927" s="36" t="s">
        <v>14037</v>
      </c>
      <c r="K927" s="36" t="s">
        <v>14038</v>
      </c>
      <c r="L927" s="36" t="s">
        <v>14039</v>
      </c>
      <c r="M927" s="36" t="s">
        <v>14040</v>
      </c>
      <c r="N927" s="36" t="s">
        <v>14041</v>
      </c>
      <c r="O927" s="36" t="s">
        <v>14042</v>
      </c>
      <c r="P927" s="36" t="s">
        <v>14029</v>
      </c>
    </row>
    <row r="928" spans="1:16">
      <c r="A928" s="139">
        <v>927</v>
      </c>
      <c r="B928" s="36" t="s">
        <v>14043</v>
      </c>
      <c r="C928" s="36" t="s">
        <v>14044</v>
      </c>
      <c r="D928" s="36" t="s">
        <v>14045</v>
      </c>
      <c r="E928" s="36" t="s">
        <v>14046</v>
      </c>
      <c r="F928" s="36" t="s">
        <v>14047</v>
      </c>
      <c r="G928" s="36" t="s">
        <v>14048</v>
      </c>
      <c r="H928" s="36" t="s">
        <v>14049</v>
      </c>
      <c r="I928" s="36" t="s">
        <v>14050</v>
      </c>
      <c r="J928" s="36" t="s">
        <v>14051</v>
      </c>
      <c r="K928" s="36" t="s">
        <v>14052</v>
      </c>
      <c r="L928" s="36" t="s">
        <v>14053</v>
      </c>
      <c r="M928" s="36" t="s">
        <v>14054</v>
      </c>
      <c r="N928" s="36" t="s">
        <v>14055</v>
      </c>
      <c r="O928" s="36" t="s">
        <v>14056</v>
      </c>
      <c r="P928" s="36" t="s">
        <v>14043</v>
      </c>
    </row>
    <row r="929" spans="1:16">
      <c r="A929" s="139">
        <v>928</v>
      </c>
      <c r="B929" s="36" t="s">
        <v>14057</v>
      </c>
      <c r="C929" s="36" t="s">
        <v>14058</v>
      </c>
      <c r="D929" s="36" t="s">
        <v>14059</v>
      </c>
      <c r="E929" s="36" t="s">
        <v>14060</v>
      </c>
      <c r="F929" s="36" t="s">
        <v>14061</v>
      </c>
      <c r="G929" s="36" t="s">
        <v>14062</v>
      </c>
      <c r="H929" s="36" t="s">
        <v>14063</v>
      </c>
      <c r="I929" s="36" t="s">
        <v>14064</v>
      </c>
      <c r="J929" s="36" t="s">
        <v>14065</v>
      </c>
      <c r="K929" s="36" t="s">
        <v>14066</v>
      </c>
      <c r="L929" s="36" t="s">
        <v>14067</v>
      </c>
      <c r="M929" s="36" t="s">
        <v>14068</v>
      </c>
      <c r="N929" s="36" t="s">
        <v>14069</v>
      </c>
      <c r="O929" s="36" t="s">
        <v>14070</v>
      </c>
      <c r="P929" s="36" t="s">
        <v>14057</v>
      </c>
    </row>
    <row r="930" spans="1:16">
      <c r="A930" s="139">
        <v>929</v>
      </c>
      <c r="B930" s="36" t="s">
        <v>14071</v>
      </c>
      <c r="C930" s="36" t="s">
        <v>14072</v>
      </c>
      <c r="D930" s="36" t="s">
        <v>14073</v>
      </c>
      <c r="E930" s="36" t="s">
        <v>14074</v>
      </c>
      <c r="F930" s="36" t="s">
        <v>14075</v>
      </c>
      <c r="G930" s="36" t="s">
        <v>14076</v>
      </c>
      <c r="H930" s="36" t="s">
        <v>14077</v>
      </c>
      <c r="I930" s="36" t="s">
        <v>12043</v>
      </c>
      <c r="J930" s="36" t="s">
        <v>14078</v>
      </c>
      <c r="K930" s="36" t="s">
        <v>14079</v>
      </c>
      <c r="L930" s="36" t="s">
        <v>14080</v>
      </c>
      <c r="M930" s="36" t="s">
        <v>14081</v>
      </c>
      <c r="N930" s="36" t="s">
        <v>14082</v>
      </c>
      <c r="O930" s="36" t="s">
        <v>14083</v>
      </c>
      <c r="P930" s="36" t="s">
        <v>14071</v>
      </c>
    </row>
    <row r="931" spans="1:16">
      <c r="A931" s="139">
        <v>930</v>
      </c>
      <c r="B931" s="36" t="s">
        <v>14084</v>
      </c>
      <c r="C931" s="36" t="s">
        <v>14085</v>
      </c>
      <c r="D931" s="36" t="s">
        <v>14086</v>
      </c>
      <c r="E931" s="36" t="s">
        <v>14087</v>
      </c>
      <c r="F931" s="36" t="s">
        <v>14088</v>
      </c>
      <c r="G931" s="36" t="s">
        <v>14089</v>
      </c>
      <c r="H931" s="36" t="s">
        <v>14090</v>
      </c>
      <c r="I931" s="36" t="s">
        <v>14091</v>
      </c>
      <c r="J931" s="36" t="s">
        <v>14092</v>
      </c>
      <c r="K931" s="36" t="s">
        <v>14093</v>
      </c>
      <c r="L931" s="36" t="s">
        <v>14094</v>
      </c>
      <c r="M931" s="36" t="s">
        <v>14095</v>
      </c>
      <c r="N931" s="36" t="s">
        <v>14096</v>
      </c>
      <c r="O931" s="36" t="s">
        <v>14097</v>
      </c>
      <c r="P931" s="36" t="s">
        <v>14084</v>
      </c>
    </row>
    <row r="932" spans="1:16">
      <c r="A932" s="139">
        <v>931</v>
      </c>
      <c r="B932" s="36" t="s">
        <v>14098</v>
      </c>
      <c r="C932" s="36" t="s">
        <v>14099</v>
      </c>
      <c r="D932" s="36" t="s">
        <v>14100</v>
      </c>
      <c r="E932" s="36" t="s">
        <v>14101</v>
      </c>
      <c r="F932" s="36" t="s">
        <v>14102</v>
      </c>
      <c r="G932" s="36" t="s">
        <v>14103</v>
      </c>
      <c r="H932" s="36" t="s">
        <v>14104</v>
      </c>
      <c r="I932" s="36" t="s">
        <v>14105</v>
      </c>
      <c r="J932" s="36" t="s">
        <v>14106</v>
      </c>
      <c r="K932" s="36" t="s">
        <v>14107</v>
      </c>
      <c r="L932" s="36" t="s">
        <v>14108</v>
      </c>
      <c r="M932" s="36" t="s">
        <v>14109</v>
      </c>
      <c r="N932" s="36" t="s">
        <v>14110</v>
      </c>
      <c r="O932" s="36" t="s">
        <v>14111</v>
      </c>
      <c r="P932" s="36" t="s">
        <v>14098</v>
      </c>
    </row>
    <row r="933" spans="1:16">
      <c r="A933" s="139">
        <v>932</v>
      </c>
      <c r="B933" s="36" t="s">
        <v>14112</v>
      </c>
      <c r="C933" s="36" t="s">
        <v>14113</v>
      </c>
      <c r="D933" s="36" t="s">
        <v>14114</v>
      </c>
      <c r="E933" s="36" t="s">
        <v>14115</v>
      </c>
      <c r="F933" s="36" t="s">
        <v>14116</v>
      </c>
      <c r="G933" s="36" t="s">
        <v>14117</v>
      </c>
      <c r="H933" s="36" t="s">
        <v>14118</v>
      </c>
      <c r="I933" s="36" t="s">
        <v>14119</v>
      </c>
      <c r="J933" s="36" t="s">
        <v>14120</v>
      </c>
      <c r="K933" s="36" t="s">
        <v>14121</v>
      </c>
      <c r="L933" s="36" t="s">
        <v>14122</v>
      </c>
      <c r="M933" s="36" t="s">
        <v>14123</v>
      </c>
      <c r="N933" s="36" t="s">
        <v>14124</v>
      </c>
      <c r="O933" s="36" t="s">
        <v>14125</v>
      </c>
      <c r="P933" s="36" t="s">
        <v>14112</v>
      </c>
    </row>
    <row r="934" spans="1:16">
      <c r="A934" s="139">
        <v>933</v>
      </c>
      <c r="B934" s="36" t="s">
        <v>14126</v>
      </c>
      <c r="C934" s="36" t="s">
        <v>14127</v>
      </c>
      <c r="D934" s="36" t="s">
        <v>14128</v>
      </c>
      <c r="E934" s="36" t="s">
        <v>14129</v>
      </c>
      <c r="F934" s="36" t="s">
        <v>14130</v>
      </c>
      <c r="G934" s="36" t="s">
        <v>14131</v>
      </c>
      <c r="H934" s="36" t="s">
        <v>14132</v>
      </c>
      <c r="I934" s="36" t="s">
        <v>14133</v>
      </c>
      <c r="J934" s="36" t="s">
        <v>14134</v>
      </c>
      <c r="K934" s="36" t="s">
        <v>14135</v>
      </c>
      <c r="L934" s="36" t="s">
        <v>14136</v>
      </c>
      <c r="M934" s="36" t="s">
        <v>14137</v>
      </c>
      <c r="N934" s="36" t="s">
        <v>14138</v>
      </c>
      <c r="O934" s="36" t="s">
        <v>14139</v>
      </c>
      <c r="P934" s="36" t="s">
        <v>14126</v>
      </c>
    </row>
    <row r="935" spans="1:16">
      <c r="A935" s="139">
        <v>934</v>
      </c>
      <c r="B935" s="36" t="s">
        <v>14140</v>
      </c>
      <c r="C935" s="36" t="s">
        <v>14141</v>
      </c>
      <c r="D935" s="36" t="s">
        <v>14073</v>
      </c>
      <c r="E935" s="36" t="s">
        <v>14142</v>
      </c>
      <c r="F935" s="36" t="s">
        <v>14143</v>
      </c>
      <c r="G935" s="36" t="s">
        <v>14144</v>
      </c>
      <c r="H935" s="36" t="s">
        <v>14145</v>
      </c>
      <c r="I935" s="36" t="s">
        <v>12043</v>
      </c>
      <c r="J935" s="36" t="s">
        <v>14146</v>
      </c>
      <c r="K935" s="36" t="s">
        <v>14147</v>
      </c>
      <c r="L935" s="36" t="s">
        <v>14148</v>
      </c>
      <c r="M935" s="36" t="s">
        <v>14149</v>
      </c>
      <c r="N935" s="36" t="s">
        <v>14082</v>
      </c>
      <c r="O935" s="36" t="s">
        <v>14150</v>
      </c>
      <c r="P935" s="36" t="s">
        <v>14140</v>
      </c>
    </row>
    <row r="936" spans="1:16">
      <c r="A936" s="139">
        <v>935</v>
      </c>
      <c r="B936" s="36" t="s">
        <v>14151</v>
      </c>
      <c r="C936" s="36" t="s">
        <v>14152</v>
      </c>
      <c r="D936" s="36" t="s">
        <v>14153</v>
      </c>
      <c r="E936" s="36" t="s">
        <v>14154</v>
      </c>
      <c r="F936" s="36" t="s">
        <v>14155</v>
      </c>
      <c r="G936" s="36" t="s">
        <v>14156</v>
      </c>
      <c r="H936" s="36" t="s">
        <v>11945</v>
      </c>
      <c r="I936" s="36" t="s">
        <v>14157</v>
      </c>
      <c r="J936" s="36" t="s">
        <v>14158</v>
      </c>
      <c r="K936" s="36" t="s">
        <v>14159</v>
      </c>
      <c r="L936" s="36" t="s">
        <v>14160</v>
      </c>
      <c r="M936" s="36" t="s">
        <v>14161</v>
      </c>
      <c r="N936" s="36" t="s">
        <v>14162</v>
      </c>
      <c r="O936" s="36" t="s">
        <v>14163</v>
      </c>
      <c r="P936" s="36" t="s">
        <v>14151</v>
      </c>
    </row>
    <row r="937" spans="1:16">
      <c r="A937" s="139">
        <v>936</v>
      </c>
      <c r="B937" s="36" t="s">
        <v>14164</v>
      </c>
      <c r="C937" s="36" t="s">
        <v>14165</v>
      </c>
      <c r="D937" s="36" t="s">
        <v>14166</v>
      </c>
      <c r="E937" s="36" t="s">
        <v>14167</v>
      </c>
      <c r="F937" s="36" t="s">
        <v>14168</v>
      </c>
      <c r="G937" s="36" t="s">
        <v>14169</v>
      </c>
      <c r="H937" s="36" t="s">
        <v>14170</v>
      </c>
      <c r="I937" s="36" t="s">
        <v>14171</v>
      </c>
      <c r="J937" s="36" t="s">
        <v>14172</v>
      </c>
      <c r="K937" s="36" t="s">
        <v>14173</v>
      </c>
      <c r="L937" s="36" t="s">
        <v>14174</v>
      </c>
      <c r="M937" s="36" t="s">
        <v>14175</v>
      </c>
      <c r="N937" s="36" t="s">
        <v>14176</v>
      </c>
      <c r="O937" s="36" t="s">
        <v>14177</v>
      </c>
      <c r="P937" s="36" t="s">
        <v>14164</v>
      </c>
    </row>
    <row r="938" spans="1:16">
      <c r="A938" s="139">
        <v>937</v>
      </c>
      <c r="B938" s="36" t="s">
        <v>14178</v>
      </c>
      <c r="C938" s="36" t="s">
        <v>14179</v>
      </c>
      <c r="D938" s="36" t="s">
        <v>14180</v>
      </c>
      <c r="E938" s="36" t="s">
        <v>14181</v>
      </c>
      <c r="F938" s="36" t="s">
        <v>14182</v>
      </c>
      <c r="G938" s="36" t="s">
        <v>14183</v>
      </c>
      <c r="H938" s="36" t="s">
        <v>14184</v>
      </c>
      <c r="I938" s="36" t="s">
        <v>14185</v>
      </c>
      <c r="J938" s="36" t="s">
        <v>14186</v>
      </c>
      <c r="K938" s="36" t="s">
        <v>14187</v>
      </c>
      <c r="L938" s="36" t="s">
        <v>14188</v>
      </c>
      <c r="M938" s="36" t="s">
        <v>14189</v>
      </c>
      <c r="N938" s="36" t="s">
        <v>14190</v>
      </c>
      <c r="O938" s="36" t="s">
        <v>14191</v>
      </c>
      <c r="P938" s="36" t="s">
        <v>14178</v>
      </c>
    </row>
    <row r="939" spans="1:16">
      <c r="A939" s="139">
        <v>938</v>
      </c>
      <c r="B939" s="36" t="s">
        <v>14192</v>
      </c>
      <c r="C939" s="36" t="s">
        <v>14193</v>
      </c>
      <c r="D939" s="36" t="s">
        <v>14194</v>
      </c>
      <c r="E939" s="36" t="s">
        <v>14195</v>
      </c>
      <c r="F939" s="36" t="s">
        <v>14196</v>
      </c>
      <c r="G939" s="36" t="s">
        <v>14197</v>
      </c>
      <c r="H939" s="36" t="s">
        <v>14198</v>
      </c>
      <c r="I939" s="36" t="s">
        <v>14199</v>
      </c>
      <c r="J939" s="36" t="s">
        <v>14200</v>
      </c>
      <c r="K939" s="36" t="s">
        <v>14201</v>
      </c>
      <c r="L939" s="36" t="s">
        <v>14202</v>
      </c>
      <c r="M939" s="36" t="s">
        <v>14203</v>
      </c>
      <c r="N939" s="36" t="s">
        <v>14204</v>
      </c>
      <c r="O939" s="36" t="s">
        <v>14205</v>
      </c>
      <c r="P939" s="36" t="s">
        <v>14192</v>
      </c>
    </row>
    <row r="940" spans="1:16">
      <c r="A940" s="139">
        <v>939</v>
      </c>
      <c r="B940" s="36" t="s">
        <v>14206</v>
      </c>
      <c r="C940" s="36" t="s">
        <v>14207</v>
      </c>
      <c r="D940" s="36" t="s">
        <v>14208</v>
      </c>
      <c r="E940" s="36" t="s">
        <v>14209</v>
      </c>
      <c r="F940" s="36" t="s">
        <v>14210</v>
      </c>
      <c r="G940" s="36" t="s">
        <v>14210</v>
      </c>
      <c r="H940" s="36" t="s">
        <v>14211</v>
      </c>
      <c r="I940" s="36" t="s">
        <v>14211</v>
      </c>
      <c r="J940" s="36" t="s">
        <v>14212</v>
      </c>
      <c r="K940" s="36" t="s">
        <v>14211</v>
      </c>
      <c r="L940" s="36" t="s">
        <v>14211</v>
      </c>
      <c r="M940" s="36" t="s">
        <v>14211</v>
      </c>
      <c r="N940" s="36" t="s">
        <v>14211</v>
      </c>
      <c r="O940" s="36" t="s">
        <v>14213</v>
      </c>
      <c r="P940" s="36" t="s">
        <v>14206</v>
      </c>
    </row>
    <row r="941" spans="1:16">
      <c r="A941" s="139">
        <v>940</v>
      </c>
      <c r="B941" s="36" t="s">
        <v>14214</v>
      </c>
      <c r="C941" s="36" t="s">
        <v>14215</v>
      </c>
      <c r="D941" s="36" t="s">
        <v>14216</v>
      </c>
      <c r="E941" s="36" t="s">
        <v>14214</v>
      </c>
      <c r="F941" s="36" t="s">
        <v>14217</v>
      </c>
      <c r="G941" s="36" t="s">
        <v>14218</v>
      </c>
      <c r="H941" s="36" t="s">
        <v>14219</v>
      </c>
      <c r="I941" s="36" t="s">
        <v>14215</v>
      </c>
      <c r="J941" s="36" t="s">
        <v>14220</v>
      </c>
      <c r="K941" s="36" t="s">
        <v>14221</v>
      </c>
      <c r="L941" s="36" t="s">
        <v>14215</v>
      </c>
      <c r="M941" s="36" t="s">
        <v>14222</v>
      </c>
      <c r="N941" s="36" t="s">
        <v>14222</v>
      </c>
      <c r="O941" s="36" t="s">
        <v>14223</v>
      </c>
      <c r="P941" s="36" t="s">
        <v>14214</v>
      </c>
    </row>
    <row r="942" spans="1:16">
      <c r="A942" s="139">
        <v>941</v>
      </c>
      <c r="B942" s="36" t="s">
        <v>14224</v>
      </c>
      <c r="C942" s="36" t="s">
        <v>14225</v>
      </c>
      <c r="D942" s="36" t="s">
        <v>14226</v>
      </c>
      <c r="E942" s="36" t="s">
        <v>14227</v>
      </c>
      <c r="F942" s="36" t="s">
        <v>14228</v>
      </c>
      <c r="G942" s="36" t="s">
        <v>14229</v>
      </c>
      <c r="H942" s="36" t="s">
        <v>14230</v>
      </c>
      <c r="I942" s="36" t="s">
        <v>14231</v>
      </c>
      <c r="J942" s="36" t="s">
        <v>14232</v>
      </c>
      <c r="K942" s="36" t="s">
        <v>14233</v>
      </c>
      <c r="L942" s="36" t="s">
        <v>14234</v>
      </c>
      <c r="M942" s="36" t="s">
        <v>14235</v>
      </c>
      <c r="N942" s="36" t="s">
        <v>14236</v>
      </c>
      <c r="O942" s="36" t="s">
        <v>14237</v>
      </c>
      <c r="P942" s="36" t="s">
        <v>14224</v>
      </c>
    </row>
    <row r="943" spans="1:16">
      <c r="A943" s="139">
        <v>942</v>
      </c>
      <c r="B943" s="36" t="s">
        <v>14238</v>
      </c>
      <c r="C943" s="36" t="s">
        <v>14239</v>
      </c>
      <c r="D943" s="36" t="s">
        <v>14240</v>
      </c>
      <c r="E943" s="36" t="s">
        <v>14238</v>
      </c>
      <c r="F943" s="36" t="s">
        <v>14241</v>
      </c>
      <c r="G943" s="36" t="s">
        <v>14242</v>
      </c>
      <c r="H943" s="36" t="s">
        <v>14243</v>
      </c>
      <c r="I943" s="36" t="s">
        <v>14239</v>
      </c>
      <c r="J943" s="36" t="s">
        <v>14244</v>
      </c>
      <c r="K943" s="36" t="s">
        <v>14245</v>
      </c>
      <c r="L943" s="36" t="s">
        <v>14244</v>
      </c>
      <c r="M943" s="36" t="s">
        <v>14244</v>
      </c>
      <c r="N943" s="36" t="s">
        <v>14244</v>
      </c>
      <c r="O943" s="36" t="s">
        <v>14246</v>
      </c>
      <c r="P943" s="36" t="s">
        <v>14238</v>
      </c>
    </row>
    <row r="944" spans="1:16">
      <c r="A944" s="139">
        <v>943</v>
      </c>
      <c r="B944" s="36" t="s">
        <v>14247</v>
      </c>
      <c r="C944" s="36" t="s">
        <v>14248</v>
      </c>
      <c r="D944" s="36" t="s">
        <v>14249</v>
      </c>
      <c r="E944" s="36" t="s">
        <v>14250</v>
      </c>
      <c r="F944" s="36" t="s">
        <v>14251</v>
      </c>
      <c r="G944" s="36" t="s">
        <v>14252</v>
      </c>
      <c r="H944" s="36" t="s">
        <v>14253</v>
      </c>
      <c r="I944" s="36" t="s">
        <v>14254</v>
      </c>
      <c r="J944" s="36" t="s">
        <v>14255</v>
      </c>
      <c r="K944" s="36" t="s">
        <v>14256</v>
      </c>
      <c r="L944" s="36" t="s">
        <v>14257</v>
      </c>
      <c r="M944" s="36" t="s">
        <v>14258</v>
      </c>
      <c r="N944" s="36" t="s">
        <v>14259</v>
      </c>
      <c r="O944" s="36" t="s">
        <v>14260</v>
      </c>
      <c r="P944" s="36" t="s">
        <v>14247</v>
      </c>
    </row>
    <row r="945" spans="1:16">
      <c r="A945" s="139">
        <v>944</v>
      </c>
      <c r="B945" s="36" t="s">
        <v>14261</v>
      </c>
      <c r="C945" s="36" t="s">
        <v>14262</v>
      </c>
      <c r="D945" s="36" t="s">
        <v>14263</v>
      </c>
      <c r="E945" s="36" t="s">
        <v>14264</v>
      </c>
      <c r="F945" s="36" t="s">
        <v>14265</v>
      </c>
      <c r="G945" s="36" t="s">
        <v>14266</v>
      </c>
      <c r="H945" s="36" t="s">
        <v>14267</v>
      </c>
      <c r="I945" s="36" t="s">
        <v>14268</v>
      </c>
      <c r="J945" s="36" t="s">
        <v>14269</v>
      </c>
      <c r="K945" s="36" t="s">
        <v>14270</v>
      </c>
      <c r="L945" s="36" t="s">
        <v>14271</v>
      </c>
      <c r="M945" s="36" t="s">
        <v>14272</v>
      </c>
      <c r="N945" s="36" t="s">
        <v>14273</v>
      </c>
      <c r="O945" s="36" t="s">
        <v>14274</v>
      </c>
      <c r="P945" s="36" t="s">
        <v>14261</v>
      </c>
    </row>
    <row r="946" spans="1:16">
      <c r="A946" s="139">
        <v>945</v>
      </c>
      <c r="B946" s="36" t="s">
        <v>14275</v>
      </c>
      <c r="C946" s="36" t="s">
        <v>14276</v>
      </c>
      <c r="D946" s="36" t="s">
        <v>14277</v>
      </c>
      <c r="E946" s="36" t="s">
        <v>14278</v>
      </c>
      <c r="F946" s="36" t="s">
        <v>14279</v>
      </c>
      <c r="G946" s="36" t="s">
        <v>14280</v>
      </c>
      <c r="H946" s="36" t="s">
        <v>14281</v>
      </c>
      <c r="I946" s="36" t="s">
        <v>14282</v>
      </c>
      <c r="J946" s="36" t="s">
        <v>14283</v>
      </c>
      <c r="K946" s="36" t="s">
        <v>14284</v>
      </c>
      <c r="L946" s="36" t="s">
        <v>14285</v>
      </c>
      <c r="M946" s="36" t="s">
        <v>14286</v>
      </c>
      <c r="N946" s="36" t="s">
        <v>14287</v>
      </c>
      <c r="O946" s="36" t="s">
        <v>14288</v>
      </c>
      <c r="P946" s="36" t="s">
        <v>14275</v>
      </c>
    </row>
    <row r="947" spans="1:16">
      <c r="A947" s="139">
        <v>946</v>
      </c>
      <c r="B947" s="36" t="s">
        <v>14289</v>
      </c>
      <c r="C947" s="36" t="s">
        <v>14290</v>
      </c>
      <c r="D947" s="36" t="s">
        <v>14291</v>
      </c>
      <c r="E947" s="36" t="s">
        <v>14292</v>
      </c>
      <c r="F947" s="36" t="s">
        <v>14293</v>
      </c>
      <c r="G947" s="36" t="s">
        <v>14294</v>
      </c>
      <c r="H947" s="36" t="s">
        <v>14295</v>
      </c>
      <c r="I947" s="36" t="s">
        <v>14296</v>
      </c>
      <c r="J947" s="36" t="s">
        <v>14297</v>
      </c>
      <c r="K947" s="36" t="s">
        <v>14298</v>
      </c>
      <c r="L947" s="36" t="s">
        <v>14299</v>
      </c>
      <c r="M947" s="36" t="s">
        <v>14300</v>
      </c>
      <c r="N947" s="36" t="s">
        <v>14301</v>
      </c>
      <c r="O947" s="36" t="s">
        <v>14302</v>
      </c>
      <c r="P947" s="36" t="s">
        <v>14289</v>
      </c>
    </row>
    <row r="948" spans="1:16">
      <c r="A948" s="139">
        <v>947</v>
      </c>
      <c r="B948" s="36" t="s">
        <v>14303</v>
      </c>
      <c r="C948" s="36" t="s">
        <v>14304</v>
      </c>
      <c r="D948" s="36" t="s">
        <v>14305</v>
      </c>
      <c r="E948" s="36" t="s">
        <v>14306</v>
      </c>
      <c r="F948" s="36" t="s">
        <v>14307</v>
      </c>
      <c r="G948" s="36" t="s">
        <v>14308</v>
      </c>
      <c r="H948" s="36" t="s">
        <v>14309</v>
      </c>
      <c r="I948" s="36" t="s">
        <v>14310</v>
      </c>
      <c r="J948" s="36" t="s">
        <v>14311</v>
      </c>
      <c r="K948" s="36" t="s">
        <v>14312</v>
      </c>
      <c r="L948" s="36" t="s">
        <v>14313</v>
      </c>
      <c r="M948" s="36" t="s">
        <v>14314</v>
      </c>
      <c r="N948" s="36" t="s">
        <v>14315</v>
      </c>
      <c r="O948" s="36" t="s">
        <v>14316</v>
      </c>
      <c r="P948" s="36" t="s">
        <v>14303</v>
      </c>
    </row>
    <row r="949" spans="1:16">
      <c r="A949" s="139">
        <v>948</v>
      </c>
      <c r="B949" s="36" t="s">
        <v>14317</v>
      </c>
      <c r="C949" s="36" t="s">
        <v>14318</v>
      </c>
      <c r="D949" s="36" t="s">
        <v>14319</v>
      </c>
      <c r="E949" s="36" t="s">
        <v>14320</v>
      </c>
      <c r="F949" s="36" t="s">
        <v>14321</v>
      </c>
      <c r="G949" s="36" t="s">
        <v>14322</v>
      </c>
      <c r="H949" s="36" t="s">
        <v>14323</v>
      </c>
      <c r="I949" s="36" t="s">
        <v>14324</v>
      </c>
      <c r="J949" s="36" t="s">
        <v>14325</v>
      </c>
      <c r="K949" s="36" t="s">
        <v>14326</v>
      </c>
      <c r="L949" s="36" t="s">
        <v>14327</v>
      </c>
      <c r="M949" s="36" t="s">
        <v>14328</v>
      </c>
      <c r="N949" s="36" t="s">
        <v>14329</v>
      </c>
      <c r="O949" s="36" t="s">
        <v>14330</v>
      </c>
      <c r="P949" s="36" t="s">
        <v>14317</v>
      </c>
    </row>
    <row r="950" spans="1:16">
      <c r="A950" s="139">
        <v>949</v>
      </c>
      <c r="B950" s="36" t="s">
        <v>14331</v>
      </c>
      <c r="C950" s="36" t="s">
        <v>14332</v>
      </c>
      <c r="D950" s="36" t="s">
        <v>14333</v>
      </c>
      <c r="E950" s="36" t="s">
        <v>14334</v>
      </c>
      <c r="F950" s="36" t="s">
        <v>14335</v>
      </c>
      <c r="G950" s="36" t="s">
        <v>14336</v>
      </c>
      <c r="H950" s="36" t="s">
        <v>14337</v>
      </c>
      <c r="I950" s="36" t="s">
        <v>14338</v>
      </c>
      <c r="J950" s="36" t="s">
        <v>14339</v>
      </c>
      <c r="K950" s="36" t="s">
        <v>14340</v>
      </c>
      <c r="L950" s="36" t="s">
        <v>14341</v>
      </c>
      <c r="M950" s="36" t="s">
        <v>14342</v>
      </c>
      <c r="N950" s="36" t="s">
        <v>14343</v>
      </c>
      <c r="O950" s="36" t="s">
        <v>14344</v>
      </c>
      <c r="P950" s="36" t="s">
        <v>14331</v>
      </c>
    </row>
    <row r="951" spans="1:16">
      <c r="A951" s="139">
        <v>950</v>
      </c>
      <c r="B951" s="36" t="s">
        <v>14345</v>
      </c>
      <c r="C951" s="36" t="s">
        <v>14346</v>
      </c>
      <c r="D951" s="36" t="s">
        <v>14347</v>
      </c>
      <c r="E951" s="36" t="s">
        <v>14348</v>
      </c>
      <c r="F951" s="36" t="s">
        <v>14349</v>
      </c>
      <c r="G951" s="36" t="s">
        <v>14350</v>
      </c>
      <c r="H951" s="36" t="s">
        <v>14351</v>
      </c>
      <c r="I951" s="36" t="s">
        <v>14352</v>
      </c>
      <c r="J951" s="36" t="s">
        <v>14353</v>
      </c>
      <c r="K951" s="36" t="s">
        <v>14354</v>
      </c>
      <c r="L951" s="36" t="s">
        <v>14355</v>
      </c>
      <c r="M951" s="36" t="s">
        <v>14356</v>
      </c>
      <c r="N951" s="36" t="s">
        <v>14357</v>
      </c>
      <c r="O951" s="36" t="s">
        <v>14358</v>
      </c>
      <c r="P951" s="36" t="s">
        <v>14345</v>
      </c>
    </row>
    <row r="952" spans="1:16">
      <c r="A952" s="139">
        <v>951</v>
      </c>
      <c r="B952" s="36" t="s">
        <v>14359</v>
      </c>
      <c r="C952" s="36" t="s">
        <v>14360</v>
      </c>
      <c r="D952" s="36" t="s">
        <v>14361</v>
      </c>
      <c r="E952" s="36" t="s">
        <v>14362</v>
      </c>
      <c r="F952" s="36" t="s">
        <v>14363</v>
      </c>
      <c r="G952" s="36" t="s">
        <v>14364</v>
      </c>
      <c r="H952" s="36" t="s">
        <v>14365</v>
      </c>
      <c r="I952" s="36" t="s">
        <v>14366</v>
      </c>
      <c r="J952" s="36" t="s">
        <v>14367</v>
      </c>
      <c r="K952" s="36" t="s">
        <v>14368</v>
      </c>
      <c r="L952" s="36" t="s">
        <v>14369</v>
      </c>
      <c r="M952" s="36" t="s">
        <v>14370</v>
      </c>
      <c r="N952" s="36" t="s">
        <v>14371</v>
      </c>
      <c r="O952" s="36" t="s">
        <v>14372</v>
      </c>
      <c r="P952" s="36" t="s">
        <v>14359</v>
      </c>
    </row>
    <row r="953" spans="1:16">
      <c r="A953" s="139">
        <v>952</v>
      </c>
      <c r="B953" s="36" t="s">
        <v>14373</v>
      </c>
      <c r="C953" s="36" t="s">
        <v>14374</v>
      </c>
      <c r="D953" s="36" t="s">
        <v>14375</v>
      </c>
      <c r="E953" s="36" t="s">
        <v>14376</v>
      </c>
      <c r="F953" s="36" t="s">
        <v>14377</v>
      </c>
      <c r="G953" s="36" t="s">
        <v>14378</v>
      </c>
      <c r="H953" s="36" t="s">
        <v>14379</v>
      </c>
      <c r="I953" s="36" t="s">
        <v>14380</v>
      </c>
      <c r="J953" s="36" t="s">
        <v>14381</v>
      </c>
      <c r="K953" s="36" t="s">
        <v>14382</v>
      </c>
      <c r="L953" s="36" t="s">
        <v>14383</v>
      </c>
      <c r="M953" s="36" t="s">
        <v>14384</v>
      </c>
      <c r="N953" s="36" t="s">
        <v>14385</v>
      </c>
      <c r="O953" s="36" t="s">
        <v>14386</v>
      </c>
      <c r="P953" s="36" t="s">
        <v>14373</v>
      </c>
    </row>
    <row r="954" spans="1:16">
      <c r="A954" s="139">
        <v>953</v>
      </c>
      <c r="B954" s="36" t="s">
        <v>14387</v>
      </c>
      <c r="C954" s="36" t="s">
        <v>14388</v>
      </c>
      <c r="D954" s="36" t="s">
        <v>14389</v>
      </c>
      <c r="E954" s="36" t="s">
        <v>14390</v>
      </c>
      <c r="F954" s="36" t="s">
        <v>14391</v>
      </c>
      <c r="G954" s="36" t="s">
        <v>14392</v>
      </c>
      <c r="H954" s="36" t="s">
        <v>14393</v>
      </c>
      <c r="I954" s="36" t="s">
        <v>14394</v>
      </c>
      <c r="J954" s="36" t="s">
        <v>14395</v>
      </c>
      <c r="K954" s="36" t="s">
        <v>14396</v>
      </c>
      <c r="L954" s="36" t="s">
        <v>14397</v>
      </c>
      <c r="M954" s="36" t="s">
        <v>14398</v>
      </c>
      <c r="N954" s="36" t="s">
        <v>14399</v>
      </c>
      <c r="O954" s="36" t="s">
        <v>14400</v>
      </c>
      <c r="P954" s="36" t="s">
        <v>14387</v>
      </c>
    </row>
    <row r="955" spans="1:16">
      <c r="A955" s="139">
        <v>954</v>
      </c>
      <c r="B955" s="36" t="s">
        <v>14401</v>
      </c>
      <c r="C955" s="36" t="s">
        <v>14402</v>
      </c>
      <c r="D955" s="36" t="s">
        <v>14403</v>
      </c>
      <c r="E955" s="36" t="s">
        <v>14404</v>
      </c>
      <c r="F955" s="36" t="s">
        <v>14405</v>
      </c>
      <c r="G955" s="36" t="s">
        <v>14406</v>
      </c>
      <c r="H955" s="36" t="s">
        <v>14407</v>
      </c>
      <c r="I955" s="36" t="s">
        <v>14408</v>
      </c>
      <c r="J955" s="36" t="s">
        <v>14409</v>
      </c>
      <c r="K955" s="36" t="s">
        <v>14410</v>
      </c>
      <c r="L955" s="36" t="s">
        <v>14411</v>
      </c>
      <c r="M955" s="36" t="s">
        <v>14412</v>
      </c>
      <c r="N955" s="36" t="s">
        <v>14413</v>
      </c>
      <c r="O955" s="36" t="s">
        <v>14414</v>
      </c>
      <c r="P955" s="36" t="s">
        <v>14401</v>
      </c>
    </row>
    <row r="956" spans="1:16">
      <c r="A956" s="139">
        <v>955</v>
      </c>
      <c r="B956" s="36" t="s">
        <v>14415</v>
      </c>
      <c r="C956" s="36" t="s">
        <v>14416</v>
      </c>
      <c r="D956" s="36" t="s">
        <v>14417</v>
      </c>
      <c r="E956" s="36" t="s">
        <v>14418</v>
      </c>
      <c r="F956" s="36" t="s">
        <v>14419</v>
      </c>
      <c r="G956" s="36" t="s">
        <v>14420</v>
      </c>
      <c r="H956" s="36" t="s">
        <v>14421</v>
      </c>
      <c r="I956" s="36" t="s">
        <v>14422</v>
      </c>
      <c r="J956" s="36" t="s">
        <v>14423</v>
      </c>
      <c r="K956" s="36" t="s">
        <v>14424</v>
      </c>
      <c r="L956" s="36" t="s">
        <v>14425</v>
      </c>
      <c r="M956" s="36" t="s">
        <v>14426</v>
      </c>
      <c r="N956" s="36" t="s">
        <v>14427</v>
      </c>
      <c r="O956" s="36" t="s">
        <v>14428</v>
      </c>
      <c r="P956" s="36" t="s">
        <v>14415</v>
      </c>
    </row>
    <row r="957" spans="1:16">
      <c r="A957" s="139">
        <v>956</v>
      </c>
      <c r="B957" s="36" t="s">
        <v>14429</v>
      </c>
      <c r="C957" s="36" t="s">
        <v>14430</v>
      </c>
      <c r="D957" s="36" t="s">
        <v>14431</v>
      </c>
      <c r="E957" s="36" t="s">
        <v>14432</v>
      </c>
      <c r="F957" s="36" t="s">
        <v>14433</v>
      </c>
      <c r="G957" s="36" t="s">
        <v>14434</v>
      </c>
      <c r="H957" s="36" t="s">
        <v>14435</v>
      </c>
      <c r="I957" s="36" t="s">
        <v>14436</v>
      </c>
      <c r="J957" s="36" t="s">
        <v>14437</v>
      </c>
      <c r="K957" s="36" t="s">
        <v>14438</v>
      </c>
      <c r="L957" s="36" t="s">
        <v>14439</v>
      </c>
      <c r="M957" s="36" t="s">
        <v>14440</v>
      </c>
      <c r="N957" s="36" t="s">
        <v>14441</v>
      </c>
      <c r="O957" s="36" t="s">
        <v>14442</v>
      </c>
      <c r="P957" s="36" t="s">
        <v>14429</v>
      </c>
    </row>
    <row r="958" spans="1:16">
      <c r="A958" s="139">
        <v>957</v>
      </c>
      <c r="B958" s="36" t="s">
        <v>14443</v>
      </c>
      <c r="C958" s="36" t="s">
        <v>14444</v>
      </c>
      <c r="D958" s="36" t="s">
        <v>14445</v>
      </c>
      <c r="E958" s="36" t="s">
        <v>14446</v>
      </c>
      <c r="F958" s="36" t="s">
        <v>14447</v>
      </c>
      <c r="G958" s="36" t="s">
        <v>14448</v>
      </c>
      <c r="H958" s="36" t="s">
        <v>14449</v>
      </c>
      <c r="I958" s="36" t="s">
        <v>14450</v>
      </c>
      <c r="J958" s="36" t="s">
        <v>14451</v>
      </c>
      <c r="K958" s="36" t="s">
        <v>14452</v>
      </c>
      <c r="L958" s="36" t="s">
        <v>14453</v>
      </c>
      <c r="M958" s="36" t="s">
        <v>14454</v>
      </c>
      <c r="N958" s="36" t="s">
        <v>14455</v>
      </c>
      <c r="O958" s="36" t="s">
        <v>14452</v>
      </c>
      <c r="P958" s="36" t="s">
        <v>14443</v>
      </c>
    </row>
    <row r="959" spans="1:16">
      <c r="A959" s="139">
        <v>958</v>
      </c>
      <c r="B959" s="36" t="s">
        <v>14456</v>
      </c>
      <c r="C959" s="36" t="s">
        <v>14457</v>
      </c>
      <c r="D959" s="36" t="s">
        <v>14458</v>
      </c>
      <c r="E959" s="36" t="s">
        <v>14459</v>
      </c>
      <c r="F959" s="36" t="s">
        <v>14460</v>
      </c>
      <c r="G959" s="36" t="s">
        <v>14461</v>
      </c>
      <c r="H959" s="36" t="s">
        <v>14462</v>
      </c>
      <c r="I959" s="36" t="s">
        <v>14463</v>
      </c>
      <c r="J959" s="36" t="s">
        <v>14464</v>
      </c>
      <c r="K959" s="36" t="s">
        <v>14465</v>
      </c>
      <c r="L959" s="36" t="s">
        <v>14466</v>
      </c>
      <c r="M959" s="36" t="s">
        <v>14467</v>
      </c>
      <c r="N959" s="36" t="s">
        <v>14468</v>
      </c>
      <c r="O959" s="36" t="s">
        <v>14469</v>
      </c>
      <c r="P959" s="36" t="s">
        <v>14470</v>
      </c>
    </row>
    <row r="960" spans="1:16">
      <c r="A960" s="139">
        <v>959</v>
      </c>
      <c r="B960" s="36" t="s">
        <v>14471</v>
      </c>
      <c r="C960" s="36" t="s">
        <v>14472</v>
      </c>
      <c r="D960" s="36" t="s">
        <v>14473</v>
      </c>
      <c r="E960" s="36" t="s">
        <v>14474</v>
      </c>
      <c r="F960" s="36" t="s">
        <v>14475</v>
      </c>
      <c r="G960" s="36" t="s">
        <v>14476</v>
      </c>
      <c r="H960" s="36" t="s">
        <v>14477</v>
      </c>
      <c r="I960" s="36" t="s">
        <v>14475</v>
      </c>
      <c r="J960" s="36" t="s">
        <v>14478</v>
      </c>
      <c r="K960" s="36" t="s">
        <v>14479</v>
      </c>
      <c r="L960" s="36" t="s">
        <v>14478</v>
      </c>
      <c r="M960" s="36" t="s">
        <v>14480</v>
      </c>
      <c r="N960" s="36" t="s">
        <v>14481</v>
      </c>
      <c r="O960" s="36" t="s">
        <v>14482</v>
      </c>
      <c r="P960" s="36" t="s">
        <v>14471</v>
      </c>
    </row>
    <row r="961" spans="1:16" ht="16.2">
      <c r="A961" s="139">
        <v>960</v>
      </c>
      <c r="B961" s="36" t="s">
        <v>14483</v>
      </c>
      <c r="C961" s="36" t="s">
        <v>14484</v>
      </c>
      <c r="D961" s="36" t="s">
        <v>14485</v>
      </c>
      <c r="E961" s="36" t="s">
        <v>14486</v>
      </c>
      <c r="F961" s="36" t="s">
        <v>14487</v>
      </c>
      <c r="G961" s="36" t="s">
        <v>14488</v>
      </c>
      <c r="H961" s="36" t="s">
        <v>14489</v>
      </c>
      <c r="I961" s="36" t="s">
        <v>14490</v>
      </c>
      <c r="J961" s="36" t="s">
        <v>14491</v>
      </c>
      <c r="K961" s="36" t="s">
        <v>14492</v>
      </c>
      <c r="L961" s="36" t="s">
        <v>14493</v>
      </c>
      <c r="M961" s="36" t="s">
        <v>14494</v>
      </c>
      <c r="N961" s="36" t="s">
        <v>14495</v>
      </c>
      <c r="O961" s="36" t="s">
        <v>14496</v>
      </c>
      <c r="P961" s="36" t="s">
        <v>14483</v>
      </c>
    </row>
    <row r="962" spans="1:16">
      <c r="A962" s="139">
        <v>961</v>
      </c>
      <c r="B962" s="36" t="s">
        <v>14497</v>
      </c>
      <c r="C962" s="36" t="s">
        <v>14498</v>
      </c>
      <c r="D962" s="36" t="s">
        <v>14499</v>
      </c>
      <c r="E962" s="36" t="s">
        <v>14500</v>
      </c>
      <c r="F962" s="36" t="s">
        <v>14501</v>
      </c>
      <c r="G962" s="36" t="s">
        <v>14502</v>
      </c>
      <c r="H962" s="36" t="s">
        <v>14503</v>
      </c>
      <c r="I962" s="36" t="s">
        <v>14504</v>
      </c>
      <c r="J962" s="36" t="s">
        <v>14505</v>
      </c>
      <c r="K962" s="36" t="s">
        <v>14506</v>
      </c>
      <c r="L962" s="36" t="s">
        <v>14507</v>
      </c>
      <c r="M962" s="36" t="s">
        <v>14508</v>
      </c>
      <c r="N962" s="36" t="s">
        <v>14509</v>
      </c>
      <c r="O962" s="36" t="s">
        <v>14510</v>
      </c>
      <c r="P962" s="36" t="s">
        <v>14497</v>
      </c>
    </row>
    <row r="963" spans="1:16">
      <c r="A963" s="139">
        <v>962</v>
      </c>
      <c r="B963" s="36" t="s">
        <v>14511</v>
      </c>
      <c r="C963" s="36" t="s">
        <v>14512</v>
      </c>
      <c r="D963" s="36" t="s">
        <v>14513</v>
      </c>
      <c r="E963" s="36" t="s">
        <v>14514</v>
      </c>
      <c r="F963" s="36" t="s">
        <v>14515</v>
      </c>
      <c r="G963" s="36" t="s">
        <v>14516</v>
      </c>
      <c r="H963" s="36" t="s">
        <v>14517</v>
      </c>
      <c r="I963" s="36" t="s">
        <v>14518</v>
      </c>
      <c r="J963" s="36" t="s">
        <v>14519</v>
      </c>
      <c r="K963" s="36" t="s">
        <v>14520</v>
      </c>
      <c r="L963" s="36" t="s">
        <v>14521</v>
      </c>
      <c r="M963" s="36" t="s">
        <v>14522</v>
      </c>
      <c r="N963" s="36" t="s">
        <v>14523</v>
      </c>
      <c r="O963" s="36" t="s">
        <v>14524</v>
      </c>
      <c r="P963" s="36" t="s">
        <v>14525</v>
      </c>
    </row>
    <row r="964" spans="1:16">
      <c r="A964" s="139">
        <v>963</v>
      </c>
      <c r="B964" s="36" t="s">
        <v>14526</v>
      </c>
      <c r="C964" s="36" t="s">
        <v>14527</v>
      </c>
      <c r="D964" s="36" t="s">
        <v>14528</v>
      </c>
      <c r="E964" s="36" t="s">
        <v>14529</v>
      </c>
      <c r="F964" s="36" t="s">
        <v>14530</v>
      </c>
      <c r="G964" s="36" t="s">
        <v>14531</v>
      </c>
      <c r="H964" s="36" t="s">
        <v>14532</v>
      </c>
      <c r="I964" s="36" t="s">
        <v>14533</v>
      </c>
      <c r="J964" s="36" t="s">
        <v>14534</v>
      </c>
      <c r="K964" s="36" t="s">
        <v>14535</v>
      </c>
      <c r="L964" s="36" t="s">
        <v>14536</v>
      </c>
      <c r="M964" s="36" t="s">
        <v>14537</v>
      </c>
      <c r="N964" s="36" t="s">
        <v>14538</v>
      </c>
      <c r="O964" s="36" t="s">
        <v>14539</v>
      </c>
      <c r="P964" s="36" t="s">
        <v>14526</v>
      </c>
    </row>
    <row r="965" spans="1:16">
      <c r="A965" s="139">
        <v>964</v>
      </c>
      <c r="B965" s="36" t="s">
        <v>14540</v>
      </c>
      <c r="C965" s="36" t="s">
        <v>14541</v>
      </c>
      <c r="D965" s="36" t="s">
        <v>14542</v>
      </c>
      <c r="E965" s="36" t="s">
        <v>14543</v>
      </c>
      <c r="F965" s="36" t="s">
        <v>14544</v>
      </c>
      <c r="G965" s="36" t="s">
        <v>14545</v>
      </c>
      <c r="H965" s="36" t="s">
        <v>14546</v>
      </c>
      <c r="I965" s="36" t="s">
        <v>14547</v>
      </c>
      <c r="J965" s="36" t="s">
        <v>14548</v>
      </c>
      <c r="K965" s="36" t="s">
        <v>14549</v>
      </c>
      <c r="L965" s="36" t="s">
        <v>14550</v>
      </c>
      <c r="M965" s="36" t="s">
        <v>14551</v>
      </c>
      <c r="N965" s="36" t="s">
        <v>14552</v>
      </c>
      <c r="O965" s="36" t="s">
        <v>14553</v>
      </c>
      <c r="P965" s="36" t="s">
        <v>14540</v>
      </c>
    </row>
    <row r="966" spans="1:16">
      <c r="A966" s="139">
        <v>965</v>
      </c>
      <c r="B966" s="36" t="s">
        <v>14554</v>
      </c>
      <c r="C966" s="36" t="s">
        <v>14555</v>
      </c>
      <c r="D966" s="36" t="s">
        <v>14556</v>
      </c>
      <c r="E966" s="36" t="s">
        <v>14557</v>
      </c>
      <c r="F966" s="36" t="s">
        <v>14558</v>
      </c>
      <c r="G966" s="36" t="s">
        <v>14559</v>
      </c>
      <c r="H966" s="36" t="s">
        <v>14560</v>
      </c>
      <c r="I966" s="36" t="s">
        <v>14561</v>
      </c>
      <c r="J966" s="36" t="s">
        <v>14562</v>
      </c>
      <c r="K966" s="36" t="s">
        <v>14563</v>
      </c>
      <c r="L966" s="36" t="s">
        <v>14564</v>
      </c>
      <c r="M966" s="36" t="s">
        <v>14565</v>
      </c>
      <c r="N966" s="36" t="s">
        <v>14566</v>
      </c>
      <c r="O966" s="36" t="s">
        <v>14567</v>
      </c>
      <c r="P966" s="36" t="s">
        <v>14554</v>
      </c>
    </row>
    <row r="967" spans="1:16">
      <c r="A967" s="139">
        <v>966</v>
      </c>
      <c r="B967" s="36" t="s">
        <v>14568</v>
      </c>
      <c r="C967" s="36" t="s">
        <v>14569</v>
      </c>
      <c r="D967" s="36" t="s">
        <v>14570</v>
      </c>
      <c r="E967" s="36" t="s">
        <v>14571</v>
      </c>
      <c r="F967" s="36" t="s">
        <v>14572</v>
      </c>
      <c r="G967" s="36" t="s">
        <v>14573</v>
      </c>
      <c r="H967" s="36" t="s">
        <v>14574</v>
      </c>
      <c r="I967" s="36" t="s">
        <v>14575</v>
      </c>
      <c r="J967" s="36" t="s">
        <v>14576</v>
      </c>
      <c r="K967" s="36" t="s">
        <v>14577</v>
      </c>
      <c r="L967" s="36" t="s">
        <v>14578</v>
      </c>
      <c r="M967" s="36" t="s">
        <v>14579</v>
      </c>
      <c r="N967" s="36" t="s">
        <v>14580</v>
      </c>
      <c r="O967" s="36" t="s">
        <v>14581</v>
      </c>
      <c r="P967" s="36" t="s">
        <v>14568</v>
      </c>
    </row>
    <row r="968" spans="1:16">
      <c r="A968" s="139">
        <v>967</v>
      </c>
      <c r="B968" s="36" t="s">
        <v>14582</v>
      </c>
      <c r="C968" s="36" t="s">
        <v>14583</v>
      </c>
      <c r="D968" s="36" t="s">
        <v>14584</v>
      </c>
      <c r="E968" s="36" t="s">
        <v>14585</v>
      </c>
      <c r="F968" s="36" t="s">
        <v>14586</v>
      </c>
      <c r="G968" s="36" t="s">
        <v>14587</v>
      </c>
      <c r="H968" s="36" t="s">
        <v>14588</v>
      </c>
      <c r="I968" s="36" t="s">
        <v>14589</v>
      </c>
      <c r="J968" s="36" t="s">
        <v>14590</v>
      </c>
      <c r="K968" s="36" t="s">
        <v>14591</v>
      </c>
      <c r="L968" s="36" t="s">
        <v>14592</v>
      </c>
      <c r="M968" s="36" t="s">
        <v>14593</v>
      </c>
      <c r="N968" s="36" t="s">
        <v>14594</v>
      </c>
      <c r="O968" s="36" t="s">
        <v>14595</v>
      </c>
      <c r="P968" s="36" t="s">
        <v>14582</v>
      </c>
    </row>
    <row r="969" spans="1:16">
      <c r="A969" s="139">
        <v>968</v>
      </c>
      <c r="B969" s="36" t="s">
        <v>14596</v>
      </c>
      <c r="C969" s="36" t="s">
        <v>14597</v>
      </c>
      <c r="D969" s="36" t="s">
        <v>14598</v>
      </c>
      <c r="E969" s="36" t="s">
        <v>14599</v>
      </c>
      <c r="F969" s="36" t="s">
        <v>14600</v>
      </c>
      <c r="G969" s="36" t="s">
        <v>14601</v>
      </c>
      <c r="H969" s="36" t="s">
        <v>14602</v>
      </c>
      <c r="I969" s="36" t="s">
        <v>14603</v>
      </c>
      <c r="J969" s="36" t="s">
        <v>14604</v>
      </c>
      <c r="K969" s="36" t="s">
        <v>14605</v>
      </c>
      <c r="L969" s="36" t="s">
        <v>14606</v>
      </c>
      <c r="M969" s="36" t="s">
        <v>14607</v>
      </c>
      <c r="N969" s="36" t="s">
        <v>14608</v>
      </c>
      <c r="O969" s="36" t="s">
        <v>14609</v>
      </c>
      <c r="P969" s="36" t="s">
        <v>14596</v>
      </c>
    </row>
    <row r="970" spans="1:16">
      <c r="A970" s="139">
        <v>969</v>
      </c>
      <c r="B970" s="36" t="s">
        <v>14610</v>
      </c>
      <c r="C970" s="36" t="s">
        <v>14611</v>
      </c>
      <c r="D970" s="36" t="s">
        <v>14612</v>
      </c>
      <c r="E970" s="36" t="s">
        <v>14613</v>
      </c>
      <c r="F970" s="36" t="s">
        <v>14614</v>
      </c>
      <c r="G970" s="36" t="s">
        <v>14615</v>
      </c>
      <c r="H970" s="36" t="s">
        <v>14616</v>
      </c>
      <c r="I970" s="36" t="s">
        <v>14617</v>
      </c>
      <c r="J970" s="36" t="s">
        <v>14618</v>
      </c>
      <c r="K970" s="36" t="s">
        <v>14619</v>
      </c>
      <c r="L970" s="36" t="s">
        <v>14620</v>
      </c>
      <c r="M970" s="36" t="s">
        <v>14621</v>
      </c>
      <c r="N970" s="36" t="s">
        <v>14622</v>
      </c>
      <c r="O970" s="36" t="s">
        <v>14623</v>
      </c>
      <c r="P970" s="36" t="s">
        <v>14610</v>
      </c>
    </row>
    <row r="971" spans="1:16">
      <c r="A971" s="139">
        <v>970</v>
      </c>
      <c r="B971" s="36" t="s">
        <v>14624</v>
      </c>
      <c r="C971" s="36" t="s">
        <v>14625</v>
      </c>
      <c r="D971" s="36" t="s">
        <v>14626</v>
      </c>
      <c r="E971" s="36" t="s">
        <v>14627</v>
      </c>
      <c r="F971" s="36" t="s">
        <v>14628</v>
      </c>
      <c r="G971" s="36" t="s">
        <v>14629</v>
      </c>
      <c r="H971" s="36" t="s">
        <v>14630</v>
      </c>
      <c r="I971" s="36" t="s">
        <v>14631</v>
      </c>
      <c r="J971" s="36" t="s">
        <v>14632</v>
      </c>
      <c r="K971" s="36" t="s">
        <v>14633</v>
      </c>
      <c r="L971" s="36" t="s">
        <v>14634</v>
      </c>
      <c r="M971" s="36" t="s">
        <v>14635</v>
      </c>
      <c r="N971" s="36" t="s">
        <v>14636</v>
      </c>
      <c r="O971" s="36" t="s">
        <v>14637</v>
      </c>
      <c r="P971" s="36" t="s">
        <v>14624</v>
      </c>
    </row>
    <row r="972" spans="1:16">
      <c r="A972" s="139">
        <v>971</v>
      </c>
      <c r="B972" s="36" t="s">
        <v>14638</v>
      </c>
      <c r="C972" s="36" t="s">
        <v>14639</v>
      </c>
      <c r="D972" s="36" t="s">
        <v>14640</v>
      </c>
      <c r="E972" s="36" t="s">
        <v>14641</v>
      </c>
      <c r="F972" s="36" t="s">
        <v>14642</v>
      </c>
      <c r="G972" s="36" t="s">
        <v>14643</v>
      </c>
      <c r="H972" s="36" t="s">
        <v>14644</v>
      </c>
      <c r="I972" s="36" t="s">
        <v>14645</v>
      </c>
      <c r="J972" s="36" t="s">
        <v>14646</v>
      </c>
      <c r="K972" s="36" t="s">
        <v>14647</v>
      </c>
      <c r="L972" s="36" t="s">
        <v>14648</v>
      </c>
      <c r="M972" s="36" t="s">
        <v>14649</v>
      </c>
      <c r="N972" s="36" t="s">
        <v>14650</v>
      </c>
      <c r="O972" s="36" t="s">
        <v>14651</v>
      </c>
      <c r="P972" s="36" t="s">
        <v>14638</v>
      </c>
    </row>
    <row r="973" spans="1:16">
      <c r="A973" s="139">
        <v>972</v>
      </c>
      <c r="B973" s="36" t="s">
        <v>14652</v>
      </c>
      <c r="C973" s="36" t="s">
        <v>14653</v>
      </c>
      <c r="D973" s="36" t="s">
        <v>14654</v>
      </c>
      <c r="E973" s="36" t="s">
        <v>14655</v>
      </c>
      <c r="F973" s="36" t="s">
        <v>14656</v>
      </c>
      <c r="G973" s="36" t="s">
        <v>14657</v>
      </c>
      <c r="H973" s="36" t="s">
        <v>14658</v>
      </c>
      <c r="I973" s="36" t="s">
        <v>14659</v>
      </c>
      <c r="J973" s="36" t="s">
        <v>14660</v>
      </c>
      <c r="K973" s="36" t="s">
        <v>14661</v>
      </c>
      <c r="L973" s="36" t="s">
        <v>14662</v>
      </c>
      <c r="M973" s="36" t="s">
        <v>14663</v>
      </c>
      <c r="N973" s="36" t="s">
        <v>14664</v>
      </c>
      <c r="O973" s="36" t="s">
        <v>14665</v>
      </c>
      <c r="P973" s="36" t="s">
        <v>14652</v>
      </c>
    </row>
    <row r="974" spans="1:16">
      <c r="A974" s="139">
        <v>973</v>
      </c>
      <c r="B974" s="36" t="s">
        <v>14666</v>
      </c>
      <c r="C974" s="36" t="s">
        <v>14667</v>
      </c>
      <c r="D974" s="36" t="s">
        <v>14668</v>
      </c>
      <c r="E974" s="36" t="s">
        <v>14669</v>
      </c>
      <c r="F974" s="36" t="s">
        <v>14670</v>
      </c>
      <c r="G974" s="36" t="s">
        <v>14671</v>
      </c>
      <c r="H974" s="36" t="s">
        <v>14672</v>
      </c>
      <c r="I974" s="36" t="s">
        <v>14673</v>
      </c>
      <c r="J974" s="36" t="s">
        <v>14674</v>
      </c>
      <c r="K974" s="36" t="s">
        <v>14675</v>
      </c>
      <c r="L974" s="36" t="s">
        <v>14676</v>
      </c>
      <c r="M974" s="36" t="s">
        <v>14677</v>
      </c>
      <c r="N974" s="36" t="s">
        <v>14678</v>
      </c>
      <c r="O974" s="36" t="s">
        <v>14679</v>
      </c>
      <c r="P974" s="36" t="s">
        <v>14666</v>
      </c>
    </row>
    <row r="975" spans="1:16">
      <c r="A975" s="139">
        <v>974</v>
      </c>
      <c r="B975" s="36" t="s">
        <v>14680</v>
      </c>
      <c r="C975" s="36" t="s">
        <v>14681</v>
      </c>
      <c r="D975" s="36" t="s">
        <v>14682</v>
      </c>
      <c r="E975" s="36" t="s">
        <v>14683</v>
      </c>
      <c r="F975" s="36" t="s">
        <v>14684</v>
      </c>
      <c r="G975" s="36" t="s">
        <v>14685</v>
      </c>
      <c r="H975" s="36" t="s">
        <v>14686</v>
      </c>
      <c r="I975" s="36" t="s">
        <v>14687</v>
      </c>
      <c r="J975" s="36" t="s">
        <v>14688</v>
      </c>
      <c r="K975" s="36" t="s">
        <v>14689</v>
      </c>
      <c r="L975" s="36" t="s">
        <v>14690</v>
      </c>
      <c r="M975" s="36" t="s">
        <v>14691</v>
      </c>
      <c r="N975" s="36" t="s">
        <v>14692</v>
      </c>
      <c r="O975" s="36" t="s">
        <v>14693</v>
      </c>
      <c r="P975" s="36" t="s">
        <v>14680</v>
      </c>
    </row>
    <row r="976" spans="1:16">
      <c r="A976" s="139">
        <v>975</v>
      </c>
      <c r="B976" s="36" t="s">
        <v>14694</v>
      </c>
      <c r="C976" s="36" t="s">
        <v>14695</v>
      </c>
      <c r="D976" s="36" t="s">
        <v>14696</v>
      </c>
      <c r="E976" s="36" t="s">
        <v>14697</v>
      </c>
      <c r="F976" s="36" t="s">
        <v>14698</v>
      </c>
      <c r="G976" s="36" t="s">
        <v>14699</v>
      </c>
      <c r="H976" s="36" t="s">
        <v>14700</v>
      </c>
      <c r="I976" s="36" t="s">
        <v>14701</v>
      </c>
      <c r="J976" s="36" t="s">
        <v>14702</v>
      </c>
      <c r="K976" s="36" t="s">
        <v>14703</v>
      </c>
      <c r="L976" s="36" t="s">
        <v>14704</v>
      </c>
      <c r="M976" s="36" t="s">
        <v>14705</v>
      </c>
      <c r="N976" s="36" t="s">
        <v>14706</v>
      </c>
      <c r="O976" s="36" t="s">
        <v>14707</v>
      </c>
      <c r="P976" s="36" t="s">
        <v>14694</v>
      </c>
    </row>
    <row r="977" spans="1:16">
      <c r="A977" s="139">
        <v>976</v>
      </c>
      <c r="B977" s="36" t="s">
        <v>14708</v>
      </c>
      <c r="C977" s="36" t="s">
        <v>14709</v>
      </c>
      <c r="D977" s="36" t="s">
        <v>14710</v>
      </c>
      <c r="E977" s="36" t="s">
        <v>14711</v>
      </c>
      <c r="F977" s="36" t="s">
        <v>14712</v>
      </c>
      <c r="G977" s="36" t="s">
        <v>14713</v>
      </c>
      <c r="H977" s="36" t="s">
        <v>14714</v>
      </c>
      <c r="I977" s="36" t="s">
        <v>14715</v>
      </c>
      <c r="J977" s="36" t="s">
        <v>14716</v>
      </c>
      <c r="K977" s="36" t="s">
        <v>14717</v>
      </c>
      <c r="L977" s="36" t="s">
        <v>14718</v>
      </c>
      <c r="M977" s="36" t="s">
        <v>14719</v>
      </c>
      <c r="N977" s="36" t="s">
        <v>14720</v>
      </c>
      <c r="O977" s="36" t="s">
        <v>14721</v>
      </c>
      <c r="P977" s="36" t="s">
        <v>14708</v>
      </c>
    </row>
    <row r="978" spans="1:16">
      <c r="A978" s="139">
        <v>977</v>
      </c>
      <c r="B978" s="36" t="s">
        <v>14722</v>
      </c>
      <c r="C978" s="36" t="s">
        <v>14723</v>
      </c>
      <c r="D978" s="36" t="s">
        <v>14724</v>
      </c>
      <c r="E978" s="36" t="s">
        <v>14725</v>
      </c>
      <c r="F978" s="36" t="s">
        <v>14726</v>
      </c>
      <c r="G978" s="36" t="s">
        <v>14727</v>
      </c>
      <c r="H978" s="36" t="s">
        <v>14728</v>
      </c>
      <c r="I978" s="36" t="s">
        <v>14729</v>
      </c>
      <c r="J978" s="36" t="s">
        <v>14730</v>
      </c>
      <c r="K978" s="36" t="s">
        <v>14731</v>
      </c>
      <c r="L978" s="36" t="s">
        <v>14732</v>
      </c>
      <c r="M978" s="36" t="s">
        <v>14733</v>
      </c>
      <c r="N978" s="36" t="s">
        <v>14734</v>
      </c>
      <c r="O978" s="36" t="s">
        <v>14735</v>
      </c>
      <c r="P978" s="36" t="s">
        <v>14722</v>
      </c>
    </row>
    <row r="979" spans="1:16">
      <c r="A979" s="139">
        <v>978</v>
      </c>
      <c r="B979" s="36" t="s">
        <v>14736</v>
      </c>
      <c r="C979" s="36" t="s">
        <v>14737</v>
      </c>
      <c r="D979" s="36" t="s">
        <v>14738</v>
      </c>
      <c r="E979" s="36" t="s">
        <v>14739</v>
      </c>
      <c r="F979" s="36" t="s">
        <v>14740</v>
      </c>
      <c r="G979" s="36" t="s">
        <v>14741</v>
      </c>
      <c r="H979" s="36" t="s">
        <v>14742</v>
      </c>
      <c r="I979" s="36" t="s">
        <v>14743</v>
      </c>
      <c r="J979" s="36" t="s">
        <v>14744</v>
      </c>
      <c r="K979" s="36" t="s">
        <v>14745</v>
      </c>
      <c r="L979" s="36" t="s">
        <v>14746</v>
      </c>
      <c r="M979" s="36" t="s">
        <v>14747</v>
      </c>
      <c r="N979" s="36" t="s">
        <v>14748</v>
      </c>
      <c r="O979" s="36" t="s">
        <v>14749</v>
      </c>
      <c r="P979" s="36" t="s">
        <v>14736</v>
      </c>
    </row>
    <row r="980" spans="1:16">
      <c r="A980" s="139">
        <v>979</v>
      </c>
      <c r="B980" s="36" t="s">
        <v>14750</v>
      </c>
      <c r="C980" s="36" t="s">
        <v>14751</v>
      </c>
      <c r="D980" s="36" t="s">
        <v>14752</v>
      </c>
      <c r="E980" s="36" t="s">
        <v>14753</v>
      </c>
      <c r="F980" s="36" t="s">
        <v>14754</v>
      </c>
      <c r="G980" s="36" t="s">
        <v>14755</v>
      </c>
      <c r="H980" s="36" t="s">
        <v>14756</v>
      </c>
      <c r="I980" s="36" t="s">
        <v>14757</v>
      </c>
      <c r="J980" s="36" t="s">
        <v>14758</v>
      </c>
      <c r="K980" s="36" t="s">
        <v>14759</v>
      </c>
      <c r="L980" s="36" t="s">
        <v>14760</v>
      </c>
      <c r="M980" s="36" t="s">
        <v>14761</v>
      </c>
      <c r="N980" s="36" t="s">
        <v>14762</v>
      </c>
      <c r="O980" s="36" t="s">
        <v>14763</v>
      </c>
      <c r="P980" s="36" t="s">
        <v>14750</v>
      </c>
    </row>
    <row r="981" spans="1:16">
      <c r="A981" s="139">
        <v>980</v>
      </c>
      <c r="B981" s="36" t="s">
        <v>14764</v>
      </c>
      <c r="C981" s="36" t="s">
        <v>14765</v>
      </c>
      <c r="D981" s="36" t="s">
        <v>14766</v>
      </c>
      <c r="E981" s="36" t="s">
        <v>14767</v>
      </c>
      <c r="F981" s="36" t="s">
        <v>14768</v>
      </c>
      <c r="G981" s="36" t="s">
        <v>14769</v>
      </c>
      <c r="H981" s="36" t="s">
        <v>14770</v>
      </c>
      <c r="I981" s="36" t="s">
        <v>14771</v>
      </c>
      <c r="J981" s="36" t="s">
        <v>14772</v>
      </c>
      <c r="K981" s="36" t="s">
        <v>14773</v>
      </c>
      <c r="L981" s="36" t="s">
        <v>14774</v>
      </c>
      <c r="M981" s="36" t="s">
        <v>14775</v>
      </c>
      <c r="N981" s="36" t="s">
        <v>14776</v>
      </c>
      <c r="O981" s="36" t="s">
        <v>14777</v>
      </c>
      <c r="P981" s="36" t="s">
        <v>14764</v>
      </c>
    </row>
    <row r="982" spans="1:16">
      <c r="A982" s="139">
        <v>981</v>
      </c>
      <c r="B982" s="36" t="s">
        <v>14778</v>
      </c>
      <c r="C982" s="36" t="s">
        <v>14779</v>
      </c>
      <c r="D982" s="36" t="s">
        <v>14780</v>
      </c>
      <c r="E982" s="36" t="s">
        <v>14781</v>
      </c>
      <c r="F982" s="36" t="s">
        <v>14782</v>
      </c>
      <c r="G982" s="36" t="s">
        <v>14783</v>
      </c>
      <c r="H982" s="36" t="s">
        <v>14784</v>
      </c>
      <c r="I982" s="36" t="s">
        <v>14785</v>
      </c>
      <c r="J982" s="36" t="s">
        <v>14786</v>
      </c>
      <c r="K982" s="36" t="s">
        <v>14787</v>
      </c>
      <c r="L982" s="36" t="s">
        <v>14788</v>
      </c>
      <c r="M982" s="36" t="s">
        <v>14789</v>
      </c>
      <c r="N982" s="36" t="s">
        <v>14790</v>
      </c>
      <c r="O982" s="36" t="s">
        <v>14791</v>
      </c>
      <c r="P982" s="36" t="s">
        <v>14778</v>
      </c>
    </row>
    <row r="983" spans="1:16">
      <c r="A983" s="139">
        <v>982</v>
      </c>
      <c r="B983" s="36" t="s">
        <v>14568</v>
      </c>
      <c r="C983" s="36" t="s">
        <v>14792</v>
      </c>
      <c r="D983" s="36" t="s">
        <v>14570</v>
      </c>
      <c r="E983" s="36" t="s">
        <v>14571</v>
      </c>
      <c r="F983" s="36" t="s">
        <v>14572</v>
      </c>
      <c r="G983" s="36" t="s">
        <v>14573</v>
      </c>
      <c r="H983" s="36" t="s">
        <v>14574</v>
      </c>
      <c r="I983" s="36" t="s">
        <v>14575</v>
      </c>
      <c r="J983" s="36" t="s">
        <v>14576</v>
      </c>
      <c r="K983" s="36" t="s">
        <v>14577</v>
      </c>
      <c r="L983" s="36" t="s">
        <v>14578</v>
      </c>
      <c r="M983" s="36" t="s">
        <v>14579</v>
      </c>
      <c r="N983" s="36" t="s">
        <v>14580</v>
      </c>
      <c r="O983" s="36" t="s">
        <v>14581</v>
      </c>
      <c r="P983" s="36" t="s">
        <v>14568</v>
      </c>
    </row>
    <row r="984" spans="1:16">
      <c r="A984" s="139">
        <v>983</v>
      </c>
      <c r="B984" s="36" t="s">
        <v>14793</v>
      </c>
      <c r="C984" s="36" t="s">
        <v>14794</v>
      </c>
      <c r="D984" s="36" t="s">
        <v>14795</v>
      </c>
      <c r="E984" s="36" t="s">
        <v>14796</v>
      </c>
      <c r="F984" s="36" t="s">
        <v>14797</v>
      </c>
      <c r="G984" s="36" t="s">
        <v>14798</v>
      </c>
      <c r="H984" s="36" t="s">
        <v>14799</v>
      </c>
      <c r="I984" s="36" t="s">
        <v>14800</v>
      </c>
      <c r="J984" s="36" t="s">
        <v>14801</v>
      </c>
      <c r="K984" s="36" t="s">
        <v>14802</v>
      </c>
      <c r="L984" s="36" t="s">
        <v>14803</v>
      </c>
      <c r="M984" s="36" t="s">
        <v>14804</v>
      </c>
      <c r="N984" s="36" t="s">
        <v>14805</v>
      </c>
      <c r="O984" s="36" t="s">
        <v>14806</v>
      </c>
      <c r="P984" s="36" t="s">
        <v>14793</v>
      </c>
    </row>
    <row r="985" spans="1:16">
      <c r="A985" s="139">
        <v>984</v>
      </c>
      <c r="B985" s="36" t="s">
        <v>14807</v>
      </c>
      <c r="C985" s="36" t="s">
        <v>14808</v>
      </c>
      <c r="D985" s="36" t="s">
        <v>14809</v>
      </c>
      <c r="E985" s="36" t="s">
        <v>14810</v>
      </c>
      <c r="F985" s="36" t="s">
        <v>14811</v>
      </c>
      <c r="G985" s="36" t="s">
        <v>14812</v>
      </c>
      <c r="H985" s="36" t="s">
        <v>14813</v>
      </c>
      <c r="I985" s="36" t="s">
        <v>14814</v>
      </c>
      <c r="J985" s="36" t="s">
        <v>14815</v>
      </c>
      <c r="K985" s="36" t="s">
        <v>14816</v>
      </c>
      <c r="L985" s="36" t="s">
        <v>14817</v>
      </c>
      <c r="M985" s="36" t="s">
        <v>14818</v>
      </c>
      <c r="N985" s="36" t="s">
        <v>14819</v>
      </c>
      <c r="O985" s="36" t="s">
        <v>14820</v>
      </c>
      <c r="P985" s="36" t="s">
        <v>14807</v>
      </c>
    </row>
    <row r="986" spans="1:16">
      <c r="A986" s="139">
        <v>985</v>
      </c>
      <c r="B986" s="36" t="s">
        <v>14821</v>
      </c>
      <c r="C986" s="36" t="s">
        <v>14822</v>
      </c>
      <c r="D986" s="36" t="s">
        <v>14823</v>
      </c>
      <c r="E986" s="36" t="s">
        <v>14824</v>
      </c>
      <c r="F986" s="36" t="s">
        <v>14825</v>
      </c>
      <c r="G986" s="36" t="s">
        <v>14826</v>
      </c>
      <c r="H986" s="36" t="s">
        <v>14827</v>
      </c>
      <c r="I986" s="36" t="s">
        <v>14828</v>
      </c>
      <c r="J986" s="36" t="s">
        <v>14829</v>
      </c>
      <c r="K986" s="36" t="s">
        <v>14830</v>
      </c>
      <c r="L986" s="36" t="s">
        <v>14831</v>
      </c>
      <c r="M986" s="36" t="s">
        <v>14832</v>
      </c>
      <c r="N986" s="36" t="s">
        <v>14833</v>
      </c>
      <c r="O986" s="36" t="s">
        <v>14834</v>
      </c>
      <c r="P986" s="36" t="s">
        <v>14821</v>
      </c>
    </row>
    <row r="987" spans="1:16">
      <c r="A987" s="139">
        <v>986</v>
      </c>
      <c r="B987" s="36" t="s">
        <v>14835</v>
      </c>
      <c r="C987" s="36" t="s">
        <v>14836</v>
      </c>
      <c r="D987" s="36" t="s">
        <v>14837</v>
      </c>
      <c r="E987" s="36" t="s">
        <v>14838</v>
      </c>
      <c r="F987" s="36" t="s">
        <v>14839</v>
      </c>
      <c r="G987" s="36" t="s">
        <v>14840</v>
      </c>
      <c r="H987" s="36" t="s">
        <v>14841</v>
      </c>
      <c r="I987" s="36" t="s">
        <v>14842</v>
      </c>
      <c r="J987" s="36" t="s">
        <v>14843</v>
      </c>
      <c r="K987" s="36" t="s">
        <v>14830</v>
      </c>
      <c r="L987" s="36" t="s">
        <v>14844</v>
      </c>
      <c r="M987" s="36" t="s">
        <v>14845</v>
      </c>
      <c r="N987" s="36" t="s">
        <v>14846</v>
      </c>
      <c r="O987" s="36" t="s">
        <v>14847</v>
      </c>
      <c r="P987" s="36" t="s">
        <v>14835</v>
      </c>
    </row>
    <row r="988" spans="1:16">
      <c r="A988" s="139">
        <v>987</v>
      </c>
      <c r="B988" s="36" t="s">
        <v>14848</v>
      </c>
      <c r="C988" s="36" t="s">
        <v>14849</v>
      </c>
      <c r="D988" s="36" t="s">
        <v>14850</v>
      </c>
      <c r="E988" s="36" t="s">
        <v>14851</v>
      </c>
      <c r="F988" s="36" t="s">
        <v>14852</v>
      </c>
      <c r="G988" s="36" t="s">
        <v>14853</v>
      </c>
      <c r="H988" s="36" t="s">
        <v>14854</v>
      </c>
      <c r="I988" s="36" t="s">
        <v>14855</v>
      </c>
      <c r="J988" s="36" t="s">
        <v>14856</v>
      </c>
      <c r="K988" s="36" t="s">
        <v>14857</v>
      </c>
      <c r="L988" s="36" t="s">
        <v>14858</v>
      </c>
      <c r="M988" s="36" t="s">
        <v>14859</v>
      </c>
      <c r="N988" s="36" t="s">
        <v>14860</v>
      </c>
      <c r="O988" s="36" t="s">
        <v>14861</v>
      </c>
      <c r="P988" s="36" t="s">
        <v>14848</v>
      </c>
    </row>
    <row r="989" spans="1:16">
      <c r="A989" s="139">
        <v>988</v>
      </c>
      <c r="B989" s="36" t="s">
        <v>14862</v>
      </c>
      <c r="C989" s="36" t="s">
        <v>14863</v>
      </c>
      <c r="D989" s="36" t="s">
        <v>14864</v>
      </c>
      <c r="E989" s="36" t="s">
        <v>14865</v>
      </c>
      <c r="F989" s="36" t="s">
        <v>5682</v>
      </c>
      <c r="G989" s="36" t="s">
        <v>14866</v>
      </c>
      <c r="H989" s="36" t="s">
        <v>14867</v>
      </c>
      <c r="I989" s="36" t="s">
        <v>14868</v>
      </c>
      <c r="J989" s="36" t="s">
        <v>14869</v>
      </c>
      <c r="K989" s="36" t="s">
        <v>14870</v>
      </c>
      <c r="L989" s="36" t="s">
        <v>14871</v>
      </c>
      <c r="M989" s="36" t="s">
        <v>14872</v>
      </c>
      <c r="N989" s="36" t="s">
        <v>14873</v>
      </c>
      <c r="O989" s="36" t="s">
        <v>14874</v>
      </c>
      <c r="P989" s="36" t="s">
        <v>14862</v>
      </c>
    </row>
    <row r="990" spans="1:16">
      <c r="A990" s="139">
        <v>989</v>
      </c>
      <c r="B990" s="36" t="s">
        <v>14875</v>
      </c>
      <c r="C990" s="36" t="s">
        <v>14876</v>
      </c>
      <c r="D990" s="36" t="s">
        <v>14877</v>
      </c>
      <c r="E990" s="36" t="s">
        <v>14878</v>
      </c>
      <c r="F990" s="36" t="s">
        <v>14075</v>
      </c>
      <c r="G990" s="36" t="s">
        <v>14879</v>
      </c>
      <c r="H990" s="36" t="s">
        <v>14880</v>
      </c>
      <c r="I990" s="36" t="s">
        <v>14881</v>
      </c>
      <c r="J990" s="36" t="s">
        <v>14882</v>
      </c>
      <c r="K990" s="36" t="s">
        <v>14883</v>
      </c>
      <c r="L990" s="36" t="s">
        <v>14884</v>
      </c>
      <c r="M990" s="36" t="s">
        <v>14885</v>
      </c>
      <c r="N990" s="36" t="s">
        <v>14886</v>
      </c>
      <c r="O990" s="36" t="s">
        <v>14887</v>
      </c>
      <c r="P990" s="36" t="s">
        <v>14875</v>
      </c>
    </row>
    <row r="991" spans="1:16">
      <c r="A991" s="139">
        <v>990</v>
      </c>
      <c r="B991" s="36" t="s">
        <v>14888</v>
      </c>
      <c r="C991" s="36" t="s">
        <v>14889</v>
      </c>
      <c r="D991" s="36" t="s">
        <v>14890</v>
      </c>
      <c r="E991" s="36" t="s">
        <v>14891</v>
      </c>
      <c r="F991" s="36" t="s">
        <v>14892</v>
      </c>
      <c r="G991" s="36" t="s">
        <v>14893</v>
      </c>
      <c r="H991" s="36" t="s">
        <v>14894</v>
      </c>
      <c r="I991" s="36" t="s">
        <v>14895</v>
      </c>
      <c r="J991" s="36" t="s">
        <v>14896</v>
      </c>
      <c r="K991" s="36" t="s">
        <v>14897</v>
      </c>
      <c r="L991" s="36" t="s">
        <v>14898</v>
      </c>
      <c r="M991" s="36" t="s">
        <v>14899</v>
      </c>
      <c r="N991" s="36" t="s">
        <v>14900</v>
      </c>
      <c r="O991" s="36" t="s">
        <v>14901</v>
      </c>
      <c r="P991" s="36" t="s">
        <v>14888</v>
      </c>
    </row>
    <row r="992" spans="1:16">
      <c r="A992" s="139">
        <v>991</v>
      </c>
      <c r="B992" s="36" t="s">
        <v>14902</v>
      </c>
      <c r="C992" s="36" t="s">
        <v>14903</v>
      </c>
      <c r="D992" s="36" t="s">
        <v>7859</v>
      </c>
      <c r="E992" s="36" t="s">
        <v>14904</v>
      </c>
      <c r="F992" s="36" t="s">
        <v>14905</v>
      </c>
      <c r="G992" s="36" t="s">
        <v>13468</v>
      </c>
      <c r="H992" s="36" t="s">
        <v>14906</v>
      </c>
      <c r="I992" s="36" t="s">
        <v>14907</v>
      </c>
      <c r="J992" s="36" t="s">
        <v>14908</v>
      </c>
      <c r="K992" s="36" t="s">
        <v>14909</v>
      </c>
      <c r="L992" s="36" t="s">
        <v>14910</v>
      </c>
      <c r="M992" s="36" t="s">
        <v>14911</v>
      </c>
      <c r="N992" s="36" t="s">
        <v>14912</v>
      </c>
      <c r="O992" s="36" t="s">
        <v>14913</v>
      </c>
      <c r="P992" s="36" t="s">
        <v>14902</v>
      </c>
    </row>
    <row r="993" spans="1:16">
      <c r="A993" s="139">
        <v>992</v>
      </c>
      <c r="B993" s="36" t="s">
        <v>31</v>
      </c>
      <c r="C993" s="36" t="s">
        <v>14914</v>
      </c>
      <c r="D993" s="36" t="s">
        <v>14915</v>
      </c>
      <c r="E993" s="36" t="s">
        <v>14916</v>
      </c>
      <c r="F993" s="36" t="s">
        <v>14917</v>
      </c>
      <c r="G993" s="36" t="s">
        <v>14914</v>
      </c>
      <c r="H993" s="36" t="s">
        <v>14918</v>
      </c>
      <c r="I993" s="36" t="s">
        <v>14919</v>
      </c>
      <c r="J993" s="36" t="s">
        <v>14920</v>
      </c>
      <c r="K993" s="36" t="s">
        <v>14921</v>
      </c>
      <c r="L993" s="36" t="s">
        <v>14922</v>
      </c>
      <c r="M993" s="36" t="s">
        <v>14923</v>
      </c>
      <c r="N993" s="36" t="s">
        <v>14924</v>
      </c>
      <c r="O993" s="36" t="s">
        <v>14925</v>
      </c>
      <c r="P993" s="36" t="s">
        <v>31</v>
      </c>
    </row>
    <row r="994" spans="1:16">
      <c r="A994" s="139">
        <v>993</v>
      </c>
      <c r="B994" s="36" t="s">
        <v>14926</v>
      </c>
      <c r="C994" s="36" t="s">
        <v>14926</v>
      </c>
      <c r="D994" s="36" t="s">
        <v>14926</v>
      </c>
      <c r="E994" s="36" t="s">
        <v>14926</v>
      </c>
      <c r="F994" s="36" t="s">
        <v>14926</v>
      </c>
      <c r="G994" s="36" t="s">
        <v>14926</v>
      </c>
      <c r="H994" s="36" t="s">
        <v>14926</v>
      </c>
      <c r="I994" s="36" t="s">
        <v>14926</v>
      </c>
      <c r="J994" s="36" t="s">
        <v>14926</v>
      </c>
      <c r="K994" s="36" t="s">
        <v>14926</v>
      </c>
      <c r="L994" s="36" t="s">
        <v>14926</v>
      </c>
      <c r="M994" s="36" t="s">
        <v>14926</v>
      </c>
      <c r="N994" s="36" t="s">
        <v>14926</v>
      </c>
      <c r="O994" s="36" t="s">
        <v>14926</v>
      </c>
      <c r="P994" s="36" t="s">
        <v>14926</v>
      </c>
    </row>
    <row r="995" spans="1:16">
      <c r="A995" s="139">
        <v>994</v>
      </c>
      <c r="B995" s="36" t="s">
        <v>14927</v>
      </c>
      <c r="C995" s="36" t="s">
        <v>14927</v>
      </c>
      <c r="D995" s="36" t="s">
        <v>14927</v>
      </c>
      <c r="E995" s="36" t="s">
        <v>14927</v>
      </c>
      <c r="F995" s="36" t="s">
        <v>14927</v>
      </c>
      <c r="G995" s="36" t="s">
        <v>14927</v>
      </c>
      <c r="H995" s="36" t="s">
        <v>14927</v>
      </c>
      <c r="I995" s="36" t="s">
        <v>14927</v>
      </c>
      <c r="J995" s="36" t="s">
        <v>14927</v>
      </c>
      <c r="K995" s="36" t="s">
        <v>14927</v>
      </c>
      <c r="L995" s="36" t="s">
        <v>14927</v>
      </c>
      <c r="M995" s="36" t="s">
        <v>14927</v>
      </c>
      <c r="N995" s="36" t="s">
        <v>14927</v>
      </c>
      <c r="O995" s="36" t="s">
        <v>14927</v>
      </c>
      <c r="P995" s="36" t="s">
        <v>14927</v>
      </c>
    </row>
    <row r="996" spans="1:16">
      <c r="A996" s="139">
        <v>995</v>
      </c>
      <c r="B996" s="36" t="s">
        <v>14928</v>
      </c>
      <c r="C996" s="36" t="s">
        <v>14928</v>
      </c>
      <c r="D996" s="36" t="s">
        <v>14928</v>
      </c>
      <c r="E996" s="36" t="s">
        <v>14928</v>
      </c>
      <c r="F996" s="36" t="s">
        <v>14928</v>
      </c>
      <c r="G996" s="36" t="s">
        <v>14928</v>
      </c>
      <c r="H996" s="36" t="s">
        <v>14928</v>
      </c>
      <c r="I996" s="36" t="s">
        <v>14928</v>
      </c>
      <c r="J996" s="36" t="s">
        <v>14928</v>
      </c>
      <c r="K996" s="36" t="s">
        <v>14928</v>
      </c>
      <c r="L996" s="36" t="s">
        <v>14928</v>
      </c>
      <c r="M996" s="36" t="s">
        <v>14928</v>
      </c>
      <c r="N996" s="36" t="s">
        <v>14928</v>
      </c>
      <c r="O996" s="36" t="s">
        <v>14928</v>
      </c>
      <c r="P996" s="36" t="s">
        <v>14928</v>
      </c>
    </row>
    <row r="997" spans="1:16">
      <c r="A997" s="139">
        <v>996</v>
      </c>
      <c r="B997" s="36" t="s">
        <v>14929</v>
      </c>
      <c r="C997" s="36" t="s">
        <v>14929</v>
      </c>
      <c r="D997" s="36" t="s">
        <v>14929</v>
      </c>
      <c r="E997" s="36" t="s">
        <v>14929</v>
      </c>
      <c r="F997" s="36" t="s">
        <v>14929</v>
      </c>
      <c r="G997" s="36" t="s">
        <v>14929</v>
      </c>
      <c r="H997" s="36" t="s">
        <v>14929</v>
      </c>
      <c r="I997" s="36" t="s">
        <v>14929</v>
      </c>
      <c r="J997" s="36" t="s">
        <v>14929</v>
      </c>
      <c r="K997" s="36" t="s">
        <v>14929</v>
      </c>
      <c r="L997" s="36" t="s">
        <v>14929</v>
      </c>
      <c r="M997" s="36" t="s">
        <v>14929</v>
      </c>
      <c r="N997" s="36" t="s">
        <v>14929</v>
      </c>
      <c r="O997" s="36" t="s">
        <v>14929</v>
      </c>
      <c r="P997" s="36" t="s">
        <v>14929</v>
      </c>
    </row>
    <row r="998" spans="1:16">
      <c r="A998" s="139">
        <v>997</v>
      </c>
      <c r="B998" s="36" t="s">
        <v>14930</v>
      </c>
      <c r="C998" s="36" t="s">
        <v>14931</v>
      </c>
      <c r="D998" s="36" t="s">
        <v>14932</v>
      </c>
      <c r="E998" s="36" t="s">
        <v>14933</v>
      </c>
      <c r="F998" s="36" t="s">
        <v>14934</v>
      </c>
      <c r="G998" s="36" t="s">
        <v>14935</v>
      </c>
      <c r="H998" s="36" t="s">
        <v>14936</v>
      </c>
      <c r="I998" s="36" t="s">
        <v>14937</v>
      </c>
      <c r="J998" s="36" t="s">
        <v>14938</v>
      </c>
      <c r="K998" s="36" t="s">
        <v>14939</v>
      </c>
      <c r="L998" s="36" t="s">
        <v>13088</v>
      </c>
      <c r="M998" s="36" t="s">
        <v>14940</v>
      </c>
      <c r="N998" s="36" t="s">
        <v>14941</v>
      </c>
      <c r="O998" s="36" t="s">
        <v>14942</v>
      </c>
      <c r="P998" s="36" t="s">
        <v>14930</v>
      </c>
    </row>
    <row r="999" spans="1:16">
      <c r="A999" s="139">
        <v>998</v>
      </c>
      <c r="B999" s="36" t="s">
        <v>14943</v>
      </c>
      <c r="C999" s="36" t="s">
        <v>14944</v>
      </c>
      <c r="D999" s="36" t="s">
        <v>14945</v>
      </c>
      <c r="E999" s="36" t="s">
        <v>14946</v>
      </c>
      <c r="F999" s="36" t="s">
        <v>14947</v>
      </c>
      <c r="G999" s="36" t="s">
        <v>14948</v>
      </c>
      <c r="H999" s="36" t="s">
        <v>14949</v>
      </c>
      <c r="I999" s="36" t="s">
        <v>14950</v>
      </c>
      <c r="J999" s="36" t="s">
        <v>14951</v>
      </c>
      <c r="K999" s="36" t="s">
        <v>14952</v>
      </c>
      <c r="L999" s="36" t="s">
        <v>14953</v>
      </c>
      <c r="M999" s="36" t="s">
        <v>14954</v>
      </c>
      <c r="N999" s="36" t="s">
        <v>14955</v>
      </c>
      <c r="O999" s="36" t="s">
        <v>14956</v>
      </c>
      <c r="P999" s="36" t="s">
        <v>14943</v>
      </c>
    </row>
    <row r="1000" spans="1:16">
      <c r="A1000" s="139">
        <v>999</v>
      </c>
      <c r="B1000" s="36" t="s">
        <v>14957</v>
      </c>
      <c r="C1000" s="36" t="s">
        <v>14958</v>
      </c>
      <c r="D1000" s="36" t="s">
        <v>14932</v>
      </c>
      <c r="E1000" s="36" t="s">
        <v>14959</v>
      </c>
      <c r="F1000" s="36" t="s">
        <v>14934</v>
      </c>
      <c r="G1000" s="36" t="s">
        <v>14960</v>
      </c>
      <c r="H1000" s="36" t="s">
        <v>14961</v>
      </c>
      <c r="I1000" s="36" t="s">
        <v>14962</v>
      </c>
      <c r="J1000" s="36" t="s">
        <v>14963</v>
      </c>
      <c r="K1000" s="36" t="s">
        <v>14964</v>
      </c>
      <c r="L1000" s="36" t="s">
        <v>14965</v>
      </c>
      <c r="M1000" s="36" t="s">
        <v>14966</v>
      </c>
      <c r="N1000" s="36" t="s">
        <v>14967</v>
      </c>
      <c r="O1000" s="36" t="s">
        <v>14968</v>
      </c>
      <c r="P1000" s="36" t="s">
        <v>14957</v>
      </c>
    </row>
    <row r="1001" spans="1:16">
      <c r="A1001" s="139">
        <v>1000</v>
      </c>
      <c r="B1001" s="36" t="s">
        <v>14969</v>
      </c>
      <c r="C1001" s="36" t="s">
        <v>14970</v>
      </c>
      <c r="D1001" s="36" t="s">
        <v>14932</v>
      </c>
      <c r="E1001" s="36" t="s">
        <v>14971</v>
      </c>
      <c r="F1001" s="36" t="s">
        <v>14934</v>
      </c>
      <c r="G1001" s="36" t="s">
        <v>14972</v>
      </c>
      <c r="H1001" s="36" t="s">
        <v>14973</v>
      </c>
      <c r="I1001" s="36" t="s">
        <v>14974</v>
      </c>
      <c r="J1001" s="36" t="s">
        <v>14975</v>
      </c>
      <c r="K1001" s="36" t="s">
        <v>14976</v>
      </c>
      <c r="L1001" s="36" t="s">
        <v>14977</v>
      </c>
      <c r="M1001" s="36" t="s">
        <v>14978</v>
      </c>
      <c r="N1001" s="36" t="s">
        <v>14979</v>
      </c>
      <c r="O1001" s="36" t="s">
        <v>14980</v>
      </c>
      <c r="P1001" s="36" t="s">
        <v>14969</v>
      </c>
    </row>
    <row r="1002" spans="1:16">
      <c r="A1002" s="139">
        <v>1001</v>
      </c>
      <c r="B1002" s="36" t="s">
        <v>14981</v>
      </c>
      <c r="C1002" s="36" t="s">
        <v>14982</v>
      </c>
      <c r="D1002" s="36" t="s">
        <v>14983</v>
      </c>
      <c r="E1002" s="36" t="s">
        <v>14984</v>
      </c>
      <c r="F1002" s="36" t="s">
        <v>14985</v>
      </c>
      <c r="G1002" s="36" t="s">
        <v>14986</v>
      </c>
      <c r="H1002" s="36" t="s">
        <v>14987</v>
      </c>
      <c r="I1002" s="36" t="s">
        <v>14988</v>
      </c>
      <c r="J1002" s="36" t="s">
        <v>14989</v>
      </c>
      <c r="K1002" s="36" t="s">
        <v>14990</v>
      </c>
      <c r="L1002" s="36" t="s">
        <v>14991</v>
      </c>
      <c r="M1002" s="36" t="s">
        <v>14992</v>
      </c>
      <c r="N1002" s="36" t="s">
        <v>14993</v>
      </c>
      <c r="O1002" s="36" t="s">
        <v>14994</v>
      </c>
      <c r="P1002" s="36" t="s">
        <v>14981</v>
      </c>
    </row>
    <row r="1003" spans="1:16">
      <c r="A1003" s="139">
        <v>1002</v>
      </c>
      <c r="B1003" s="36" t="s">
        <v>14995</v>
      </c>
      <c r="C1003" s="36" t="s">
        <v>14996</v>
      </c>
      <c r="D1003" s="36" t="s">
        <v>14997</v>
      </c>
      <c r="E1003" s="36" t="s">
        <v>14998</v>
      </c>
      <c r="F1003" s="36" t="s">
        <v>14999</v>
      </c>
      <c r="G1003" s="36" t="s">
        <v>15000</v>
      </c>
      <c r="H1003" s="36" t="s">
        <v>15001</v>
      </c>
      <c r="I1003" s="36" t="s">
        <v>15002</v>
      </c>
      <c r="J1003" s="36" t="s">
        <v>15003</v>
      </c>
      <c r="K1003" s="36" t="s">
        <v>15004</v>
      </c>
      <c r="L1003" s="36" t="s">
        <v>15005</v>
      </c>
      <c r="M1003" s="36" t="s">
        <v>15006</v>
      </c>
      <c r="N1003" s="36" t="s">
        <v>15007</v>
      </c>
      <c r="O1003" s="36" t="s">
        <v>15008</v>
      </c>
      <c r="P1003" s="36" t="s">
        <v>14995</v>
      </c>
    </row>
    <row r="1004" spans="1:16">
      <c r="A1004" s="139">
        <v>1003</v>
      </c>
      <c r="B1004" s="36" t="s">
        <v>15009</v>
      </c>
      <c r="C1004" s="36" t="s">
        <v>15010</v>
      </c>
      <c r="D1004" s="36" t="s">
        <v>15011</v>
      </c>
      <c r="E1004" s="36" t="s">
        <v>15012</v>
      </c>
      <c r="F1004" s="36" t="s">
        <v>15013</v>
      </c>
      <c r="G1004" s="36" t="s">
        <v>15014</v>
      </c>
      <c r="H1004" s="36" t="s">
        <v>15015</v>
      </c>
      <c r="I1004" s="36" t="s">
        <v>15016</v>
      </c>
      <c r="J1004" s="36" t="s">
        <v>15017</v>
      </c>
      <c r="K1004" s="36" t="s">
        <v>15018</v>
      </c>
      <c r="L1004" s="36" t="s">
        <v>15019</v>
      </c>
      <c r="M1004" s="36" t="s">
        <v>15020</v>
      </c>
      <c r="N1004" s="36" t="s">
        <v>15021</v>
      </c>
      <c r="O1004" s="36" t="s">
        <v>15022</v>
      </c>
      <c r="P1004" s="36" t="s">
        <v>15009</v>
      </c>
    </row>
    <row r="1005" spans="1:16">
      <c r="A1005" s="139">
        <v>1004</v>
      </c>
      <c r="B1005" s="36" t="s">
        <v>15023</v>
      </c>
      <c r="C1005" s="36" t="s">
        <v>15024</v>
      </c>
      <c r="D1005" s="36" t="s">
        <v>15025</v>
      </c>
      <c r="E1005" s="36" t="s">
        <v>15026</v>
      </c>
      <c r="F1005" s="36" t="s">
        <v>15027</v>
      </c>
      <c r="G1005" s="36" t="s">
        <v>15028</v>
      </c>
      <c r="H1005" s="36" t="s">
        <v>15029</v>
      </c>
      <c r="I1005" s="36" t="s">
        <v>15030</v>
      </c>
      <c r="J1005" s="36" t="s">
        <v>15031</v>
      </c>
      <c r="K1005" s="36" t="s">
        <v>15032</v>
      </c>
      <c r="L1005" s="36" t="s">
        <v>15033</v>
      </c>
      <c r="M1005" s="36" t="s">
        <v>15034</v>
      </c>
      <c r="N1005" s="36" t="s">
        <v>15035</v>
      </c>
      <c r="O1005" s="36" t="s">
        <v>15036</v>
      </c>
      <c r="P1005" s="36" t="s">
        <v>15023</v>
      </c>
    </row>
    <row r="1006" spans="1:16">
      <c r="A1006" s="139">
        <v>1005</v>
      </c>
      <c r="B1006" s="36" t="s">
        <v>15037</v>
      </c>
      <c r="C1006" s="36" t="s">
        <v>15038</v>
      </c>
      <c r="D1006" s="36" t="s">
        <v>15039</v>
      </c>
      <c r="E1006" s="36" t="s">
        <v>15040</v>
      </c>
      <c r="F1006" s="36" t="s">
        <v>15041</v>
      </c>
      <c r="G1006" s="36" t="s">
        <v>15042</v>
      </c>
      <c r="H1006" s="36" t="s">
        <v>15043</v>
      </c>
      <c r="I1006" s="36" t="s">
        <v>15044</v>
      </c>
      <c r="J1006" s="36" t="s">
        <v>15045</v>
      </c>
      <c r="K1006" s="36" t="s">
        <v>15046</v>
      </c>
      <c r="L1006" s="36" t="s">
        <v>15047</v>
      </c>
      <c r="M1006" s="36" t="s">
        <v>15048</v>
      </c>
      <c r="N1006" s="36" t="s">
        <v>15049</v>
      </c>
      <c r="O1006" s="36" t="s">
        <v>15050</v>
      </c>
      <c r="P1006" s="36" t="s">
        <v>15037</v>
      </c>
    </row>
    <row r="1007" spans="1:16">
      <c r="A1007" s="139">
        <v>1006</v>
      </c>
      <c r="B1007" s="36" t="s">
        <v>15051</v>
      </c>
      <c r="C1007" s="36" t="s">
        <v>15052</v>
      </c>
      <c r="D1007" s="36" t="s">
        <v>15053</v>
      </c>
      <c r="E1007" s="36" t="s">
        <v>15054</v>
      </c>
      <c r="F1007" s="36" t="s">
        <v>15055</v>
      </c>
      <c r="G1007" s="36" t="s">
        <v>15056</v>
      </c>
      <c r="H1007" s="36" t="s">
        <v>15057</v>
      </c>
      <c r="I1007" s="36" t="s">
        <v>15058</v>
      </c>
      <c r="J1007" s="36" t="s">
        <v>15059</v>
      </c>
      <c r="K1007" s="36" t="s">
        <v>15060</v>
      </c>
      <c r="L1007" s="36" t="s">
        <v>15061</v>
      </c>
      <c r="M1007" s="36" t="s">
        <v>15062</v>
      </c>
      <c r="N1007" s="36" t="s">
        <v>15063</v>
      </c>
      <c r="O1007" s="36" t="s">
        <v>15064</v>
      </c>
      <c r="P1007" s="36" t="s">
        <v>15051</v>
      </c>
    </row>
    <row r="1008" spans="1:16">
      <c r="A1008" s="139">
        <v>1007</v>
      </c>
      <c r="B1008" s="36" t="s">
        <v>15065</v>
      </c>
      <c r="C1008" s="36" t="s">
        <v>15066</v>
      </c>
      <c r="D1008" s="36" t="s">
        <v>15067</v>
      </c>
      <c r="E1008" s="36" t="s">
        <v>15068</v>
      </c>
      <c r="F1008" s="36" t="s">
        <v>15069</v>
      </c>
      <c r="G1008" s="36" t="s">
        <v>15070</v>
      </c>
      <c r="H1008" s="36" t="s">
        <v>15071</v>
      </c>
      <c r="I1008" s="36" t="s">
        <v>15072</v>
      </c>
      <c r="J1008" s="36" t="s">
        <v>15073</v>
      </c>
      <c r="K1008" s="36" t="s">
        <v>15074</v>
      </c>
      <c r="L1008" s="36" t="s">
        <v>15075</v>
      </c>
      <c r="M1008" s="36" t="s">
        <v>15076</v>
      </c>
      <c r="N1008" s="36" t="s">
        <v>15077</v>
      </c>
      <c r="O1008" s="36" t="s">
        <v>15078</v>
      </c>
      <c r="P1008" s="36" t="s">
        <v>15065</v>
      </c>
    </row>
    <row r="1009" spans="1:16">
      <c r="A1009" s="139">
        <v>1008</v>
      </c>
      <c r="B1009" s="36" t="s">
        <v>15079</v>
      </c>
      <c r="C1009" s="36" t="s">
        <v>15080</v>
      </c>
      <c r="D1009" s="36" t="s">
        <v>15081</v>
      </c>
      <c r="E1009" s="36" t="s">
        <v>15082</v>
      </c>
      <c r="F1009" s="36" t="s">
        <v>15083</v>
      </c>
      <c r="G1009" s="36" t="s">
        <v>15084</v>
      </c>
      <c r="H1009" s="36" t="s">
        <v>15085</v>
      </c>
      <c r="I1009" s="36" t="s">
        <v>15086</v>
      </c>
      <c r="J1009" s="36" t="s">
        <v>15087</v>
      </c>
      <c r="K1009" s="36" t="s">
        <v>15088</v>
      </c>
      <c r="L1009" s="36" t="s">
        <v>15089</v>
      </c>
      <c r="M1009" s="36" t="s">
        <v>15090</v>
      </c>
      <c r="N1009" s="36" t="s">
        <v>15091</v>
      </c>
      <c r="O1009" s="36" t="s">
        <v>15092</v>
      </c>
      <c r="P1009" s="36" t="s">
        <v>15079</v>
      </c>
    </row>
    <row r="1010" spans="1:16">
      <c r="A1010" s="139">
        <v>1009</v>
      </c>
      <c r="B1010" s="36" t="s">
        <v>15093</v>
      </c>
      <c r="C1010" s="36" t="s">
        <v>15094</v>
      </c>
      <c r="D1010" s="36" t="s">
        <v>15095</v>
      </c>
      <c r="E1010" s="36" t="s">
        <v>15096</v>
      </c>
      <c r="F1010" s="36" t="s">
        <v>15097</v>
      </c>
      <c r="G1010" s="36" t="s">
        <v>15098</v>
      </c>
      <c r="H1010" s="36" t="s">
        <v>15099</v>
      </c>
      <c r="I1010" s="36" t="s">
        <v>15100</v>
      </c>
      <c r="J1010" s="36" t="s">
        <v>15101</v>
      </c>
      <c r="K1010" s="36" t="s">
        <v>15102</v>
      </c>
      <c r="L1010" s="36" t="s">
        <v>15103</v>
      </c>
      <c r="M1010" s="36" t="s">
        <v>15104</v>
      </c>
      <c r="N1010" s="36" t="s">
        <v>15105</v>
      </c>
      <c r="O1010" s="36" t="s">
        <v>15106</v>
      </c>
      <c r="P1010" s="36" t="s">
        <v>15093</v>
      </c>
    </row>
    <row r="1011" spans="1:16">
      <c r="A1011" s="139">
        <v>1010</v>
      </c>
      <c r="B1011" s="36" t="s">
        <v>15107</v>
      </c>
      <c r="C1011" s="36" t="s">
        <v>15108</v>
      </c>
      <c r="D1011" s="36" t="s">
        <v>15109</v>
      </c>
      <c r="E1011" s="36" t="s">
        <v>15110</v>
      </c>
      <c r="F1011" s="36" t="s">
        <v>15111</v>
      </c>
      <c r="G1011" s="36" t="s">
        <v>15112</v>
      </c>
      <c r="H1011" s="36" t="s">
        <v>15113</v>
      </c>
      <c r="I1011" s="36" t="s">
        <v>15114</v>
      </c>
      <c r="J1011" s="36" t="s">
        <v>15115</v>
      </c>
      <c r="K1011" s="36" t="s">
        <v>15116</v>
      </c>
      <c r="L1011" s="36" t="s">
        <v>15117</v>
      </c>
      <c r="M1011" s="36" t="s">
        <v>15118</v>
      </c>
      <c r="N1011" s="36" t="s">
        <v>15119</v>
      </c>
      <c r="O1011" s="36" t="s">
        <v>15120</v>
      </c>
      <c r="P1011" s="36" t="s">
        <v>15107</v>
      </c>
    </row>
    <row r="1012" spans="1:16">
      <c r="A1012" s="139">
        <v>1011</v>
      </c>
      <c r="B1012" s="36" t="s">
        <v>15121</v>
      </c>
      <c r="C1012" s="36" t="s">
        <v>15122</v>
      </c>
      <c r="D1012" s="36" t="s">
        <v>15123</v>
      </c>
      <c r="E1012" s="36" t="s">
        <v>5496</v>
      </c>
      <c r="F1012" s="36" t="s">
        <v>15124</v>
      </c>
      <c r="G1012" s="36" t="s">
        <v>15125</v>
      </c>
      <c r="H1012" s="36" t="s">
        <v>15126</v>
      </c>
      <c r="I1012" s="36" t="s">
        <v>15127</v>
      </c>
      <c r="J1012" s="36" t="s">
        <v>15128</v>
      </c>
      <c r="K1012" s="36" t="s">
        <v>15129</v>
      </c>
      <c r="L1012" s="36" t="s">
        <v>15130</v>
      </c>
      <c r="M1012" s="36" t="s">
        <v>15131</v>
      </c>
      <c r="N1012" s="36" t="s">
        <v>15132</v>
      </c>
      <c r="O1012" s="36" t="s">
        <v>15133</v>
      </c>
      <c r="P1012" s="36" t="s">
        <v>15121</v>
      </c>
    </row>
    <row r="1013" spans="1:16">
      <c r="A1013" s="139">
        <v>1012</v>
      </c>
      <c r="B1013" s="36" t="s">
        <v>15134</v>
      </c>
      <c r="C1013" s="36" t="s">
        <v>15135</v>
      </c>
      <c r="D1013" s="36" t="s">
        <v>15136</v>
      </c>
      <c r="E1013" s="36" t="s">
        <v>15137</v>
      </c>
      <c r="F1013" s="36" t="s">
        <v>15138</v>
      </c>
      <c r="G1013" s="36" t="s">
        <v>15139</v>
      </c>
      <c r="H1013" s="36" t="s">
        <v>15140</v>
      </c>
      <c r="I1013" s="36" t="s">
        <v>15141</v>
      </c>
      <c r="J1013" s="36" t="s">
        <v>15142</v>
      </c>
      <c r="K1013" s="36" t="s">
        <v>15143</v>
      </c>
      <c r="L1013" s="36" t="s">
        <v>15144</v>
      </c>
      <c r="M1013" s="36" t="s">
        <v>15145</v>
      </c>
      <c r="N1013" s="36" t="s">
        <v>15146</v>
      </c>
      <c r="O1013" s="36" t="s">
        <v>15147</v>
      </c>
      <c r="P1013" s="36" t="s">
        <v>15134</v>
      </c>
    </row>
    <row r="1014" spans="1:16">
      <c r="A1014" s="139">
        <v>1013</v>
      </c>
      <c r="B1014" s="36" t="s">
        <v>15148</v>
      </c>
      <c r="C1014" s="36" t="s">
        <v>15149</v>
      </c>
      <c r="D1014" s="36" t="s">
        <v>15150</v>
      </c>
      <c r="E1014" s="36" t="s">
        <v>15151</v>
      </c>
      <c r="F1014" s="36" t="s">
        <v>15152</v>
      </c>
      <c r="G1014" s="36" t="s">
        <v>15153</v>
      </c>
      <c r="H1014" s="36" t="s">
        <v>15154</v>
      </c>
      <c r="I1014" s="36" t="s">
        <v>15155</v>
      </c>
      <c r="J1014" s="36" t="s">
        <v>15156</v>
      </c>
      <c r="K1014" s="36" t="s">
        <v>15157</v>
      </c>
      <c r="L1014" s="36" t="s">
        <v>15158</v>
      </c>
      <c r="M1014" s="36" t="s">
        <v>15159</v>
      </c>
      <c r="N1014" s="36" t="s">
        <v>15160</v>
      </c>
      <c r="O1014" s="36" t="s">
        <v>15161</v>
      </c>
      <c r="P1014" s="36" t="s">
        <v>15148</v>
      </c>
    </row>
    <row r="1015" spans="1:16">
      <c r="A1015" s="139">
        <v>1014</v>
      </c>
      <c r="B1015" s="36" t="s">
        <v>11733</v>
      </c>
      <c r="C1015" s="36" t="s">
        <v>11734</v>
      </c>
      <c r="D1015" s="36" t="s">
        <v>11735</v>
      </c>
      <c r="E1015" s="36" t="s">
        <v>15162</v>
      </c>
      <c r="F1015" s="36" t="s">
        <v>15163</v>
      </c>
      <c r="G1015" s="36" t="s">
        <v>15164</v>
      </c>
      <c r="H1015" s="36" t="s">
        <v>15165</v>
      </c>
      <c r="I1015" s="36" t="s">
        <v>15166</v>
      </c>
      <c r="J1015" s="36" t="s">
        <v>15167</v>
      </c>
      <c r="K1015" s="36" t="s">
        <v>15168</v>
      </c>
      <c r="L1015" s="36" t="s">
        <v>15169</v>
      </c>
      <c r="M1015" s="36" t="s">
        <v>15170</v>
      </c>
      <c r="N1015" s="36" t="s">
        <v>15171</v>
      </c>
      <c r="O1015" s="36" t="s">
        <v>11746</v>
      </c>
      <c r="P1015" s="36" t="s">
        <v>11733</v>
      </c>
    </row>
    <row r="1016" spans="1:16">
      <c r="A1016" s="139">
        <v>1015</v>
      </c>
      <c r="B1016" s="36" t="s">
        <v>15172</v>
      </c>
      <c r="C1016" s="36" t="s">
        <v>15173</v>
      </c>
      <c r="D1016" s="36" t="s">
        <v>15172</v>
      </c>
      <c r="E1016" s="36" t="s">
        <v>15174</v>
      </c>
      <c r="F1016" s="36" t="s">
        <v>15175</v>
      </c>
      <c r="G1016" s="36" t="s">
        <v>15176</v>
      </c>
      <c r="H1016" s="36" t="s">
        <v>15177</v>
      </c>
      <c r="I1016" s="36" t="s">
        <v>15178</v>
      </c>
      <c r="J1016" s="36" t="s">
        <v>15179</v>
      </c>
      <c r="K1016" s="36" t="s">
        <v>15180</v>
      </c>
      <c r="L1016" s="36" t="s">
        <v>15181</v>
      </c>
      <c r="M1016" s="36" t="s">
        <v>15182</v>
      </c>
      <c r="N1016" s="36" t="s">
        <v>15182</v>
      </c>
      <c r="O1016" s="36" t="s">
        <v>15180</v>
      </c>
      <c r="P1016" s="36" t="s">
        <v>15172</v>
      </c>
    </row>
    <row r="1017" spans="1:16">
      <c r="A1017" s="139">
        <v>1016</v>
      </c>
      <c r="B1017" s="36" t="s">
        <v>15183</v>
      </c>
      <c r="C1017" s="36" t="s">
        <v>15184</v>
      </c>
      <c r="D1017" s="36" t="s">
        <v>15183</v>
      </c>
      <c r="E1017" s="36" t="s">
        <v>15185</v>
      </c>
      <c r="F1017" s="36" t="s">
        <v>15186</v>
      </c>
      <c r="G1017" s="36" t="s">
        <v>15187</v>
      </c>
      <c r="H1017" s="36" t="s">
        <v>15188</v>
      </c>
      <c r="I1017" s="36" t="s">
        <v>15189</v>
      </c>
      <c r="J1017" s="36" t="s">
        <v>15190</v>
      </c>
      <c r="K1017" s="36" t="s">
        <v>15191</v>
      </c>
      <c r="L1017" s="36" t="s">
        <v>15192</v>
      </c>
      <c r="M1017" s="36" t="s">
        <v>15193</v>
      </c>
      <c r="N1017" s="36" t="s">
        <v>15193</v>
      </c>
      <c r="O1017" s="36" t="s">
        <v>15194</v>
      </c>
      <c r="P1017" s="36" t="s">
        <v>15183</v>
      </c>
    </row>
    <row r="1018" spans="1:16">
      <c r="A1018" s="139">
        <v>1017</v>
      </c>
      <c r="B1018" s="36" t="s">
        <v>15195</v>
      </c>
      <c r="C1018" s="36" t="s">
        <v>15196</v>
      </c>
      <c r="D1018" s="36" t="s">
        <v>15195</v>
      </c>
      <c r="E1018" s="36" t="s">
        <v>15197</v>
      </c>
      <c r="F1018" s="36" t="s">
        <v>15198</v>
      </c>
      <c r="G1018" s="36" t="s">
        <v>15199</v>
      </c>
      <c r="H1018" s="36" t="s">
        <v>15200</v>
      </c>
      <c r="I1018" s="36" t="s">
        <v>15201</v>
      </c>
      <c r="J1018" s="36" t="s">
        <v>15202</v>
      </c>
      <c r="K1018" s="36" t="s">
        <v>15203</v>
      </c>
      <c r="L1018" s="36" t="s">
        <v>15204</v>
      </c>
      <c r="M1018" s="36" t="s">
        <v>15205</v>
      </c>
      <c r="N1018" s="36" t="s">
        <v>15205</v>
      </c>
      <c r="O1018" s="36" t="s">
        <v>15206</v>
      </c>
      <c r="P1018" s="36" t="s">
        <v>15195</v>
      </c>
    </row>
    <row r="1019" spans="1:16">
      <c r="A1019" s="139">
        <v>1018</v>
      </c>
      <c r="B1019" s="36" t="s">
        <v>15207</v>
      </c>
      <c r="C1019" s="36" t="s">
        <v>15208</v>
      </c>
      <c r="D1019" s="36" t="s">
        <v>15209</v>
      </c>
      <c r="E1019" s="36" t="s">
        <v>13950</v>
      </c>
      <c r="F1019" s="36" t="s">
        <v>15210</v>
      </c>
      <c r="G1019" s="36" t="s">
        <v>15211</v>
      </c>
      <c r="H1019" s="36" t="s">
        <v>15212</v>
      </c>
      <c r="I1019" s="36" t="s">
        <v>15213</v>
      </c>
      <c r="J1019" s="36" t="s">
        <v>15214</v>
      </c>
      <c r="K1019" s="36" t="s">
        <v>15215</v>
      </c>
      <c r="L1019" s="36" t="s">
        <v>15216</v>
      </c>
      <c r="M1019" s="36" t="s">
        <v>15217</v>
      </c>
      <c r="N1019" s="36" t="s">
        <v>15218</v>
      </c>
      <c r="O1019" s="36" t="s">
        <v>15219</v>
      </c>
      <c r="P1019" s="36" t="s">
        <v>15207</v>
      </c>
    </row>
    <row r="1020" spans="1:16">
      <c r="A1020" s="139">
        <v>1019</v>
      </c>
      <c r="B1020" s="36" t="s">
        <v>15220</v>
      </c>
      <c r="C1020" s="36" t="s">
        <v>15221</v>
      </c>
      <c r="D1020" s="36" t="s">
        <v>15222</v>
      </c>
      <c r="E1020" s="36" t="s">
        <v>15223</v>
      </c>
      <c r="F1020" s="36" t="s">
        <v>15224</v>
      </c>
      <c r="G1020" s="36" t="s">
        <v>15225</v>
      </c>
      <c r="H1020" s="36" t="s">
        <v>15226</v>
      </c>
      <c r="I1020" s="36" t="s">
        <v>15227</v>
      </c>
      <c r="J1020" s="36" t="s">
        <v>15228</v>
      </c>
      <c r="K1020" s="36" t="s">
        <v>15229</v>
      </c>
      <c r="L1020" s="36" t="s">
        <v>15230</v>
      </c>
      <c r="M1020" s="36" t="s">
        <v>15231</v>
      </c>
      <c r="N1020" s="36" t="s">
        <v>15232</v>
      </c>
      <c r="O1020" s="36" t="s">
        <v>15233</v>
      </c>
      <c r="P1020" s="36" t="s">
        <v>15220</v>
      </c>
    </row>
    <row r="1021" spans="1:16">
      <c r="A1021" s="139">
        <v>1020</v>
      </c>
      <c r="B1021" s="36" t="s">
        <v>15234</v>
      </c>
      <c r="C1021" s="36" t="s">
        <v>15235</v>
      </c>
      <c r="D1021" s="36" t="s">
        <v>15236</v>
      </c>
      <c r="E1021" s="36" t="s">
        <v>15237</v>
      </c>
      <c r="F1021" s="36" t="s">
        <v>15238</v>
      </c>
      <c r="G1021" s="36" t="s">
        <v>15239</v>
      </c>
      <c r="H1021" s="36" t="s">
        <v>15240</v>
      </c>
      <c r="I1021" s="36" t="s">
        <v>15241</v>
      </c>
      <c r="J1021" s="36" t="s">
        <v>15242</v>
      </c>
      <c r="K1021" s="36" t="s">
        <v>15243</v>
      </c>
      <c r="L1021" s="36" t="s">
        <v>15244</v>
      </c>
      <c r="M1021" s="36" t="s">
        <v>15245</v>
      </c>
      <c r="N1021" s="36" t="s">
        <v>15246</v>
      </c>
      <c r="O1021" s="36" t="s">
        <v>15247</v>
      </c>
      <c r="P1021" s="36" t="s">
        <v>15234</v>
      </c>
    </row>
    <row r="1022" spans="1:16">
      <c r="A1022" s="139">
        <v>1021</v>
      </c>
      <c r="B1022" s="36" t="s">
        <v>15248</v>
      </c>
      <c r="C1022" s="36" t="s">
        <v>15249</v>
      </c>
      <c r="D1022" s="36" t="s">
        <v>15250</v>
      </c>
      <c r="E1022" s="36" t="s">
        <v>15251</v>
      </c>
      <c r="F1022" s="36" t="s">
        <v>15252</v>
      </c>
      <c r="G1022" s="36" t="s">
        <v>15253</v>
      </c>
      <c r="H1022" s="36" t="s">
        <v>15254</v>
      </c>
      <c r="I1022" s="36" t="s">
        <v>15255</v>
      </c>
      <c r="J1022" s="36" t="s">
        <v>15256</v>
      </c>
      <c r="K1022" s="36" t="s">
        <v>15257</v>
      </c>
      <c r="L1022" s="36" t="s">
        <v>15258</v>
      </c>
      <c r="M1022" s="36" t="s">
        <v>15259</v>
      </c>
      <c r="N1022" s="36" t="s">
        <v>15260</v>
      </c>
      <c r="O1022" s="36" t="s">
        <v>15261</v>
      </c>
      <c r="P1022" s="36" t="s">
        <v>15248</v>
      </c>
    </row>
    <row r="1023" spans="1:16">
      <c r="A1023" s="139">
        <v>1022</v>
      </c>
      <c r="B1023" s="36" t="s">
        <v>15262</v>
      </c>
      <c r="C1023" s="36" t="s">
        <v>15263</v>
      </c>
      <c r="D1023" s="36" t="s">
        <v>15264</v>
      </c>
      <c r="E1023" s="36" t="s">
        <v>15265</v>
      </c>
      <c r="F1023" s="36" t="s">
        <v>15266</v>
      </c>
      <c r="G1023" s="36" t="s">
        <v>15267</v>
      </c>
      <c r="H1023" s="36" t="s">
        <v>15268</v>
      </c>
      <c r="I1023" s="36" t="s">
        <v>15269</v>
      </c>
      <c r="J1023" s="36" t="s">
        <v>15270</v>
      </c>
      <c r="K1023" s="36" t="s">
        <v>15271</v>
      </c>
      <c r="L1023" s="36" t="s">
        <v>15272</v>
      </c>
      <c r="M1023" s="36" t="s">
        <v>15273</v>
      </c>
      <c r="N1023" s="36" t="s">
        <v>15273</v>
      </c>
      <c r="O1023" s="36" t="s">
        <v>15274</v>
      </c>
      <c r="P1023" s="36" t="s">
        <v>15262</v>
      </c>
    </row>
    <row r="1024" spans="1:16">
      <c r="A1024" s="139">
        <v>1023</v>
      </c>
      <c r="B1024" s="36" t="s">
        <v>15275</v>
      </c>
      <c r="C1024" s="36" t="s">
        <v>15276</v>
      </c>
      <c r="D1024" s="36" t="s">
        <v>15277</v>
      </c>
      <c r="E1024" s="36" t="s">
        <v>15278</v>
      </c>
      <c r="F1024" s="36" t="s">
        <v>15279</v>
      </c>
      <c r="G1024" s="36" t="s">
        <v>15280</v>
      </c>
      <c r="H1024" s="36" t="s">
        <v>15281</v>
      </c>
      <c r="I1024" s="36" t="s">
        <v>15282</v>
      </c>
      <c r="J1024" s="36" t="s">
        <v>15283</v>
      </c>
      <c r="K1024" s="36" t="s">
        <v>15284</v>
      </c>
      <c r="L1024" s="36" t="s">
        <v>15285</v>
      </c>
      <c r="M1024" s="36" t="s">
        <v>15286</v>
      </c>
      <c r="N1024" s="36" t="s">
        <v>15286</v>
      </c>
      <c r="O1024" s="36" t="s">
        <v>15287</v>
      </c>
      <c r="P1024" s="36" t="s">
        <v>15275</v>
      </c>
    </row>
    <row r="1025" spans="1:16">
      <c r="A1025" s="139">
        <v>1024</v>
      </c>
      <c r="B1025" s="36" t="s">
        <v>15288</v>
      </c>
      <c r="C1025" s="36" t="s">
        <v>15289</v>
      </c>
      <c r="D1025" s="36" t="s">
        <v>15290</v>
      </c>
      <c r="E1025" s="36" t="s">
        <v>15291</v>
      </c>
      <c r="F1025" s="36" t="s">
        <v>7632</v>
      </c>
      <c r="G1025" s="36" t="s">
        <v>15292</v>
      </c>
      <c r="H1025" s="36" t="s">
        <v>15293</v>
      </c>
      <c r="I1025" s="36" t="s">
        <v>15294</v>
      </c>
      <c r="J1025" s="36" t="s">
        <v>15295</v>
      </c>
      <c r="K1025" s="36" t="s">
        <v>15296</v>
      </c>
      <c r="L1025" s="36" t="s">
        <v>15297</v>
      </c>
      <c r="M1025" s="36" t="s">
        <v>15298</v>
      </c>
      <c r="N1025" s="36" t="s">
        <v>15299</v>
      </c>
      <c r="O1025" s="36" t="s">
        <v>15300</v>
      </c>
      <c r="P1025" s="36" t="s">
        <v>15288</v>
      </c>
    </row>
    <row r="1026" spans="1:16">
      <c r="A1026" s="139">
        <v>1025</v>
      </c>
      <c r="B1026" s="36" t="s">
        <v>15301</v>
      </c>
      <c r="C1026" s="36" t="s">
        <v>15302</v>
      </c>
      <c r="D1026" s="36" t="s">
        <v>15303</v>
      </c>
      <c r="E1026" s="36" t="s">
        <v>15304</v>
      </c>
      <c r="F1026" s="36" t="s">
        <v>15305</v>
      </c>
      <c r="G1026" s="36" t="s">
        <v>15306</v>
      </c>
      <c r="H1026" s="36" t="s">
        <v>15307</v>
      </c>
      <c r="I1026" s="36" t="s">
        <v>15308</v>
      </c>
      <c r="J1026" s="36" t="s">
        <v>15309</v>
      </c>
      <c r="K1026" s="36" t="s">
        <v>15310</v>
      </c>
      <c r="L1026" s="36" t="s">
        <v>15311</v>
      </c>
      <c r="M1026" s="36" t="s">
        <v>15312</v>
      </c>
      <c r="N1026" s="36" t="s">
        <v>15313</v>
      </c>
      <c r="O1026" s="36" t="s">
        <v>15314</v>
      </c>
      <c r="P1026" s="36" t="s">
        <v>15315</v>
      </c>
    </row>
    <row r="1027" spans="1:16">
      <c r="A1027" s="139">
        <v>1026</v>
      </c>
      <c r="B1027" s="36" t="s">
        <v>15316</v>
      </c>
      <c r="C1027" s="36" t="s">
        <v>15317</v>
      </c>
      <c r="D1027" s="36" t="s">
        <v>15318</v>
      </c>
      <c r="E1027" s="36" t="s">
        <v>15319</v>
      </c>
      <c r="F1027" s="36" t="s">
        <v>15320</v>
      </c>
      <c r="G1027" s="36" t="s">
        <v>15321</v>
      </c>
      <c r="H1027" s="36" t="s">
        <v>15322</v>
      </c>
      <c r="I1027" s="36" t="s">
        <v>15323</v>
      </c>
      <c r="J1027" s="36" t="s">
        <v>15324</v>
      </c>
      <c r="K1027" s="36" t="s">
        <v>15325</v>
      </c>
      <c r="L1027" s="36" t="s">
        <v>15326</v>
      </c>
      <c r="M1027" s="36" t="s">
        <v>15327</v>
      </c>
      <c r="N1027" s="36" t="s">
        <v>15327</v>
      </c>
      <c r="O1027" s="36" t="s">
        <v>15325</v>
      </c>
      <c r="P1027" s="36" t="s">
        <v>15316</v>
      </c>
    </row>
    <row r="1028" spans="1:16">
      <c r="A1028" s="139">
        <v>1027</v>
      </c>
      <c r="B1028" s="36" t="s">
        <v>15328</v>
      </c>
      <c r="C1028" s="36" t="s">
        <v>15329</v>
      </c>
      <c r="D1028" s="36" t="s">
        <v>15330</v>
      </c>
      <c r="E1028" s="36" t="s">
        <v>15331</v>
      </c>
      <c r="F1028" s="36" t="s">
        <v>15332</v>
      </c>
      <c r="G1028" s="36" t="s">
        <v>15333</v>
      </c>
      <c r="H1028" s="36" t="s">
        <v>15334</v>
      </c>
      <c r="I1028" s="36" t="s">
        <v>15335</v>
      </c>
      <c r="J1028" s="36" t="s">
        <v>15336</v>
      </c>
      <c r="K1028" s="36" t="s">
        <v>15337</v>
      </c>
      <c r="L1028" s="36" t="s">
        <v>15338</v>
      </c>
      <c r="M1028" s="36" t="s">
        <v>15339</v>
      </c>
      <c r="N1028" s="36" t="s">
        <v>15339</v>
      </c>
      <c r="O1028" s="36" t="s">
        <v>15337</v>
      </c>
      <c r="P1028" s="36" t="s">
        <v>15328</v>
      </c>
    </row>
    <row r="1029" spans="1:16">
      <c r="A1029" s="139">
        <v>1028</v>
      </c>
      <c r="B1029" s="36" t="s">
        <v>15340</v>
      </c>
      <c r="C1029" s="36" t="s">
        <v>15341</v>
      </c>
      <c r="D1029" s="36" t="s">
        <v>15342</v>
      </c>
      <c r="E1029" s="36" t="s">
        <v>15343</v>
      </c>
      <c r="F1029" s="36" t="s">
        <v>15344</v>
      </c>
      <c r="G1029" s="36" t="s">
        <v>15345</v>
      </c>
      <c r="H1029" s="36" t="s">
        <v>15346</v>
      </c>
      <c r="I1029" s="36" t="s">
        <v>15347</v>
      </c>
      <c r="J1029" s="36" t="s">
        <v>15348</v>
      </c>
      <c r="K1029" s="36" t="s">
        <v>15349</v>
      </c>
      <c r="L1029" s="36" t="s">
        <v>15350</v>
      </c>
      <c r="M1029" s="36" t="s">
        <v>15351</v>
      </c>
      <c r="N1029" s="36" t="s">
        <v>15352</v>
      </c>
      <c r="O1029" s="36" t="s">
        <v>15353</v>
      </c>
      <c r="P1029" s="36" t="s">
        <v>15340</v>
      </c>
    </row>
    <row r="1030" spans="1:16">
      <c r="A1030" s="139">
        <v>1029</v>
      </c>
      <c r="B1030" s="36" t="s">
        <v>15354</v>
      </c>
      <c r="C1030" s="36" t="s">
        <v>15355</v>
      </c>
      <c r="D1030" s="36" t="s">
        <v>15356</v>
      </c>
      <c r="E1030" s="36" t="s">
        <v>15357</v>
      </c>
      <c r="F1030" s="36" t="s">
        <v>15358</v>
      </c>
      <c r="G1030" s="36" t="s">
        <v>15359</v>
      </c>
      <c r="H1030" s="36" t="s">
        <v>15360</v>
      </c>
      <c r="I1030" s="36" t="s">
        <v>15361</v>
      </c>
      <c r="J1030" s="36" t="s">
        <v>15362</v>
      </c>
      <c r="K1030" s="36" t="s">
        <v>15363</v>
      </c>
      <c r="L1030" s="36" t="s">
        <v>15364</v>
      </c>
      <c r="M1030" s="36" t="s">
        <v>15365</v>
      </c>
      <c r="N1030" s="36" t="s">
        <v>15366</v>
      </c>
      <c r="O1030" s="36" t="s">
        <v>15367</v>
      </c>
      <c r="P1030" s="36" t="s">
        <v>15354</v>
      </c>
    </row>
    <row r="1031" spans="1:16">
      <c r="A1031" s="139">
        <v>1030</v>
      </c>
      <c r="B1031" s="36" t="s">
        <v>15368</v>
      </c>
      <c r="C1031" s="36" t="s">
        <v>15369</v>
      </c>
      <c r="D1031" s="36" t="s">
        <v>15370</v>
      </c>
      <c r="E1031" s="36" t="s">
        <v>15371</v>
      </c>
      <c r="F1031" s="36" t="s">
        <v>15372</v>
      </c>
      <c r="G1031" s="36" t="s">
        <v>15373</v>
      </c>
      <c r="H1031" s="36" t="s">
        <v>15374</v>
      </c>
      <c r="I1031" s="36" t="s">
        <v>15375</v>
      </c>
      <c r="J1031" s="36" t="s">
        <v>15376</v>
      </c>
      <c r="K1031" s="36" t="s">
        <v>15377</v>
      </c>
      <c r="L1031" s="36" t="s">
        <v>15378</v>
      </c>
      <c r="M1031" s="36" t="s">
        <v>15379</v>
      </c>
      <c r="N1031" s="36" t="s">
        <v>15380</v>
      </c>
      <c r="O1031" s="36" t="s">
        <v>15381</v>
      </c>
      <c r="P1031" s="36" t="s">
        <v>15368</v>
      </c>
    </row>
    <row r="1032" spans="1:16">
      <c r="A1032" s="139">
        <v>1031</v>
      </c>
      <c r="B1032" s="36" t="s">
        <v>15382</v>
      </c>
      <c r="C1032" s="36" t="s">
        <v>15383</v>
      </c>
      <c r="D1032" s="36" t="s">
        <v>15384</v>
      </c>
      <c r="E1032" s="36" t="s">
        <v>15385</v>
      </c>
      <c r="F1032" s="36" t="s">
        <v>15386</v>
      </c>
      <c r="G1032" s="36" t="s">
        <v>15387</v>
      </c>
      <c r="H1032" s="36" t="s">
        <v>15388</v>
      </c>
      <c r="I1032" s="36" t="s">
        <v>15389</v>
      </c>
      <c r="J1032" s="36" t="s">
        <v>15390</v>
      </c>
      <c r="K1032" s="36" t="s">
        <v>15391</v>
      </c>
      <c r="L1032" s="36" t="s">
        <v>15392</v>
      </c>
      <c r="M1032" s="36" t="s">
        <v>15393</v>
      </c>
      <c r="N1032" s="36" t="s">
        <v>15394</v>
      </c>
      <c r="O1032" s="36" t="s">
        <v>15395</v>
      </c>
      <c r="P1032" s="36" t="s">
        <v>15382</v>
      </c>
    </row>
    <row r="1033" spans="1:16">
      <c r="A1033" s="139">
        <v>1032</v>
      </c>
      <c r="B1033" s="36" t="s">
        <v>15396</v>
      </c>
      <c r="C1033" s="36" t="s">
        <v>15397</v>
      </c>
      <c r="D1033" s="36" t="s">
        <v>15398</v>
      </c>
      <c r="E1033" s="36" t="s">
        <v>15399</v>
      </c>
      <c r="F1033" s="36" t="s">
        <v>15400</v>
      </c>
      <c r="G1033" s="36" t="s">
        <v>15400</v>
      </c>
      <c r="H1033" s="36" t="s">
        <v>15401</v>
      </c>
      <c r="I1033" s="36" t="s">
        <v>15401</v>
      </c>
      <c r="J1033" s="36" t="s">
        <v>15402</v>
      </c>
      <c r="K1033" s="36" t="s">
        <v>15401</v>
      </c>
      <c r="L1033" s="36" t="s">
        <v>14211</v>
      </c>
      <c r="M1033" s="36" t="s">
        <v>15401</v>
      </c>
      <c r="N1033" s="36" t="s">
        <v>15401</v>
      </c>
      <c r="O1033" s="36" t="s">
        <v>15401</v>
      </c>
      <c r="P1033" s="36" t="s">
        <v>15396</v>
      </c>
    </row>
    <row r="1034" spans="1:16">
      <c r="A1034" s="139">
        <v>1033</v>
      </c>
      <c r="B1034" s="36" t="s">
        <v>15403</v>
      </c>
      <c r="C1034" s="36" t="s">
        <v>15404</v>
      </c>
      <c r="D1034" s="36" t="s">
        <v>15405</v>
      </c>
      <c r="E1034" s="36" t="s">
        <v>15406</v>
      </c>
      <c r="F1034" s="36" t="s">
        <v>4946</v>
      </c>
      <c r="G1034" s="36" t="s">
        <v>15407</v>
      </c>
      <c r="H1034" s="36" t="s">
        <v>15408</v>
      </c>
      <c r="I1034" s="36" t="s">
        <v>15409</v>
      </c>
      <c r="J1034" s="36" t="s">
        <v>15410</v>
      </c>
      <c r="K1034" s="36" t="s">
        <v>15411</v>
      </c>
      <c r="L1034" s="36" t="s">
        <v>15412</v>
      </c>
      <c r="M1034" s="36" t="s">
        <v>15413</v>
      </c>
      <c r="N1034" s="36" t="s">
        <v>15413</v>
      </c>
      <c r="O1034" s="36" t="s">
        <v>15414</v>
      </c>
      <c r="P1034" s="36" t="s">
        <v>15403</v>
      </c>
    </row>
    <row r="1035" spans="1:16">
      <c r="A1035" s="139">
        <v>1034</v>
      </c>
      <c r="B1035" s="36" t="s">
        <v>15415</v>
      </c>
      <c r="C1035" s="36" t="s">
        <v>15416</v>
      </c>
      <c r="D1035" s="36" t="s">
        <v>15417</v>
      </c>
      <c r="E1035" s="36" t="s">
        <v>15418</v>
      </c>
      <c r="F1035" s="36" t="s">
        <v>15419</v>
      </c>
      <c r="G1035" s="36" t="s">
        <v>15420</v>
      </c>
      <c r="H1035" s="36" t="s">
        <v>15421</v>
      </c>
      <c r="I1035" s="36" t="s">
        <v>15422</v>
      </c>
      <c r="J1035" s="36" t="s">
        <v>15423</v>
      </c>
      <c r="K1035" s="36" t="s">
        <v>15424</v>
      </c>
      <c r="L1035" s="36" t="s">
        <v>15425</v>
      </c>
      <c r="M1035" s="36" t="s">
        <v>15426</v>
      </c>
      <c r="N1035" s="36" t="s">
        <v>15427</v>
      </c>
      <c r="O1035" s="36" t="s">
        <v>15428</v>
      </c>
      <c r="P1035" s="36" t="s">
        <v>15415</v>
      </c>
    </row>
    <row r="1036" spans="1:16">
      <c r="A1036" s="139">
        <v>1035</v>
      </c>
      <c r="B1036" s="36" t="s">
        <v>15429</v>
      </c>
      <c r="C1036" s="36" t="s">
        <v>15430</v>
      </c>
      <c r="D1036" s="36" t="s">
        <v>15431</v>
      </c>
      <c r="E1036" s="36" t="s">
        <v>15432</v>
      </c>
      <c r="F1036" s="36" t="s">
        <v>15433</v>
      </c>
      <c r="G1036" s="36" t="s">
        <v>15434</v>
      </c>
      <c r="H1036" s="36" t="s">
        <v>15435</v>
      </c>
      <c r="I1036" s="36" t="s">
        <v>15436</v>
      </c>
      <c r="J1036" s="36" t="s">
        <v>15437</v>
      </c>
      <c r="K1036" s="36" t="s">
        <v>15438</v>
      </c>
      <c r="L1036" s="36" t="s">
        <v>15439</v>
      </c>
      <c r="M1036" s="36" t="s">
        <v>15440</v>
      </c>
      <c r="N1036" s="36" t="s">
        <v>15441</v>
      </c>
      <c r="O1036" s="36" t="s">
        <v>15442</v>
      </c>
      <c r="P1036" s="36" t="s">
        <v>15429</v>
      </c>
    </row>
    <row r="1037" spans="1:16">
      <c r="A1037" s="139">
        <v>1036</v>
      </c>
      <c r="B1037" s="36" t="s">
        <v>15443</v>
      </c>
      <c r="C1037" s="36" t="s">
        <v>15444</v>
      </c>
      <c r="D1037" s="36" t="s">
        <v>15445</v>
      </c>
      <c r="E1037" s="36" t="s">
        <v>15446</v>
      </c>
      <c r="F1037" s="36" t="s">
        <v>15447</v>
      </c>
      <c r="G1037" s="36" t="s">
        <v>15448</v>
      </c>
      <c r="H1037" s="36" t="s">
        <v>15449</v>
      </c>
      <c r="I1037" s="36" t="s">
        <v>15450</v>
      </c>
      <c r="J1037" s="36" t="s">
        <v>15451</v>
      </c>
      <c r="K1037" s="36" t="s">
        <v>15452</v>
      </c>
      <c r="L1037" s="36" t="s">
        <v>15453</v>
      </c>
      <c r="M1037" s="36" t="s">
        <v>15454</v>
      </c>
      <c r="N1037" s="36" t="s">
        <v>15455</v>
      </c>
      <c r="O1037" s="36" t="s">
        <v>15456</v>
      </c>
      <c r="P1037" s="36" t="s">
        <v>15443</v>
      </c>
    </row>
    <row r="1038" spans="1:16">
      <c r="A1038" s="139">
        <v>1037</v>
      </c>
      <c r="B1038" s="36" t="s">
        <v>15457</v>
      </c>
      <c r="C1038" s="36" t="s">
        <v>15458</v>
      </c>
      <c r="D1038" s="36" t="s">
        <v>15459</v>
      </c>
      <c r="E1038" s="36" t="s">
        <v>15460</v>
      </c>
      <c r="F1038" s="36" t="s">
        <v>15461</v>
      </c>
      <c r="G1038" s="36" t="s">
        <v>15462</v>
      </c>
      <c r="H1038" s="36" t="s">
        <v>15463</v>
      </c>
      <c r="I1038" s="36" t="s">
        <v>15464</v>
      </c>
      <c r="J1038" s="36" t="s">
        <v>15465</v>
      </c>
      <c r="K1038" s="36" t="s">
        <v>15466</v>
      </c>
      <c r="L1038" s="36" t="s">
        <v>15467</v>
      </c>
      <c r="M1038" s="36" t="s">
        <v>15468</v>
      </c>
      <c r="N1038" s="36" t="s">
        <v>15469</v>
      </c>
      <c r="O1038" s="36" t="s">
        <v>15470</v>
      </c>
      <c r="P1038" s="36" t="s">
        <v>15457</v>
      </c>
    </row>
    <row r="1039" spans="1:16">
      <c r="A1039" s="139">
        <v>1038</v>
      </c>
      <c r="B1039" s="36" t="s">
        <v>15471</v>
      </c>
      <c r="C1039" s="36" t="s">
        <v>15472</v>
      </c>
      <c r="D1039" s="36" t="s">
        <v>15473</v>
      </c>
      <c r="E1039" s="36" t="s">
        <v>15474</v>
      </c>
      <c r="F1039" s="36" t="s">
        <v>15475</v>
      </c>
      <c r="G1039" s="36" t="s">
        <v>15476</v>
      </c>
      <c r="H1039" s="36" t="s">
        <v>15477</v>
      </c>
      <c r="I1039" s="36" t="s">
        <v>15478</v>
      </c>
      <c r="J1039" s="36" t="s">
        <v>15479</v>
      </c>
      <c r="K1039" s="36" t="s">
        <v>15480</v>
      </c>
      <c r="L1039" s="36" t="s">
        <v>15481</v>
      </c>
      <c r="M1039" s="36" t="s">
        <v>15482</v>
      </c>
      <c r="N1039" s="36" t="s">
        <v>15483</v>
      </c>
      <c r="O1039" s="36" t="s">
        <v>15484</v>
      </c>
      <c r="P1039" s="36" t="s">
        <v>15471</v>
      </c>
    </row>
    <row r="1040" spans="1:16">
      <c r="A1040" s="139">
        <v>1039</v>
      </c>
      <c r="B1040" s="36" t="s">
        <v>15485</v>
      </c>
      <c r="C1040" s="36" t="s">
        <v>15486</v>
      </c>
      <c r="D1040" s="36" t="s">
        <v>15487</v>
      </c>
      <c r="E1040" s="36" t="s">
        <v>15488</v>
      </c>
      <c r="F1040" s="36" t="s">
        <v>15489</v>
      </c>
      <c r="G1040" s="36" t="s">
        <v>15490</v>
      </c>
      <c r="H1040" s="36" t="s">
        <v>15491</v>
      </c>
      <c r="I1040" s="36" t="s">
        <v>15492</v>
      </c>
      <c r="J1040" s="36" t="s">
        <v>15493</v>
      </c>
      <c r="K1040" s="36" t="s">
        <v>15494</v>
      </c>
      <c r="L1040" s="36" t="s">
        <v>15495</v>
      </c>
      <c r="M1040" s="36" t="s">
        <v>15496</v>
      </c>
      <c r="N1040" s="36" t="s">
        <v>15497</v>
      </c>
      <c r="O1040" s="36" t="s">
        <v>15498</v>
      </c>
      <c r="P1040" s="36" t="s">
        <v>15485</v>
      </c>
    </row>
    <row r="1041" spans="1:16">
      <c r="A1041" s="139">
        <v>1040</v>
      </c>
      <c r="B1041" s="36" t="s">
        <v>15499</v>
      </c>
      <c r="C1041" s="36" t="s">
        <v>15500</v>
      </c>
      <c r="D1041" s="36" t="s">
        <v>15501</v>
      </c>
      <c r="E1041" s="36" t="s">
        <v>15502</v>
      </c>
      <c r="F1041" s="36" t="s">
        <v>15503</v>
      </c>
      <c r="G1041" s="36" t="s">
        <v>15504</v>
      </c>
      <c r="H1041" s="36" t="s">
        <v>15505</v>
      </c>
      <c r="I1041" s="36" t="s">
        <v>15506</v>
      </c>
      <c r="J1041" s="36" t="s">
        <v>15507</v>
      </c>
      <c r="K1041" s="36" t="s">
        <v>15508</v>
      </c>
      <c r="L1041" s="36" t="s">
        <v>15509</v>
      </c>
      <c r="M1041" s="36" t="s">
        <v>15510</v>
      </c>
      <c r="N1041" s="36" t="s">
        <v>15511</v>
      </c>
      <c r="O1041" s="36" t="s">
        <v>15512</v>
      </c>
      <c r="P1041" s="36" t="s">
        <v>15499</v>
      </c>
    </row>
    <row r="1042" spans="1:16">
      <c r="A1042" s="139">
        <v>1041</v>
      </c>
      <c r="B1042" s="36" t="s">
        <v>15513</v>
      </c>
      <c r="C1042" s="36" t="s">
        <v>15514</v>
      </c>
      <c r="D1042" s="36" t="s">
        <v>15515</v>
      </c>
      <c r="E1042" s="36" t="s">
        <v>15516</v>
      </c>
      <c r="F1042" s="36" t="s">
        <v>15517</v>
      </c>
      <c r="G1042" s="36" t="s">
        <v>15518</v>
      </c>
      <c r="H1042" s="36" t="s">
        <v>15519</v>
      </c>
      <c r="I1042" s="36" t="s">
        <v>15520</v>
      </c>
      <c r="J1042" s="36" t="s">
        <v>15521</v>
      </c>
      <c r="K1042" s="36" t="s">
        <v>15522</v>
      </c>
      <c r="L1042" s="36" t="s">
        <v>15523</v>
      </c>
      <c r="M1042" s="36" t="s">
        <v>15524</v>
      </c>
      <c r="N1042" s="36" t="s">
        <v>15525</v>
      </c>
      <c r="O1042" s="36" t="s">
        <v>15526</v>
      </c>
      <c r="P1042" s="36" t="s">
        <v>15513</v>
      </c>
    </row>
    <row r="1043" spans="1:16">
      <c r="A1043" s="139">
        <v>1042</v>
      </c>
      <c r="B1043" s="36" t="s">
        <v>15527</v>
      </c>
      <c r="C1043" s="36" t="s">
        <v>15528</v>
      </c>
      <c r="D1043" s="36" t="s">
        <v>15529</v>
      </c>
      <c r="E1043" s="36" t="s">
        <v>15530</v>
      </c>
      <c r="F1043" s="36" t="s">
        <v>15531</v>
      </c>
      <c r="G1043" s="36" t="s">
        <v>15532</v>
      </c>
      <c r="H1043" s="36" t="s">
        <v>15533</v>
      </c>
      <c r="I1043" s="36" t="s">
        <v>15534</v>
      </c>
      <c r="J1043" s="36" t="s">
        <v>15535</v>
      </c>
      <c r="K1043" s="36" t="s">
        <v>15536</v>
      </c>
      <c r="L1043" s="36" t="s">
        <v>15537</v>
      </c>
      <c r="M1043" s="36" t="s">
        <v>15538</v>
      </c>
      <c r="N1043" s="36" t="s">
        <v>15539</v>
      </c>
      <c r="O1043" s="36" t="s">
        <v>15540</v>
      </c>
      <c r="P1043" s="36" t="s">
        <v>15527</v>
      </c>
    </row>
    <row r="1044" spans="1:16">
      <c r="A1044" s="139">
        <v>1043</v>
      </c>
      <c r="B1044" s="36" t="s">
        <v>15541</v>
      </c>
      <c r="C1044" s="36" t="s">
        <v>15542</v>
      </c>
      <c r="D1044" s="36" t="s">
        <v>15543</v>
      </c>
      <c r="E1044" s="36" t="s">
        <v>15544</v>
      </c>
      <c r="F1044" s="36" t="s">
        <v>15545</v>
      </c>
      <c r="G1044" s="36" t="s">
        <v>15546</v>
      </c>
      <c r="H1044" s="36" t="s">
        <v>15547</v>
      </c>
      <c r="I1044" s="36" t="s">
        <v>15548</v>
      </c>
      <c r="J1044" s="36" t="s">
        <v>15549</v>
      </c>
      <c r="K1044" s="36" t="s">
        <v>15550</v>
      </c>
      <c r="L1044" s="36" t="s">
        <v>15551</v>
      </c>
      <c r="M1044" s="36" t="s">
        <v>15552</v>
      </c>
      <c r="N1044" s="36" t="s">
        <v>15553</v>
      </c>
      <c r="O1044" s="36" t="s">
        <v>15554</v>
      </c>
      <c r="P1044" s="36" t="s">
        <v>15541</v>
      </c>
    </row>
    <row r="1045" spans="1:16">
      <c r="A1045" s="139">
        <v>1044</v>
      </c>
      <c r="B1045" s="36" t="s">
        <v>15555</v>
      </c>
      <c r="C1045" s="36" t="s">
        <v>15556</v>
      </c>
      <c r="D1045" s="36" t="s">
        <v>15556</v>
      </c>
      <c r="E1045" s="36" t="s">
        <v>15555</v>
      </c>
      <c r="F1045" s="36" t="s">
        <v>15555</v>
      </c>
      <c r="G1045" s="36" t="s">
        <v>15555</v>
      </c>
      <c r="H1045" s="36" t="s">
        <v>15555</v>
      </c>
      <c r="I1045" s="36" t="s">
        <v>15555</v>
      </c>
      <c r="J1045" s="36" t="s">
        <v>15555</v>
      </c>
      <c r="K1045" s="36" t="s">
        <v>15555</v>
      </c>
      <c r="L1045" s="36" t="s">
        <v>15555</v>
      </c>
      <c r="M1045" s="36" t="s">
        <v>15555</v>
      </c>
      <c r="N1045" s="36" t="s">
        <v>15555</v>
      </c>
      <c r="O1045" s="36" t="s">
        <v>15555</v>
      </c>
      <c r="P1045" s="36" t="s">
        <v>15555</v>
      </c>
    </row>
    <row r="1046" spans="1:16">
      <c r="A1046" s="139">
        <v>1045</v>
      </c>
      <c r="B1046" s="36" t="s">
        <v>15557</v>
      </c>
      <c r="C1046" s="36" t="s">
        <v>15557</v>
      </c>
      <c r="D1046" s="36" t="s">
        <v>15557</v>
      </c>
      <c r="E1046" s="36" t="s">
        <v>15557</v>
      </c>
      <c r="F1046" s="36" t="s">
        <v>15557</v>
      </c>
      <c r="G1046" s="36" t="s">
        <v>15557</v>
      </c>
      <c r="H1046" s="36" t="s">
        <v>15557</v>
      </c>
      <c r="I1046" s="36" t="s">
        <v>15557</v>
      </c>
      <c r="J1046" s="36" t="s">
        <v>15557</v>
      </c>
      <c r="K1046" s="36" t="s">
        <v>15557</v>
      </c>
      <c r="L1046" s="36" t="s">
        <v>15557</v>
      </c>
      <c r="M1046" s="36" t="s">
        <v>15557</v>
      </c>
      <c r="N1046" s="36" t="s">
        <v>15557</v>
      </c>
      <c r="O1046" s="36" t="s">
        <v>15557</v>
      </c>
      <c r="P1046" s="36" t="s">
        <v>15557</v>
      </c>
    </row>
    <row r="1047" spans="1:16">
      <c r="A1047" s="139">
        <v>1046</v>
      </c>
      <c r="B1047" s="36" t="s">
        <v>15558</v>
      </c>
      <c r="C1047" s="36" t="s">
        <v>15558</v>
      </c>
      <c r="D1047" s="36" t="s">
        <v>15558</v>
      </c>
      <c r="E1047" s="36" t="s">
        <v>15558</v>
      </c>
      <c r="F1047" s="36" t="s">
        <v>15558</v>
      </c>
      <c r="G1047" s="36" t="s">
        <v>15558</v>
      </c>
      <c r="H1047" s="36" t="s">
        <v>15558</v>
      </c>
      <c r="I1047" s="36" t="s">
        <v>15558</v>
      </c>
      <c r="J1047" s="36" t="s">
        <v>15558</v>
      </c>
      <c r="K1047" s="36" t="s">
        <v>15558</v>
      </c>
      <c r="L1047" s="36" t="s">
        <v>15558</v>
      </c>
      <c r="M1047" s="36" t="s">
        <v>15558</v>
      </c>
      <c r="N1047" s="36" t="s">
        <v>15558</v>
      </c>
      <c r="O1047" s="36" t="s">
        <v>15558</v>
      </c>
      <c r="P1047" s="36" t="s">
        <v>15558</v>
      </c>
    </row>
    <row r="1048" spans="1:16">
      <c r="A1048" s="139">
        <v>1047</v>
      </c>
      <c r="B1048" s="36" t="s">
        <v>15559</v>
      </c>
      <c r="C1048" s="36" t="s">
        <v>15559</v>
      </c>
      <c r="D1048" s="36" t="s">
        <v>15559</v>
      </c>
      <c r="E1048" s="36" t="s">
        <v>15559</v>
      </c>
      <c r="F1048" s="36" t="s">
        <v>15559</v>
      </c>
      <c r="G1048" s="36" t="s">
        <v>15559</v>
      </c>
      <c r="H1048" s="36" t="s">
        <v>15559</v>
      </c>
      <c r="I1048" s="36" t="s">
        <v>15559</v>
      </c>
      <c r="J1048" s="36" t="s">
        <v>15559</v>
      </c>
      <c r="K1048" s="36" t="s">
        <v>15559</v>
      </c>
      <c r="L1048" s="36" t="s">
        <v>15559</v>
      </c>
      <c r="M1048" s="36" t="s">
        <v>15559</v>
      </c>
      <c r="N1048" s="36" t="s">
        <v>15559</v>
      </c>
      <c r="O1048" s="36" t="s">
        <v>15559</v>
      </c>
      <c r="P1048" s="36" t="s">
        <v>15559</v>
      </c>
    </row>
    <row r="1049" spans="1:16">
      <c r="A1049" s="139">
        <v>1048</v>
      </c>
      <c r="B1049" s="36" t="s">
        <v>15560</v>
      </c>
      <c r="C1049" s="36" t="s">
        <v>15560</v>
      </c>
      <c r="D1049" s="36" t="s">
        <v>15560</v>
      </c>
      <c r="E1049" s="36" t="s">
        <v>15560</v>
      </c>
      <c r="F1049" s="36" t="s">
        <v>15560</v>
      </c>
      <c r="G1049" s="36" t="s">
        <v>15560</v>
      </c>
      <c r="H1049" s="36" t="s">
        <v>15560</v>
      </c>
      <c r="I1049" s="36" t="s">
        <v>15560</v>
      </c>
      <c r="J1049" s="36" t="s">
        <v>15560</v>
      </c>
      <c r="K1049" s="36" t="s">
        <v>15560</v>
      </c>
      <c r="L1049" s="36" t="s">
        <v>15560</v>
      </c>
      <c r="M1049" s="36" t="s">
        <v>15560</v>
      </c>
      <c r="N1049" s="36" t="s">
        <v>15560</v>
      </c>
      <c r="O1049" s="36" t="s">
        <v>15560</v>
      </c>
      <c r="P1049" s="36" t="s">
        <v>15560</v>
      </c>
    </row>
    <row r="1050" spans="1:16">
      <c r="A1050" s="139">
        <v>1049</v>
      </c>
      <c r="B1050" s="36" t="s">
        <v>15561</v>
      </c>
      <c r="C1050" s="36" t="s">
        <v>15561</v>
      </c>
      <c r="D1050" s="36" t="s">
        <v>15561</v>
      </c>
      <c r="E1050" s="36" t="s">
        <v>15561</v>
      </c>
      <c r="F1050" s="36" t="s">
        <v>15561</v>
      </c>
      <c r="G1050" s="36" t="s">
        <v>15561</v>
      </c>
      <c r="H1050" s="36" t="s">
        <v>15561</v>
      </c>
      <c r="I1050" s="36" t="s">
        <v>15561</v>
      </c>
      <c r="J1050" s="36" t="s">
        <v>15561</v>
      </c>
      <c r="K1050" s="36" t="s">
        <v>15561</v>
      </c>
      <c r="L1050" s="36" t="s">
        <v>15561</v>
      </c>
      <c r="M1050" s="36" t="s">
        <v>15561</v>
      </c>
      <c r="N1050" s="36" t="s">
        <v>15561</v>
      </c>
      <c r="O1050" s="36" t="s">
        <v>15561</v>
      </c>
      <c r="P1050" s="36" t="s">
        <v>15561</v>
      </c>
    </row>
    <row r="1051" spans="1:16">
      <c r="A1051" s="139">
        <v>1050</v>
      </c>
      <c r="B1051" s="36" t="s">
        <v>15562</v>
      </c>
      <c r="C1051" s="36" t="s">
        <v>15562</v>
      </c>
      <c r="D1051" s="36" t="s">
        <v>15562</v>
      </c>
      <c r="E1051" s="36" t="s">
        <v>15562</v>
      </c>
      <c r="F1051" s="36" t="s">
        <v>15562</v>
      </c>
      <c r="G1051" s="36" t="s">
        <v>15562</v>
      </c>
      <c r="H1051" s="36" t="s">
        <v>15562</v>
      </c>
      <c r="I1051" s="36" t="s">
        <v>15562</v>
      </c>
      <c r="J1051" s="36" t="s">
        <v>15562</v>
      </c>
      <c r="K1051" s="36" t="s">
        <v>15562</v>
      </c>
      <c r="L1051" s="36" t="s">
        <v>15562</v>
      </c>
      <c r="M1051" s="36" t="s">
        <v>15562</v>
      </c>
      <c r="N1051" s="36" t="s">
        <v>15562</v>
      </c>
      <c r="O1051" s="36" t="s">
        <v>15562</v>
      </c>
      <c r="P1051" s="36" t="s">
        <v>15562</v>
      </c>
    </row>
    <row r="1052" spans="1:16">
      <c r="A1052" s="139">
        <v>1051</v>
      </c>
      <c r="B1052" s="36" t="s">
        <v>15563</v>
      </c>
      <c r="C1052" s="36" t="s">
        <v>15563</v>
      </c>
      <c r="D1052" s="36" t="s">
        <v>15563</v>
      </c>
      <c r="E1052" s="36" t="s">
        <v>15563</v>
      </c>
      <c r="F1052" s="36" t="s">
        <v>15563</v>
      </c>
      <c r="G1052" s="36" t="s">
        <v>15563</v>
      </c>
      <c r="H1052" s="36" t="s">
        <v>15563</v>
      </c>
      <c r="I1052" s="36" t="s">
        <v>15563</v>
      </c>
      <c r="J1052" s="36" t="s">
        <v>15563</v>
      </c>
      <c r="K1052" s="36" t="s">
        <v>15563</v>
      </c>
      <c r="L1052" s="36" t="s">
        <v>15563</v>
      </c>
      <c r="M1052" s="36" t="s">
        <v>15563</v>
      </c>
      <c r="N1052" s="36" t="s">
        <v>15563</v>
      </c>
      <c r="O1052" s="36" t="s">
        <v>15563</v>
      </c>
      <c r="P1052" s="36" t="s">
        <v>15563</v>
      </c>
    </row>
    <row r="1053" spans="1:16">
      <c r="A1053" s="139">
        <v>1052</v>
      </c>
      <c r="B1053" s="36" t="s">
        <v>15564</v>
      </c>
      <c r="C1053" s="36" t="s">
        <v>15564</v>
      </c>
      <c r="D1053" s="36" t="s">
        <v>15564</v>
      </c>
      <c r="E1053" s="36" t="s">
        <v>15564</v>
      </c>
      <c r="F1053" s="36" t="s">
        <v>15564</v>
      </c>
      <c r="G1053" s="36" t="s">
        <v>15564</v>
      </c>
      <c r="H1053" s="36" t="s">
        <v>15564</v>
      </c>
      <c r="I1053" s="36" t="s">
        <v>15564</v>
      </c>
      <c r="J1053" s="36" t="s">
        <v>15564</v>
      </c>
      <c r="K1053" s="36" t="s">
        <v>15564</v>
      </c>
      <c r="L1053" s="36" t="s">
        <v>15564</v>
      </c>
      <c r="M1053" s="36" t="s">
        <v>15564</v>
      </c>
      <c r="N1053" s="36" t="s">
        <v>15564</v>
      </c>
      <c r="O1053" s="36" t="s">
        <v>15564</v>
      </c>
      <c r="P1053" s="36" t="s">
        <v>15564</v>
      </c>
    </row>
    <row r="1054" spans="1:16">
      <c r="A1054" s="139">
        <v>1053</v>
      </c>
      <c r="B1054" s="36" t="s">
        <v>15565</v>
      </c>
      <c r="C1054" s="36" t="s">
        <v>15565</v>
      </c>
      <c r="D1054" s="36" t="s">
        <v>15565</v>
      </c>
      <c r="E1054" s="36" t="s">
        <v>15565</v>
      </c>
      <c r="F1054" s="36" t="s">
        <v>15565</v>
      </c>
      <c r="G1054" s="36" t="s">
        <v>15565</v>
      </c>
      <c r="H1054" s="36" t="s">
        <v>15565</v>
      </c>
      <c r="I1054" s="36" t="s">
        <v>15565</v>
      </c>
      <c r="J1054" s="36" t="s">
        <v>15565</v>
      </c>
      <c r="K1054" s="36" t="s">
        <v>15565</v>
      </c>
      <c r="L1054" s="36" t="s">
        <v>15565</v>
      </c>
      <c r="M1054" s="36" t="s">
        <v>15565</v>
      </c>
      <c r="N1054" s="36" t="s">
        <v>15565</v>
      </c>
      <c r="O1054" s="36" t="s">
        <v>15565</v>
      </c>
      <c r="P1054" s="36" t="s">
        <v>15565</v>
      </c>
    </row>
    <row r="1055" spans="1:16">
      <c r="A1055" s="139">
        <v>1054</v>
      </c>
      <c r="B1055" s="36" t="s">
        <v>15566</v>
      </c>
      <c r="C1055" s="36" t="s">
        <v>15566</v>
      </c>
      <c r="D1055" s="36" t="s">
        <v>15566</v>
      </c>
      <c r="E1055" s="36" t="s">
        <v>15566</v>
      </c>
      <c r="F1055" s="36" t="s">
        <v>15566</v>
      </c>
      <c r="G1055" s="36" t="s">
        <v>15566</v>
      </c>
      <c r="H1055" s="36" t="s">
        <v>15566</v>
      </c>
      <c r="I1055" s="36" t="s">
        <v>15566</v>
      </c>
      <c r="J1055" s="36" t="s">
        <v>15566</v>
      </c>
      <c r="K1055" s="36" t="s">
        <v>15566</v>
      </c>
      <c r="L1055" s="36" t="s">
        <v>15566</v>
      </c>
      <c r="M1055" s="36" t="s">
        <v>15566</v>
      </c>
      <c r="N1055" s="36" t="s">
        <v>15566</v>
      </c>
      <c r="O1055" s="36" t="s">
        <v>15566</v>
      </c>
      <c r="P1055" s="36" t="s">
        <v>15566</v>
      </c>
    </row>
    <row r="1056" spans="1:16">
      <c r="A1056" s="139">
        <v>1055</v>
      </c>
      <c r="B1056" s="36" t="s">
        <v>15567</v>
      </c>
      <c r="C1056" s="36" t="s">
        <v>15567</v>
      </c>
      <c r="D1056" s="36" t="s">
        <v>15567</v>
      </c>
      <c r="E1056" s="36" t="s">
        <v>15567</v>
      </c>
      <c r="F1056" s="36" t="s">
        <v>15567</v>
      </c>
      <c r="G1056" s="36" t="s">
        <v>15567</v>
      </c>
      <c r="H1056" s="36" t="s">
        <v>15567</v>
      </c>
      <c r="I1056" s="36" t="s">
        <v>15567</v>
      </c>
      <c r="J1056" s="36" t="s">
        <v>15567</v>
      </c>
      <c r="K1056" s="36" t="s">
        <v>15567</v>
      </c>
      <c r="L1056" s="36" t="s">
        <v>15567</v>
      </c>
      <c r="M1056" s="36" t="s">
        <v>15567</v>
      </c>
      <c r="N1056" s="36" t="s">
        <v>15567</v>
      </c>
      <c r="O1056" s="36" t="s">
        <v>15567</v>
      </c>
      <c r="P1056" s="36" t="s">
        <v>15567</v>
      </c>
    </row>
    <row r="1057" spans="1:16">
      <c r="A1057" s="139">
        <v>1056</v>
      </c>
      <c r="B1057" s="36" t="s">
        <v>15568</v>
      </c>
      <c r="C1057" s="36" t="s">
        <v>15568</v>
      </c>
      <c r="D1057" s="36" t="s">
        <v>15568</v>
      </c>
      <c r="E1057" s="36" t="s">
        <v>15568</v>
      </c>
      <c r="F1057" s="36" t="s">
        <v>15568</v>
      </c>
      <c r="G1057" s="36" t="s">
        <v>15568</v>
      </c>
      <c r="H1057" s="36" t="s">
        <v>15568</v>
      </c>
      <c r="I1057" s="36" t="s">
        <v>15568</v>
      </c>
      <c r="J1057" s="36" t="s">
        <v>15568</v>
      </c>
      <c r="K1057" s="36" t="s">
        <v>15568</v>
      </c>
      <c r="L1057" s="36" t="s">
        <v>15568</v>
      </c>
      <c r="M1057" s="36" t="s">
        <v>15568</v>
      </c>
      <c r="N1057" s="36" t="s">
        <v>15568</v>
      </c>
      <c r="O1057" s="36" t="s">
        <v>15568</v>
      </c>
      <c r="P1057" s="36" t="s">
        <v>15568</v>
      </c>
    </row>
    <row r="1058" spans="1:16">
      <c r="A1058" s="139">
        <v>1057</v>
      </c>
      <c r="B1058" s="36" t="s">
        <v>15569</v>
      </c>
      <c r="C1058" s="36" t="s">
        <v>15569</v>
      </c>
      <c r="D1058" s="36" t="s">
        <v>15569</v>
      </c>
      <c r="E1058" s="36" t="s">
        <v>15569</v>
      </c>
      <c r="F1058" s="36" t="s">
        <v>15569</v>
      </c>
      <c r="G1058" s="36" t="s">
        <v>15569</v>
      </c>
      <c r="H1058" s="36" t="s">
        <v>15569</v>
      </c>
      <c r="I1058" s="36" t="s">
        <v>15569</v>
      </c>
      <c r="J1058" s="36" t="s">
        <v>15569</v>
      </c>
      <c r="K1058" s="36" t="s">
        <v>15569</v>
      </c>
      <c r="L1058" s="36" t="s">
        <v>15569</v>
      </c>
      <c r="M1058" s="36" t="s">
        <v>15569</v>
      </c>
      <c r="N1058" s="36" t="s">
        <v>15569</v>
      </c>
      <c r="O1058" s="36" t="s">
        <v>15569</v>
      </c>
      <c r="P1058" s="36" t="s">
        <v>15569</v>
      </c>
    </row>
    <row r="1059" spans="1:16">
      <c r="A1059" s="139">
        <v>1058</v>
      </c>
      <c r="B1059" s="36" t="s">
        <v>15570</v>
      </c>
      <c r="C1059" s="36" t="s">
        <v>15570</v>
      </c>
      <c r="D1059" s="36" t="s">
        <v>15570</v>
      </c>
      <c r="E1059" s="36" t="s">
        <v>15570</v>
      </c>
      <c r="F1059" s="36" t="s">
        <v>15570</v>
      </c>
      <c r="G1059" s="36" t="s">
        <v>15570</v>
      </c>
      <c r="H1059" s="36" t="s">
        <v>15570</v>
      </c>
      <c r="I1059" s="36" t="s">
        <v>15570</v>
      </c>
      <c r="J1059" s="36" t="s">
        <v>15570</v>
      </c>
      <c r="K1059" s="36" t="s">
        <v>15570</v>
      </c>
      <c r="L1059" s="36" t="s">
        <v>15570</v>
      </c>
      <c r="M1059" s="36" t="s">
        <v>15570</v>
      </c>
      <c r="N1059" s="36" t="s">
        <v>15570</v>
      </c>
      <c r="O1059" s="36" t="s">
        <v>15570</v>
      </c>
      <c r="P1059" s="36" t="s">
        <v>15570</v>
      </c>
    </row>
    <row r="1060" spans="1:16">
      <c r="A1060" s="139">
        <v>1059</v>
      </c>
      <c r="B1060" s="36" t="s">
        <v>15571</v>
      </c>
      <c r="C1060" s="36" t="s">
        <v>15571</v>
      </c>
      <c r="D1060" s="36" t="s">
        <v>15571</v>
      </c>
      <c r="E1060" s="36" t="s">
        <v>15571</v>
      </c>
      <c r="F1060" s="36" t="s">
        <v>15571</v>
      </c>
      <c r="G1060" s="36" t="s">
        <v>15571</v>
      </c>
      <c r="H1060" s="36" t="s">
        <v>15571</v>
      </c>
      <c r="I1060" s="36" t="s">
        <v>15571</v>
      </c>
      <c r="J1060" s="36" t="s">
        <v>15571</v>
      </c>
      <c r="K1060" s="36" t="s">
        <v>15571</v>
      </c>
      <c r="L1060" s="36" t="s">
        <v>15571</v>
      </c>
      <c r="M1060" s="36" t="s">
        <v>15571</v>
      </c>
      <c r="N1060" s="36" t="s">
        <v>15571</v>
      </c>
      <c r="O1060" s="36" t="s">
        <v>15571</v>
      </c>
      <c r="P1060" s="36" t="s">
        <v>15571</v>
      </c>
    </row>
    <row r="1061" spans="1:16">
      <c r="A1061" s="139">
        <v>1060</v>
      </c>
      <c r="B1061" s="36" t="s">
        <v>15572</v>
      </c>
      <c r="C1061" s="36" t="s">
        <v>15572</v>
      </c>
      <c r="D1061" s="36" t="s">
        <v>15572</v>
      </c>
      <c r="E1061" s="36" t="s">
        <v>15572</v>
      </c>
      <c r="F1061" s="36" t="s">
        <v>15572</v>
      </c>
      <c r="G1061" s="36" t="s">
        <v>15572</v>
      </c>
      <c r="H1061" s="36" t="s">
        <v>15572</v>
      </c>
      <c r="I1061" s="36" t="s">
        <v>15572</v>
      </c>
      <c r="J1061" s="36" t="s">
        <v>15572</v>
      </c>
      <c r="K1061" s="36" t="s">
        <v>15572</v>
      </c>
      <c r="L1061" s="36" t="s">
        <v>15572</v>
      </c>
      <c r="M1061" s="36" t="s">
        <v>15572</v>
      </c>
      <c r="N1061" s="36" t="s">
        <v>15572</v>
      </c>
      <c r="O1061" s="36" t="s">
        <v>15572</v>
      </c>
      <c r="P1061" s="36" t="s">
        <v>15572</v>
      </c>
    </row>
    <row r="1062" spans="1:16">
      <c r="A1062" s="139">
        <v>1061</v>
      </c>
      <c r="B1062" s="36" t="s">
        <v>15573</v>
      </c>
      <c r="C1062" s="36" t="s">
        <v>15573</v>
      </c>
      <c r="D1062" s="36" t="s">
        <v>15573</v>
      </c>
      <c r="E1062" s="36" t="s">
        <v>15573</v>
      </c>
      <c r="F1062" s="36" t="s">
        <v>15573</v>
      </c>
      <c r="G1062" s="36" t="s">
        <v>15573</v>
      </c>
      <c r="H1062" s="36" t="s">
        <v>15573</v>
      </c>
      <c r="I1062" s="36" t="s">
        <v>15573</v>
      </c>
      <c r="J1062" s="36" t="s">
        <v>15573</v>
      </c>
      <c r="K1062" s="36" t="s">
        <v>15573</v>
      </c>
      <c r="L1062" s="36" t="s">
        <v>15573</v>
      </c>
      <c r="M1062" s="36" t="s">
        <v>15573</v>
      </c>
      <c r="N1062" s="36" t="s">
        <v>15573</v>
      </c>
      <c r="O1062" s="36" t="s">
        <v>15573</v>
      </c>
      <c r="P1062" s="36" t="s">
        <v>15573</v>
      </c>
    </row>
    <row r="1063" spans="1:16">
      <c r="A1063" s="139">
        <v>1062</v>
      </c>
      <c r="B1063" s="36" t="s">
        <v>15574</v>
      </c>
      <c r="C1063" s="36" t="s">
        <v>15574</v>
      </c>
      <c r="D1063" s="36" t="s">
        <v>15574</v>
      </c>
      <c r="E1063" s="36" t="s">
        <v>15574</v>
      </c>
      <c r="F1063" s="36" t="s">
        <v>15574</v>
      </c>
      <c r="G1063" s="36" t="s">
        <v>15574</v>
      </c>
      <c r="H1063" s="36" t="s">
        <v>15574</v>
      </c>
      <c r="I1063" s="36" t="s">
        <v>15574</v>
      </c>
      <c r="J1063" s="36" t="s">
        <v>15574</v>
      </c>
      <c r="K1063" s="36" t="s">
        <v>15574</v>
      </c>
      <c r="L1063" s="36" t="s">
        <v>15574</v>
      </c>
      <c r="M1063" s="36" t="s">
        <v>15574</v>
      </c>
      <c r="N1063" s="36" t="s">
        <v>15574</v>
      </c>
      <c r="O1063" s="36" t="s">
        <v>15574</v>
      </c>
      <c r="P1063" s="36" t="s">
        <v>15574</v>
      </c>
    </row>
    <row r="1064" spans="1:16">
      <c r="A1064" s="139">
        <v>1063</v>
      </c>
      <c r="B1064" s="36" t="s">
        <v>15575</v>
      </c>
      <c r="C1064" s="36" t="s">
        <v>15575</v>
      </c>
      <c r="D1064" s="36" t="s">
        <v>15575</v>
      </c>
      <c r="E1064" s="36" t="s">
        <v>15575</v>
      </c>
      <c r="F1064" s="36" t="s">
        <v>15575</v>
      </c>
      <c r="G1064" s="36" t="s">
        <v>15575</v>
      </c>
      <c r="H1064" s="36" t="s">
        <v>15575</v>
      </c>
      <c r="I1064" s="36" t="s">
        <v>15575</v>
      </c>
      <c r="J1064" s="36" t="s">
        <v>15575</v>
      </c>
      <c r="K1064" s="36" t="s">
        <v>15575</v>
      </c>
      <c r="L1064" s="36" t="s">
        <v>15575</v>
      </c>
      <c r="M1064" s="36" t="s">
        <v>15575</v>
      </c>
      <c r="N1064" s="36" t="s">
        <v>15575</v>
      </c>
      <c r="O1064" s="36" t="s">
        <v>15575</v>
      </c>
      <c r="P1064" s="36" t="s">
        <v>15575</v>
      </c>
    </row>
    <row r="1065" spans="1:16">
      <c r="A1065" s="139">
        <v>1064</v>
      </c>
      <c r="B1065" s="36" t="s">
        <v>15576</v>
      </c>
      <c r="C1065" s="36" t="s">
        <v>15576</v>
      </c>
      <c r="D1065" s="36" t="s">
        <v>15576</v>
      </c>
      <c r="E1065" s="36" t="s">
        <v>15576</v>
      </c>
      <c r="F1065" s="36" t="s">
        <v>15576</v>
      </c>
      <c r="G1065" s="36" t="s">
        <v>15576</v>
      </c>
      <c r="H1065" s="36" t="s">
        <v>15576</v>
      </c>
      <c r="I1065" s="36" t="s">
        <v>15576</v>
      </c>
      <c r="J1065" s="36" t="s">
        <v>15576</v>
      </c>
      <c r="K1065" s="36" t="s">
        <v>15576</v>
      </c>
      <c r="L1065" s="36" t="s">
        <v>15576</v>
      </c>
      <c r="M1065" s="36" t="s">
        <v>15576</v>
      </c>
      <c r="N1065" s="36" t="s">
        <v>15576</v>
      </c>
      <c r="O1065" s="36" t="s">
        <v>15576</v>
      </c>
      <c r="P1065" s="36" t="s">
        <v>15576</v>
      </c>
    </row>
    <row r="1066" spans="1:16">
      <c r="A1066" s="139">
        <v>1065</v>
      </c>
      <c r="B1066" s="36" t="s">
        <v>15577</v>
      </c>
      <c r="C1066" s="36" t="s">
        <v>15577</v>
      </c>
      <c r="D1066" s="36" t="s">
        <v>15577</v>
      </c>
      <c r="E1066" s="36" t="s">
        <v>15577</v>
      </c>
      <c r="F1066" s="36" t="s">
        <v>15577</v>
      </c>
      <c r="G1066" s="36" t="s">
        <v>15577</v>
      </c>
      <c r="H1066" s="36" t="s">
        <v>15577</v>
      </c>
      <c r="I1066" s="36" t="s">
        <v>15577</v>
      </c>
      <c r="J1066" s="36" t="s">
        <v>15577</v>
      </c>
      <c r="K1066" s="36" t="s">
        <v>15577</v>
      </c>
      <c r="L1066" s="36" t="s">
        <v>15577</v>
      </c>
      <c r="M1066" s="36" t="s">
        <v>15577</v>
      </c>
      <c r="N1066" s="36" t="s">
        <v>15577</v>
      </c>
      <c r="O1066" s="36" t="s">
        <v>15577</v>
      </c>
      <c r="P1066" s="36" t="s">
        <v>15577</v>
      </c>
    </row>
    <row r="1067" spans="1:16">
      <c r="A1067" s="139">
        <v>1066</v>
      </c>
      <c r="B1067" s="36" t="s">
        <v>15578</v>
      </c>
      <c r="C1067" s="36" t="s">
        <v>15578</v>
      </c>
      <c r="D1067" s="36" t="s">
        <v>15578</v>
      </c>
      <c r="E1067" s="36" t="s">
        <v>15578</v>
      </c>
      <c r="F1067" s="36" t="s">
        <v>15578</v>
      </c>
      <c r="G1067" s="36" t="s">
        <v>15578</v>
      </c>
      <c r="H1067" s="36" t="s">
        <v>15578</v>
      </c>
      <c r="I1067" s="36" t="s">
        <v>15578</v>
      </c>
      <c r="J1067" s="36" t="s">
        <v>15578</v>
      </c>
      <c r="K1067" s="36" t="s">
        <v>15578</v>
      </c>
      <c r="L1067" s="36" t="s">
        <v>15578</v>
      </c>
      <c r="M1067" s="36" t="s">
        <v>15578</v>
      </c>
      <c r="N1067" s="36" t="s">
        <v>15578</v>
      </c>
      <c r="O1067" s="36" t="s">
        <v>15578</v>
      </c>
      <c r="P1067" s="36" t="s">
        <v>15578</v>
      </c>
    </row>
    <row r="1068" spans="1:16">
      <c r="A1068" s="139">
        <v>1067</v>
      </c>
      <c r="B1068" s="36" t="s">
        <v>15579</v>
      </c>
      <c r="C1068" s="36" t="s">
        <v>15579</v>
      </c>
      <c r="D1068" s="36" t="s">
        <v>15579</v>
      </c>
      <c r="E1068" s="36" t="s">
        <v>15579</v>
      </c>
      <c r="F1068" s="36" t="s">
        <v>15579</v>
      </c>
      <c r="G1068" s="36" t="s">
        <v>15579</v>
      </c>
      <c r="H1068" s="36" t="s">
        <v>15579</v>
      </c>
      <c r="I1068" s="36" t="s">
        <v>15579</v>
      </c>
      <c r="J1068" s="36" t="s">
        <v>15579</v>
      </c>
      <c r="K1068" s="36" t="s">
        <v>15579</v>
      </c>
      <c r="L1068" s="36" t="s">
        <v>15579</v>
      </c>
      <c r="M1068" s="36" t="s">
        <v>15579</v>
      </c>
      <c r="N1068" s="36" t="s">
        <v>15579</v>
      </c>
      <c r="O1068" s="36" t="s">
        <v>15579</v>
      </c>
      <c r="P1068" s="36" t="s">
        <v>15579</v>
      </c>
    </row>
    <row r="1069" spans="1:16">
      <c r="A1069" s="139">
        <v>1068</v>
      </c>
      <c r="B1069" s="36" t="s">
        <v>15580</v>
      </c>
      <c r="C1069" s="36" t="s">
        <v>15580</v>
      </c>
      <c r="D1069" s="36" t="s">
        <v>15580</v>
      </c>
      <c r="E1069" s="36" t="s">
        <v>15580</v>
      </c>
      <c r="F1069" s="36" t="s">
        <v>15580</v>
      </c>
      <c r="G1069" s="36" t="s">
        <v>15580</v>
      </c>
      <c r="H1069" s="36" t="s">
        <v>15580</v>
      </c>
      <c r="I1069" s="36" t="s">
        <v>15580</v>
      </c>
      <c r="J1069" s="36" t="s">
        <v>15580</v>
      </c>
      <c r="K1069" s="36" t="s">
        <v>15580</v>
      </c>
      <c r="L1069" s="36" t="s">
        <v>15580</v>
      </c>
      <c r="M1069" s="36" t="s">
        <v>15580</v>
      </c>
      <c r="N1069" s="36" t="s">
        <v>15580</v>
      </c>
      <c r="O1069" s="36" t="s">
        <v>15580</v>
      </c>
      <c r="P1069" s="36" t="s">
        <v>15580</v>
      </c>
    </row>
    <row r="1070" spans="1:16">
      <c r="A1070" s="139">
        <v>1069</v>
      </c>
      <c r="B1070" s="36" t="s">
        <v>15581</v>
      </c>
      <c r="C1070" s="36" t="s">
        <v>15581</v>
      </c>
      <c r="D1070" s="36" t="s">
        <v>15581</v>
      </c>
      <c r="E1070" s="36" t="s">
        <v>15581</v>
      </c>
      <c r="F1070" s="36" t="s">
        <v>15581</v>
      </c>
      <c r="G1070" s="36" t="s">
        <v>15581</v>
      </c>
      <c r="H1070" s="36" t="s">
        <v>15581</v>
      </c>
      <c r="I1070" s="36" t="s">
        <v>15581</v>
      </c>
      <c r="J1070" s="36" t="s">
        <v>15581</v>
      </c>
      <c r="K1070" s="36" t="s">
        <v>15581</v>
      </c>
      <c r="L1070" s="36" t="s">
        <v>15581</v>
      </c>
      <c r="M1070" s="36" t="s">
        <v>15581</v>
      </c>
      <c r="N1070" s="36" t="s">
        <v>15581</v>
      </c>
      <c r="O1070" s="36" t="s">
        <v>15581</v>
      </c>
      <c r="P1070" s="36" t="s">
        <v>15581</v>
      </c>
    </row>
    <row r="1071" spans="1:16">
      <c r="A1071" s="139">
        <v>1070</v>
      </c>
      <c r="B1071" s="36" t="s">
        <v>15582</v>
      </c>
      <c r="C1071" s="36" t="s">
        <v>15582</v>
      </c>
      <c r="D1071" s="36" t="s">
        <v>15582</v>
      </c>
      <c r="E1071" s="36" t="s">
        <v>15582</v>
      </c>
      <c r="F1071" s="36" t="s">
        <v>15582</v>
      </c>
      <c r="G1071" s="36" t="s">
        <v>15582</v>
      </c>
      <c r="H1071" s="36" t="s">
        <v>15582</v>
      </c>
      <c r="I1071" s="36" t="s">
        <v>15582</v>
      </c>
      <c r="J1071" s="36" t="s">
        <v>15582</v>
      </c>
      <c r="K1071" s="36" t="s">
        <v>15582</v>
      </c>
      <c r="L1071" s="36" t="s">
        <v>15582</v>
      </c>
      <c r="M1071" s="36" t="s">
        <v>15582</v>
      </c>
      <c r="N1071" s="36" t="s">
        <v>15582</v>
      </c>
      <c r="O1071" s="36" t="s">
        <v>15582</v>
      </c>
      <c r="P1071" s="36" t="s">
        <v>15582</v>
      </c>
    </row>
    <row r="1072" spans="1:16">
      <c r="A1072" s="139">
        <v>1071</v>
      </c>
      <c r="B1072" s="36" t="s">
        <v>15583</v>
      </c>
      <c r="C1072" s="36" t="s">
        <v>15583</v>
      </c>
      <c r="D1072" s="36" t="s">
        <v>15583</v>
      </c>
      <c r="E1072" s="36" t="s">
        <v>15583</v>
      </c>
      <c r="F1072" s="36" t="s">
        <v>15583</v>
      </c>
      <c r="G1072" s="36" t="s">
        <v>15583</v>
      </c>
      <c r="H1072" s="36" t="s">
        <v>15583</v>
      </c>
      <c r="I1072" s="36" t="s">
        <v>15583</v>
      </c>
      <c r="J1072" s="36" t="s">
        <v>15583</v>
      </c>
      <c r="K1072" s="36" t="s">
        <v>15583</v>
      </c>
      <c r="L1072" s="36" t="s">
        <v>15583</v>
      </c>
      <c r="M1072" s="36" t="s">
        <v>15583</v>
      </c>
      <c r="N1072" s="36" t="s">
        <v>15583</v>
      </c>
      <c r="O1072" s="36" t="s">
        <v>15583</v>
      </c>
      <c r="P1072" s="36" t="s">
        <v>15583</v>
      </c>
    </row>
    <row r="1073" spans="1:16">
      <c r="A1073" s="139">
        <v>1072</v>
      </c>
      <c r="B1073" s="36" t="s">
        <v>15584</v>
      </c>
      <c r="C1073" s="36" t="s">
        <v>15584</v>
      </c>
      <c r="D1073" s="36" t="s">
        <v>15584</v>
      </c>
      <c r="E1073" s="36" t="s">
        <v>15584</v>
      </c>
      <c r="F1073" s="36" t="s">
        <v>15584</v>
      </c>
      <c r="G1073" s="36" t="s">
        <v>15584</v>
      </c>
      <c r="H1073" s="36" t="s">
        <v>15584</v>
      </c>
      <c r="I1073" s="36" t="s">
        <v>15584</v>
      </c>
      <c r="J1073" s="36" t="s">
        <v>15584</v>
      </c>
      <c r="K1073" s="36" t="s">
        <v>15584</v>
      </c>
      <c r="L1073" s="36" t="s">
        <v>15584</v>
      </c>
      <c r="M1073" s="36" t="s">
        <v>15584</v>
      </c>
      <c r="N1073" s="36" t="s">
        <v>15584</v>
      </c>
      <c r="O1073" s="36" t="s">
        <v>15584</v>
      </c>
      <c r="P1073" s="36" t="s">
        <v>15584</v>
      </c>
    </row>
    <row r="1074" spans="1:16">
      <c r="A1074" s="139">
        <v>1073</v>
      </c>
      <c r="B1074" s="36" t="s">
        <v>15585</v>
      </c>
      <c r="C1074" s="36" t="s">
        <v>15585</v>
      </c>
      <c r="D1074" s="36" t="s">
        <v>15585</v>
      </c>
      <c r="E1074" s="36" t="s">
        <v>15585</v>
      </c>
      <c r="F1074" s="36" t="s">
        <v>15585</v>
      </c>
      <c r="G1074" s="36" t="s">
        <v>15585</v>
      </c>
      <c r="H1074" s="36" t="s">
        <v>15585</v>
      </c>
      <c r="I1074" s="36" t="s">
        <v>15585</v>
      </c>
      <c r="J1074" s="36" t="s">
        <v>15585</v>
      </c>
      <c r="K1074" s="36" t="s">
        <v>15585</v>
      </c>
      <c r="L1074" s="36" t="s">
        <v>15585</v>
      </c>
      <c r="M1074" s="36" t="s">
        <v>15585</v>
      </c>
      <c r="N1074" s="36" t="s">
        <v>15585</v>
      </c>
      <c r="O1074" s="36" t="s">
        <v>15585</v>
      </c>
      <c r="P1074" s="36" t="s">
        <v>15585</v>
      </c>
    </row>
    <row r="1075" spans="1:16">
      <c r="A1075" s="139">
        <v>1074</v>
      </c>
      <c r="B1075" s="36" t="s">
        <v>15586</v>
      </c>
      <c r="C1075" s="36" t="s">
        <v>15586</v>
      </c>
      <c r="D1075" s="36" t="s">
        <v>15586</v>
      </c>
      <c r="E1075" s="36" t="s">
        <v>15586</v>
      </c>
      <c r="F1075" s="36" t="s">
        <v>15586</v>
      </c>
      <c r="G1075" s="36" t="s">
        <v>15586</v>
      </c>
      <c r="H1075" s="36" t="s">
        <v>15586</v>
      </c>
      <c r="I1075" s="36" t="s">
        <v>15586</v>
      </c>
      <c r="J1075" s="36" t="s">
        <v>15586</v>
      </c>
      <c r="K1075" s="36" t="s">
        <v>15586</v>
      </c>
      <c r="L1075" s="36" t="s">
        <v>15586</v>
      </c>
      <c r="M1075" s="36" t="s">
        <v>15586</v>
      </c>
      <c r="N1075" s="36" t="s">
        <v>15586</v>
      </c>
      <c r="O1075" s="36" t="s">
        <v>15586</v>
      </c>
      <c r="P1075" s="36" t="s">
        <v>15586</v>
      </c>
    </row>
    <row r="1076" spans="1:16">
      <c r="A1076" s="139">
        <v>1075</v>
      </c>
      <c r="B1076" s="36" t="s">
        <v>15587</v>
      </c>
      <c r="C1076" s="36" t="s">
        <v>15587</v>
      </c>
      <c r="D1076" s="36" t="s">
        <v>15587</v>
      </c>
      <c r="E1076" s="36" t="s">
        <v>15587</v>
      </c>
      <c r="F1076" s="36" t="s">
        <v>15587</v>
      </c>
      <c r="G1076" s="36" t="s">
        <v>15587</v>
      </c>
      <c r="H1076" s="36" t="s">
        <v>15587</v>
      </c>
      <c r="I1076" s="36" t="s">
        <v>15587</v>
      </c>
      <c r="J1076" s="36" t="s">
        <v>15587</v>
      </c>
      <c r="K1076" s="36" t="s">
        <v>15587</v>
      </c>
      <c r="L1076" s="36" t="s">
        <v>15587</v>
      </c>
      <c r="M1076" s="36" t="s">
        <v>15587</v>
      </c>
      <c r="N1076" s="36" t="s">
        <v>15587</v>
      </c>
      <c r="O1076" s="36" t="s">
        <v>15587</v>
      </c>
      <c r="P1076" s="36" t="s">
        <v>15587</v>
      </c>
    </row>
    <row r="1077" spans="1:16">
      <c r="A1077" s="139">
        <v>1076</v>
      </c>
      <c r="B1077" s="36" t="s">
        <v>15588</v>
      </c>
      <c r="C1077" s="36" t="s">
        <v>15588</v>
      </c>
      <c r="D1077" s="36" t="s">
        <v>15588</v>
      </c>
      <c r="E1077" s="36" t="s">
        <v>15588</v>
      </c>
      <c r="F1077" s="36" t="s">
        <v>15588</v>
      </c>
      <c r="G1077" s="36" t="s">
        <v>15588</v>
      </c>
      <c r="H1077" s="36" t="s">
        <v>15588</v>
      </c>
      <c r="I1077" s="36" t="s">
        <v>15588</v>
      </c>
      <c r="J1077" s="36" t="s">
        <v>15588</v>
      </c>
      <c r="K1077" s="36" t="s">
        <v>15588</v>
      </c>
      <c r="L1077" s="36" t="s">
        <v>15588</v>
      </c>
      <c r="M1077" s="36" t="s">
        <v>15588</v>
      </c>
      <c r="N1077" s="36" t="s">
        <v>15588</v>
      </c>
      <c r="O1077" s="36" t="s">
        <v>15588</v>
      </c>
      <c r="P1077" s="36" t="s">
        <v>15588</v>
      </c>
    </row>
    <row r="1078" spans="1:16">
      <c r="A1078" s="139">
        <v>1077</v>
      </c>
      <c r="B1078" s="36" t="s">
        <v>15589</v>
      </c>
      <c r="C1078" s="36" t="s">
        <v>15589</v>
      </c>
      <c r="D1078" s="36" t="s">
        <v>15589</v>
      </c>
      <c r="E1078" s="36" t="s">
        <v>15589</v>
      </c>
      <c r="F1078" s="36" t="s">
        <v>15589</v>
      </c>
      <c r="G1078" s="36" t="s">
        <v>15589</v>
      </c>
      <c r="H1078" s="36" t="s">
        <v>15589</v>
      </c>
      <c r="I1078" s="36" t="s">
        <v>15589</v>
      </c>
      <c r="J1078" s="36" t="s">
        <v>15589</v>
      </c>
      <c r="K1078" s="36" t="s">
        <v>15589</v>
      </c>
      <c r="L1078" s="36" t="s">
        <v>15589</v>
      </c>
      <c r="M1078" s="36" t="s">
        <v>15589</v>
      </c>
      <c r="N1078" s="36" t="s">
        <v>15589</v>
      </c>
      <c r="O1078" s="36" t="s">
        <v>15589</v>
      </c>
      <c r="P1078" s="36" t="s">
        <v>15589</v>
      </c>
    </row>
    <row r="1079" spans="1:16">
      <c r="A1079" s="139">
        <v>1078</v>
      </c>
      <c r="B1079" s="36" t="s">
        <v>15590</v>
      </c>
      <c r="C1079" s="36" t="s">
        <v>15590</v>
      </c>
      <c r="D1079" s="36" t="s">
        <v>15590</v>
      </c>
      <c r="E1079" s="36" t="s">
        <v>15590</v>
      </c>
      <c r="F1079" s="36" t="s">
        <v>15590</v>
      </c>
      <c r="G1079" s="36" t="s">
        <v>15590</v>
      </c>
      <c r="H1079" s="36" t="s">
        <v>15590</v>
      </c>
      <c r="I1079" s="36" t="s">
        <v>15590</v>
      </c>
      <c r="J1079" s="36" t="s">
        <v>15590</v>
      </c>
      <c r="K1079" s="36" t="s">
        <v>15590</v>
      </c>
      <c r="L1079" s="36" t="s">
        <v>15590</v>
      </c>
      <c r="M1079" s="36" t="s">
        <v>15590</v>
      </c>
      <c r="N1079" s="36" t="s">
        <v>15590</v>
      </c>
      <c r="O1079" s="36" t="s">
        <v>15590</v>
      </c>
      <c r="P1079" s="36" t="s">
        <v>15590</v>
      </c>
    </row>
    <row r="1080" spans="1:16">
      <c r="A1080" s="139">
        <v>1079</v>
      </c>
      <c r="B1080" s="36" t="s">
        <v>15591</v>
      </c>
      <c r="C1080" s="36" t="s">
        <v>15591</v>
      </c>
      <c r="D1080" s="36" t="s">
        <v>15591</v>
      </c>
      <c r="E1080" s="36" t="s">
        <v>15591</v>
      </c>
      <c r="F1080" s="36" t="s">
        <v>15591</v>
      </c>
      <c r="G1080" s="36" t="s">
        <v>15591</v>
      </c>
      <c r="H1080" s="36" t="s">
        <v>15591</v>
      </c>
      <c r="I1080" s="36" t="s">
        <v>15591</v>
      </c>
      <c r="J1080" s="36" t="s">
        <v>15591</v>
      </c>
      <c r="K1080" s="36" t="s">
        <v>15591</v>
      </c>
      <c r="L1080" s="36" t="s">
        <v>15591</v>
      </c>
      <c r="M1080" s="36" t="s">
        <v>15591</v>
      </c>
      <c r="N1080" s="36" t="s">
        <v>15591</v>
      </c>
      <c r="O1080" s="36" t="s">
        <v>15591</v>
      </c>
      <c r="P1080" s="36" t="s">
        <v>15591</v>
      </c>
    </row>
    <row r="1081" spans="1:16">
      <c r="A1081" s="139">
        <v>1080</v>
      </c>
      <c r="B1081" s="36" t="s">
        <v>15592</v>
      </c>
      <c r="C1081" s="36" t="s">
        <v>15592</v>
      </c>
      <c r="D1081" s="36" t="s">
        <v>15592</v>
      </c>
      <c r="E1081" s="36" t="s">
        <v>15592</v>
      </c>
      <c r="F1081" s="36" t="s">
        <v>15592</v>
      </c>
      <c r="G1081" s="36" t="s">
        <v>15592</v>
      </c>
      <c r="H1081" s="36" t="s">
        <v>15592</v>
      </c>
      <c r="I1081" s="36" t="s">
        <v>15592</v>
      </c>
      <c r="J1081" s="36" t="s">
        <v>15592</v>
      </c>
      <c r="K1081" s="36" t="s">
        <v>15592</v>
      </c>
      <c r="L1081" s="36" t="s">
        <v>15592</v>
      </c>
      <c r="M1081" s="36" t="s">
        <v>15592</v>
      </c>
      <c r="N1081" s="36" t="s">
        <v>15592</v>
      </c>
      <c r="O1081" s="36" t="s">
        <v>15592</v>
      </c>
      <c r="P1081" s="36" t="s">
        <v>15592</v>
      </c>
    </row>
    <row r="1082" spans="1:16">
      <c r="A1082" s="139">
        <v>1081</v>
      </c>
      <c r="B1082" s="36" t="s">
        <v>15593</v>
      </c>
      <c r="C1082" s="36" t="s">
        <v>15593</v>
      </c>
      <c r="D1082" s="36" t="s">
        <v>15593</v>
      </c>
      <c r="E1082" s="36" t="s">
        <v>15593</v>
      </c>
      <c r="F1082" s="36" t="s">
        <v>15593</v>
      </c>
      <c r="G1082" s="36" t="s">
        <v>15593</v>
      </c>
      <c r="H1082" s="36" t="s">
        <v>15593</v>
      </c>
      <c r="I1082" s="36" t="s">
        <v>15593</v>
      </c>
      <c r="J1082" s="36" t="s">
        <v>15593</v>
      </c>
      <c r="K1082" s="36" t="s">
        <v>15593</v>
      </c>
      <c r="L1082" s="36" t="s">
        <v>15593</v>
      </c>
      <c r="M1082" s="36" t="s">
        <v>15593</v>
      </c>
      <c r="N1082" s="36" t="s">
        <v>15593</v>
      </c>
      <c r="O1082" s="36" t="s">
        <v>15593</v>
      </c>
      <c r="P1082" s="36" t="s">
        <v>15593</v>
      </c>
    </row>
    <row r="1083" spans="1:16">
      <c r="A1083" s="139">
        <v>1082</v>
      </c>
      <c r="B1083" s="36" t="s">
        <v>15594</v>
      </c>
      <c r="C1083" s="36" t="s">
        <v>15594</v>
      </c>
      <c r="D1083" s="36" t="s">
        <v>15594</v>
      </c>
      <c r="E1083" s="36" t="s">
        <v>15594</v>
      </c>
      <c r="F1083" s="36" t="s">
        <v>15594</v>
      </c>
      <c r="G1083" s="36" t="s">
        <v>15594</v>
      </c>
      <c r="H1083" s="36" t="s">
        <v>15594</v>
      </c>
      <c r="I1083" s="36" t="s">
        <v>15594</v>
      </c>
      <c r="J1083" s="36" t="s">
        <v>15594</v>
      </c>
      <c r="K1083" s="36" t="s">
        <v>15594</v>
      </c>
      <c r="L1083" s="36" t="s">
        <v>15594</v>
      </c>
      <c r="M1083" s="36" t="s">
        <v>15594</v>
      </c>
      <c r="N1083" s="36" t="s">
        <v>15594</v>
      </c>
      <c r="O1083" s="36" t="s">
        <v>15594</v>
      </c>
      <c r="P1083" s="36" t="s">
        <v>15594</v>
      </c>
    </row>
    <row r="1084" spans="1:16">
      <c r="A1084" s="139">
        <v>1083</v>
      </c>
      <c r="B1084" s="36" t="s">
        <v>15595</v>
      </c>
      <c r="C1084" s="36" t="s">
        <v>15595</v>
      </c>
      <c r="D1084" s="36" t="s">
        <v>15595</v>
      </c>
      <c r="E1084" s="36" t="s">
        <v>15595</v>
      </c>
      <c r="F1084" s="36" t="s">
        <v>15595</v>
      </c>
      <c r="G1084" s="36" t="s">
        <v>15595</v>
      </c>
      <c r="H1084" s="36" t="s">
        <v>15595</v>
      </c>
      <c r="I1084" s="36" t="s">
        <v>15595</v>
      </c>
      <c r="J1084" s="36" t="s">
        <v>15595</v>
      </c>
      <c r="K1084" s="36" t="s">
        <v>15595</v>
      </c>
      <c r="L1084" s="36" t="s">
        <v>15595</v>
      </c>
      <c r="M1084" s="36" t="s">
        <v>15595</v>
      </c>
      <c r="N1084" s="36" t="s">
        <v>15595</v>
      </c>
      <c r="O1084" s="36" t="s">
        <v>15595</v>
      </c>
      <c r="P1084" s="36" t="s">
        <v>15595</v>
      </c>
    </row>
    <row r="1085" spans="1:16">
      <c r="A1085" s="139">
        <v>1084</v>
      </c>
      <c r="B1085" s="36" t="s">
        <v>15596</v>
      </c>
      <c r="C1085" s="36" t="s">
        <v>15596</v>
      </c>
      <c r="D1085" s="36" t="s">
        <v>15596</v>
      </c>
      <c r="E1085" s="36" t="s">
        <v>15596</v>
      </c>
      <c r="F1085" s="36" t="s">
        <v>15596</v>
      </c>
      <c r="G1085" s="36" t="s">
        <v>15596</v>
      </c>
      <c r="H1085" s="36" t="s">
        <v>15596</v>
      </c>
      <c r="I1085" s="36" t="s">
        <v>15596</v>
      </c>
      <c r="J1085" s="36" t="s">
        <v>15596</v>
      </c>
      <c r="K1085" s="36" t="s">
        <v>15596</v>
      </c>
      <c r="L1085" s="36" t="s">
        <v>15596</v>
      </c>
      <c r="M1085" s="36" t="s">
        <v>15596</v>
      </c>
      <c r="N1085" s="36" t="s">
        <v>15596</v>
      </c>
      <c r="O1085" s="36" t="s">
        <v>15596</v>
      </c>
      <c r="P1085" s="36" t="s">
        <v>15596</v>
      </c>
    </row>
    <row r="1086" spans="1:16">
      <c r="A1086" s="139">
        <v>1085</v>
      </c>
      <c r="B1086" s="36" t="s">
        <v>15597</v>
      </c>
      <c r="C1086" s="36" t="s">
        <v>15597</v>
      </c>
      <c r="D1086" s="36" t="s">
        <v>15597</v>
      </c>
      <c r="E1086" s="36" t="s">
        <v>15597</v>
      </c>
      <c r="F1086" s="36" t="s">
        <v>15597</v>
      </c>
      <c r="G1086" s="36" t="s">
        <v>15597</v>
      </c>
      <c r="H1086" s="36" t="s">
        <v>15597</v>
      </c>
      <c r="I1086" s="36" t="s">
        <v>15597</v>
      </c>
      <c r="J1086" s="36" t="s">
        <v>15597</v>
      </c>
      <c r="K1086" s="36" t="s">
        <v>15597</v>
      </c>
      <c r="L1086" s="36" t="s">
        <v>15597</v>
      </c>
      <c r="M1086" s="36" t="s">
        <v>15597</v>
      </c>
      <c r="N1086" s="36" t="s">
        <v>15597</v>
      </c>
      <c r="O1086" s="36" t="s">
        <v>15597</v>
      </c>
      <c r="P1086" s="36" t="s">
        <v>15597</v>
      </c>
    </row>
    <row r="1087" spans="1:16">
      <c r="A1087" s="139">
        <v>1086</v>
      </c>
      <c r="B1087" s="36" t="s">
        <v>15598</v>
      </c>
      <c r="C1087" s="36" t="s">
        <v>15598</v>
      </c>
      <c r="D1087" s="36" t="s">
        <v>15598</v>
      </c>
      <c r="E1087" s="36" t="s">
        <v>15598</v>
      </c>
      <c r="F1087" s="36" t="s">
        <v>15598</v>
      </c>
      <c r="G1087" s="36" t="s">
        <v>15598</v>
      </c>
      <c r="H1087" s="36" t="s">
        <v>15598</v>
      </c>
      <c r="I1087" s="36" t="s">
        <v>15598</v>
      </c>
      <c r="J1087" s="36" t="s">
        <v>15598</v>
      </c>
      <c r="K1087" s="36" t="s">
        <v>15598</v>
      </c>
      <c r="L1087" s="36" t="s">
        <v>15598</v>
      </c>
      <c r="M1087" s="36" t="s">
        <v>15598</v>
      </c>
      <c r="N1087" s="36" t="s">
        <v>15598</v>
      </c>
      <c r="O1087" s="36" t="s">
        <v>15598</v>
      </c>
      <c r="P1087" s="36" t="s">
        <v>15598</v>
      </c>
    </row>
    <row r="1088" spans="1:16">
      <c r="A1088" s="139">
        <v>1087</v>
      </c>
      <c r="B1088" s="36" t="s">
        <v>15599</v>
      </c>
      <c r="C1088" s="36" t="s">
        <v>15599</v>
      </c>
      <c r="D1088" s="36" t="s">
        <v>15599</v>
      </c>
      <c r="E1088" s="36" t="s">
        <v>15599</v>
      </c>
      <c r="F1088" s="36" t="s">
        <v>15599</v>
      </c>
      <c r="G1088" s="36" t="s">
        <v>15599</v>
      </c>
      <c r="H1088" s="36" t="s">
        <v>15599</v>
      </c>
      <c r="I1088" s="36" t="s">
        <v>15599</v>
      </c>
      <c r="J1088" s="36" t="s">
        <v>15599</v>
      </c>
      <c r="K1088" s="36" t="s">
        <v>15599</v>
      </c>
      <c r="L1088" s="36" t="s">
        <v>15599</v>
      </c>
      <c r="M1088" s="36" t="s">
        <v>15599</v>
      </c>
      <c r="N1088" s="36" t="s">
        <v>15599</v>
      </c>
      <c r="O1088" s="36" t="s">
        <v>15599</v>
      </c>
      <c r="P1088" s="36" t="s">
        <v>15599</v>
      </c>
    </row>
    <row r="1089" spans="1:16">
      <c r="A1089" s="139">
        <v>1088</v>
      </c>
      <c r="B1089" s="36" t="s">
        <v>15600</v>
      </c>
      <c r="C1089" s="36" t="s">
        <v>15600</v>
      </c>
      <c r="D1089" s="36" t="s">
        <v>15600</v>
      </c>
      <c r="E1089" s="36" t="s">
        <v>15600</v>
      </c>
      <c r="F1089" s="36" t="s">
        <v>15600</v>
      </c>
      <c r="G1089" s="36" t="s">
        <v>15600</v>
      </c>
      <c r="H1089" s="36" t="s">
        <v>15600</v>
      </c>
      <c r="I1089" s="36" t="s">
        <v>15600</v>
      </c>
      <c r="J1089" s="36" t="s">
        <v>15600</v>
      </c>
      <c r="K1089" s="36" t="s">
        <v>15600</v>
      </c>
      <c r="L1089" s="36" t="s">
        <v>15600</v>
      </c>
      <c r="M1089" s="36" t="s">
        <v>15600</v>
      </c>
      <c r="N1089" s="36" t="s">
        <v>15600</v>
      </c>
      <c r="O1089" s="36" t="s">
        <v>15600</v>
      </c>
      <c r="P1089" s="36" t="s">
        <v>15600</v>
      </c>
    </row>
    <row r="1090" spans="1:16">
      <c r="A1090" s="139">
        <v>1089</v>
      </c>
      <c r="B1090" s="36" t="s">
        <v>15601</v>
      </c>
      <c r="C1090" s="36" t="s">
        <v>15601</v>
      </c>
      <c r="D1090" s="36" t="s">
        <v>15601</v>
      </c>
      <c r="E1090" s="36" t="s">
        <v>15601</v>
      </c>
      <c r="F1090" s="36" t="s">
        <v>15601</v>
      </c>
      <c r="G1090" s="36" t="s">
        <v>15601</v>
      </c>
      <c r="H1090" s="36" t="s">
        <v>15601</v>
      </c>
      <c r="I1090" s="36" t="s">
        <v>15601</v>
      </c>
      <c r="J1090" s="36" t="s">
        <v>15601</v>
      </c>
      <c r="K1090" s="36" t="s">
        <v>15601</v>
      </c>
      <c r="L1090" s="36" t="s">
        <v>15601</v>
      </c>
      <c r="M1090" s="36" t="s">
        <v>15601</v>
      </c>
      <c r="N1090" s="36" t="s">
        <v>15601</v>
      </c>
      <c r="O1090" s="36" t="s">
        <v>15601</v>
      </c>
      <c r="P1090" s="36" t="s">
        <v>15601</v>
      </c>
    </row>
    <row r="1091" spans="1:16">
      <c r="A1091" s="139">
        <v>1090</v>
      </c>
      <c r="B1091" s="36" t="s">
        <v>15602</v>
      </c>
      <c r="C1091" s="36" t="s">
        <v>15602</v>
      </c>
      <c r="D1091" s="36" t="s">
        <v>15602</v>
      </c>
      <c r="E1091" s="36" t="s">
        <v>15602</v>
      </c>
      <c r="F1091" s="36" t="s">
        <v>15602</v>
      </c>
      <c r="G1091" s="36" t="s">
        <v>15602</v>
      </c>
      <c r="H1091" s="36" t="s">
        <v>15602</v>
      </c>
      <c r="I1091" s="36" t="s">
        <v>15602</v>
      </c>
      <c r="J1091" s="36" t="s">
        <v>15602</v>
      </c>
      <c r="K1091" s="36" t="s">
        <v>15602</v>
      </c>
      <c r="L1091" s="36" t="s">
        <v>15602</v>
      </c>
      <c r="M1091" s="36" t="s">
        <v>15602</v>
      </c>
      <c r="N1091" s="36" t="s">
        <v>15602</v>
      </c>
      <c r="O1091" s="36" t="s">
        <v>15602</v>
      </c>
      <c r="P1091" s="36" t="s">
        <v>15602</v>
      </c>
    </row>
    <row r="1092" spans="1:16">
      <c r="A1092" s="139">
        <v>1091</v>
      </c>
      <c r="B1092" s="36" t="s">
        <v>15603</v>
      </c>
      <c r="C1092" s="36" t="s">
        <v>15603</v>
      </c>
      <c r="D1092" s="36" t="s">
        <v>15603</v>
      </c>
      <c r="E1092" s="36" t="s">
        <v>15603</v>
      </c>
      <c r="F1092" s="36" t="s">
        <v>15603</v>
      </c>
      <c r="G1092" s="36" t="s">
        <v>15603</v>
      </c>
      <c r="H1092" s="36" t="s">
        <v>15603</v>
      </c>
      <c r="I1092" s="36" t="s">
        <v>15603</v>
      </c>
      <c r="J1092" s="36" t="s">
        <v>15603</v>
      </c>
      <c r="K1092" s="36" t="s">
        <v>15603</v>
      </c>
      <c r="L1092" s="36" t="s">
        <v>15603</v>
      </c>
      <c r="M1092" s="36" t="s">
        <v>15603</v>
      </c>
      <c r="N1092" s="36" t="s">
        <v>15603</v>
      </c>
      <c r="O1092" s="36" t="s">
        <v>15603</v>
      </c>
      <c r="P1092" s="36" t="s">
        <v>15603</v>
      </c>
    </row>
    <row r="1093" spans="1:16">
      <c r="A1093" s="139">
        <v>1092</v>
      </c>
      <c r="B1093" s="36" t="s">
        <v>15604</v>
      </c>
      <c r="C1093" s="36" t="s">
        <v>15604</v>
      </c>
      <c r="D1093" s="36" t="s">
        <v>15604</v>
      </c>
      <c r="E1093" s="36" t="s">
        <v>15604</v>
      </c>
      <c r="F1093" s="36" t="s">
        <v>15604</v>
      </c>
      <c r="G1093" s="36" t="s">
        <v>15604</v>
      </c>
      <c r="H1093" s="36" t="s">
        <v>15604</v>
      </c>
      <c r="I1093" s="36" t="s">
        <v>15604</v>
      </c>
      <c r="J1093" s="36" t="s">
        <v>15604</v>
      </c>
      <c r="K1093" s="36" t="s">
        <v>15604</v>
      </c>
      <c r="L1093" s="36" t="s">
        <v>15604</v>
      </c>
      <c r="M1093" s="36" t="s">
        <v>15604</v>
      </c>
      <c r="N1093" s="36" t="s">
        <v>15604</v>
      </c>
      <c r="O1093" s="36" t="s">
        <v>15604</v>
      </c>
      <c r="P1093" s="36" t="s">
        <v>15604</v>
      </c>
    </row>
    <row r="1094" spans="1:16">
      <c r="A1094" s="139">
        <v>1093</v>
      </c>
      <c r="B1094" s="36" t="s">
        <v>15605</v>
      </c>
      <c r="C1094" s="36" t="s">
        <v>15605</v>
      </c>
      <c r="D1094" s="36" t="s">
        <v>15605</v>
      </c>
      <c r="E1094" s="36" t="s">
        <v>15605</v>
      </c>
      <c r="F1094" s="36" t="s">
        <v>15605</v>
      </c>
      <c r="G1094" s="36" t="s">
        <v>15605</v>
      </c>
      <c r="H1094" s="36" t="s">
        <v>15605</v>
      </c>
      <c r="I1094" s="36" t="s">
        <v>15605</v>
      </c>
      <c r="J1094" s="36" t="s">
        <v>15605</v>
      </c>
      <c r="K1094" s="36" t="s">
        <v>15605</v>
      </c>
      <c r="L1094" s="36" t="s">
        <v>15605</v>
      </c>
      <c r="M1094" s="36" t="s">
        <v>15605</v>
      </c>
      <c r="N1094" s="36" t="s">
        <v>15605</v>
      </c>
      <c r="O1094" s="36" t="s">
        <v>15605</v>
      </c>
      <c r="P1094" s="36" t="s">
        <v>15605</v>
      </c>
    </row>
    <row r="1095" spans="1:16">
      <c r="A1095" s="139">
        <v>1094</v>
      </c>
      <c r="B1095" s="36" t="s">
        <v>15606</v>
      </c>
      <c r="C1095" s="36">
        <v>1</v>
      </c>
      <c r="D1095" s="36">
        <v>1</v>
      </c>
      <c r="E1095" s="36">
        <v>1</v>
      </c>
      <c r="F1095" s="36">
        <v>1</v>
      </c>
      <c r="G1095" s="36">
        <v>1</v>
      </c>
      <c r="H1095" s="36">
        <v>1</v>
      </c>
      <c r="I1095" s="36">
        <v>1</v>
      </c>
      <c r="J1095" s="36">
        <v>1</v>
      </c>
      <c r="K1095" s="36">
        <v>1</v>
      </c>
      <c r="L1095" s="36">
        <v>1</v>
      </c>
      <c r="M1095" s="36">
        <v>1</v>
      </c>
      <c r="N1095" s="36">
        <v>1</v>
      </c>
      <c r="O1095" s="36">
        <v>1</v>
      </c>
      <c r="P1095" s="36" t="s">
        <v>15606</v>
      </c>
    </row>
    <row r="1096" spans="1:16">
      <c r="A1096" s="139">
        <v>1095</v>
      </c>
      <c r="B1096" s="36" t="s">
        <v>15607</v>
      </c>
      <c r="C1096" s="36">
        <v>2</v>
      </c>
      <c r="D1096" s="36">
        <v>2</v>
      </c>
      <c r="E1096" s="36">
        <v>2</v>
      </c>
      <c r="F1096" s="36">
        <v>2</v>
      </c>
      <c r="G1096" s="36">
        <v>2</v>
      </c>
      <c r="H1096" s="36">
        <v>2</v>
      </c>
      <c r="I1096" s="36">
        <v>2</v>
      </c>
      <c r="J1096" s="36">
        <v>2</v>
      </c>
      <c r="K1096" s="36">
        <v>2</v>
      </c>
      <c r="L1096" s="36">
        <v>2</v>
      </c>
      <c r="M1096" s="36">
        <v>2</v>
      </c>
      <c r="N1096" s="36">
        <v>2</v>
      </c>
      <c r="O1096" s="36">
        <v>2</v>
      </c>
      <c r="P1096" s="36" t="s">
        <v>15607</v>
      </c>
    </row>
    <row r="1097" spans="1:16">
      <c r="A1097" s="139">
        <v>1096</v>
      </c>
      <c r="B1097" s="36" t="s">
        <v>15608</v>
      </c>
      <c r="C1097" s="36">
        <v>3</v>
      </c>
      <c r="D1097" s="36">
        <v>3</v>
      </c>
      <c r="E1097" s="36">
        <v>3</v>
      </c>
      <c r="F1097" s="36">
        <v>3</v>
      </c>
      <c r="G1097" s="36">
        <v>3</v>
      </c>
      <c r="H1097" s="36">
        <v>3</v>
      </c>
      <c r="I1097" s="36">
        <v>3</v>
      </c>
      <c r="J1097" s="36">
        <v>3</v>
      </c>
      <c r="K1097" s="36">
        <v>3</v>
      </c>
      <c r="L1097" s="36">
        <v>3</v>
      </c>
      <c r="M1097" s="36">
        <v>3</v>
      </c>
      <c r="N1097" s="36">
        <v>3</v>
      </c>
      <c r="O1097" s="36">
        <v>3</v>
      </c>
      <c r="P1097" s="36" t="s">
        <v>15608</v>
      </c>
    </row>
    <row r="1098" spans="1:16">
      <c r="A1098" s="139">
        <v>1097</v>
      </c>
      <c r="B1098" s="36" t="s">
        <v>15609</v>
      </c>
      <c r="C1098" s="36">
        <v>4</v>
      </c>
      <c r="D1098" s="36">
        <v>4</v>
      </c>
      <c r="E1098" s="36">
        <v>4</v>
      </c>
      <c r="F1098" s="36">
        <v>4</v>
      </c>
      <c r="G1098" s="36">
        <v>4</v>
      </c>
      <c r="H1098" s="36">
        <v>4</v>
      </c>
      <c r="I1098" s="36">
        <v>4</v>
      </c>
      <c r="J1098" s="36">
        <v>4</v>
      </c>
      <c r="K1098" s="36">
        <v>4</v>
      </c>
      <c r="L1098" s="36">
        <v>4</v>
      </c>
      <c r="M1098" s="36">
        <v>4</v>
      </c>
      <c r="N1098" s="36">
        <v>4</v>
      </c>
      <c r="O1098" s="36">
        <v>4</v>
      </c>
      <c r="P1098" s="36" t="s">
        <v>15609</v>
      </c>
    </row>
    <row r="1099" spans="1:16">
      <c r="A1099" s="139">
        <v>1098</v>
      </c>
      <c r="B1099" s="36" t="s">
        <v>15610</v>
      </c>
      <c r="C1099" s="36">
        <v>5</v>
      </c>
      <c r="D1099" s="36">
        <v>5</v>
      </c>
      <c r="E1099" s="36">
        <v>5</v>
      </c>
      <c r="F1099" s="36">
        <v>5</v>
      </c>
      <c r="G1099" s="36">
        <v>5</v>
      </c>
      <c r="H1099" s="36">
        <v>5</v>
      </c>
      <c r="I1099" s="36">
        <v>5</v>
      </c>
      <c r="J1099" s="36">
        <v>5</v>
      </c>
      <c r="K1099" s="36">
        <v>5</v>
      </c>
      <c r="L1099" s="36">
        <v>5</v>
      </c>
      <c r="M1099" s="36">
        <v>5</v>
      </c>
      <c r="N1099" s="36">
        <v>5</v>
      </c>
      <c r="O1099" s="36">
        <v>5</v>
      </c>
      <c r="P1099" s="36" t="s">
        <v>15610</v>
      </c>
    </row>
    <row r="1100" spans="1:16">
      <c r="A1100" s="139">
        <v>1099</v>
      </c>
      <c r="B1100" s="36" t="s">
        <v>15611</v>
      </c>
      <c r="C1100" s="36">
        <v>6</v>
      </c>
      <c r="D1100" s="36">
        <v>6</v>
      </c>
      <c r="E1100" s="36">
        <v>6</v>
      </c>
      <c r="F1100" s="36">
        <v>6</v>
      </c>
      <c r="G1100" s="36">
        <v>6</v>
      </c>
      <c r="H1100" s="36">
        <v>6</v>
      </c>
      <c r="I1100" s="36">
        <v>6</v>
      </c>
      <c r="J1100" s="36">
        <v>6</v>
      </c>
      <c r="K1100" s="36">
        <v>6</v>
      </c>
      <c r="L1100" s="36">
        <v>6</v>
      </c>
      <c r="M1100" s="36">
        <v>6</v>
      </c>
      <c r="N1100" s="36">
        <v>6</v>
      </c>
      <c r="O1100" s="36">
        <v>6</v>
      </c>
      <c r="P1100" s="36" t="s">
        <v>15611</v>
      </c>
    </row>
    <row r="1101" spans="1:16">
      <c r="A1101" s="139">
        <v>1100</v>
      </c>
      <c r="B1101" s="36" t="s">
        <v>15612</v>
      </c>
      <c r="C1101" s="36">
        <v>7</v>
      </c>
      <c r="D1101" s="36">
        <v>7</v>
      </c>
      <c r="E1101" s="36">
        <v>7</v>
      </c>
      <c r="F1101" s="36">
        <v>7</v>
      </c>
      <c r="G1101" s="36">
        <v>7</v>
      </c>
      <c r="H1101" s="36">
        <v>7</v>
      </c>
      <c r="I1101" s="36">
        <v>7</v>
      </c>
      <c r="J1101" s="36">
        <v>7</v>
      </c>
      <c r="K1101" s="36">
        <v>7</v>
      </c>
      <c r="L1101" s="36">
        <v>7</v>
      </c>
      <c r="M1101" s="36">
        <v>7</v>
      </c>
      <c r="N1101" s="36">
        <v>7</v>
      </c>
      <c r="O1101" s="36">
        <v>7</v>
      </c>
      <c r="P1101" s="36" t="s">
        <v>15612</v>
      </c>
    </row>
    <row r="1102" spans="1:16">
      <c r="A1102" s="139">
        <v>1101</v>
      </c>
      <c r="B1102" s="36" t="s">
        <v>15613</v>
      </c>
      <c r="C1102" s="36">
        <v>8</v>
      </c>
      <c r="D1102" s="36">
        <v>8</v>
      </c>
      <c r="E1102" s="36">
        <v>8</v>
      </c>
      <c r="F1102" s="36">
        <v>8</v>
      </c>
      <c r="G1102" s="36">
        <v>8</v>
      </c>
      <c r="H1102" s="36">
        <v>8</v>
      </c>
      <c r="I1102" s="36">
        <v>8</v>
      </c>
      <c r="J1102" s="36">
        <v>8</v>
      </c>
      <c r="K1102" s="36">
        <v>8</v>
      </c>
      <c r="L1102" s="36">
        <v>8</v>
      </c>
      <c r="M1102" s="36">
        <v>8</v>
      </c>
      <c r="N1102" s="36">
        <v>8</v>
      </c>
      <c r="O1102" s="36">
        <v>8</v>
      </c>
      <c r="P1102" s="36" t="s">
        <v>15613</v>
      </c>
    </row>
    <row r="1103" spans="1:16">
      <c r="A1103" s="139">
        <v>1102</v>
      </c>
      <c r="B1103" s="36" t="s">
        <v>15614</v>
      </c>
      <c r="C1103" s="36">
        <v>9</v>
      </c>
      <c r="D1103" s="36">
        <v>9</v>
      </c>
      <c r="E1103" s="36">
        <v>9</v>
      </c>
      <c r="F1103" s="36">
        <v>9</v>
      </c>
      <c r="G1103" s="36">
        <v>9</v>
      </c>
      <c r="H1103" s="36">
        <v>9</v>
      </c>
      <c r="I1103" s="36">
        <v>9</v>
      </c>
      <c r="J1103" s="36">
        <v>9</v>
      </c>
      <c r="K1103" s="36">
        <v>9</v>
      </c>
      <c r="L1103" s="36">
        <v>9</v>
      </c>
      <c r="M1103" s="36">
        <v>9</v>
      </c>
      <c r="N1103" s="36">
        <v>9</v>
      </c>
      <c r="O1103" s="36">
        <v>9</v>
      </c>
      <c r="P1103" s="36" t="s">
        <v>15614</v>
      </c>
    </row>
    <row r="1104" spans="1:16">
      <c r="A1104" s="139">
        <v>1103</v>
      </c>
      <c r="B1104" s="36" t="s">
        <v>15615</v>
      </c>
      <c r="C1104" s="36">
        <v>10</v>
      </c>
      <c r="D1104" s="36">
        <v>10</v>
      </c>
      <c r="E1104" s="36">
        <v>10</v>
      </c>
      <c r="F1104" s="36">
        <v>10</v>
      </c>
      <c r="G1104" s="36">
        <v>10</v>
      </c>
      <c r="H1104" s="36">
        <v>10</v>
      </c>
      <c r="I1104" s="36">
        <v>10</v>
      </c>
      <c r="J1104" s="36">
        <v>10</v>
      </c>
      <c r="K1104" s="36">
        <v>10</v>
      </c>
      <c r="L1104" s="36">
        <v>10</v>
      </c>
      <c r="M1104" s="36">
        <v>10</v>
      </c>
      <c r="N1104" s="36">
        <v>10</v>
      </c>
      <c r="O1104" s="36">
        <v>10</v>
      </c>
      <c r="P1104" s="36" t="s">
        <v>15615</v>
      </c>
    </row>
    <row r="1105" spans="1:16">
      <c r="A1105" s="139">
        <v>1104</v>
      </c>
      <c r="B1105" s="36" t="s">
        <v>15616</v>
      </c>
      <c r="C1105" s="36">
        <v>11</v>
      </c>
      <c r="D1105" s="36">
        <v>11</v>
      </c>
      <c r="E1105" s="36">
        <v>11</v>
      </c>
      <c r="F1105" s="36">
        <v>11</v>
      </c>
      <c r="G1105" s="36">
        <v>11</v>
      </c>
      <c r="H1105" s="36">
        <v>11</v>
      </c>
      <c r="I1105" s="36">
        <v>11</v>
      </c>
      <c r="J1105" s="36">
        <v>11</v>
      </c>
      <c r="K1105" s="36">
        <v>11</v>
      </c>
      <c r="L1105" s="36">
        <v>11</v>
      </c>
      <c r="M1105" s="36">
        <v>11</v>
      </c>
      <c r="N1105" s="36">
        <v>11</v>
      </c>
      <c r="O1105" s="36">
        <v>11</v>
      </c>
      <c r="P1105" s="36" t="s">
        <v>15616</v>
      </c>
    </row>
    <row r="1106" spans="1:16">
      <c r="A1106" s="139">
        <v>1105</v>
      </c>
      <c r="B1106" s="36" t="s">
        <v>15617</v>
      </c>
      <c r="C1106" s="36">
        <v>12</v>
      </c>
      <c r="D1106" s="36">
        <v>12</v>
      </c>
      <c r="E1106" s="36">
        <v>12</v>
      </c>
      <c r="F1106" s="36">
        <v>12</v>
      </c>
      <c r="G1106" s="36">
        <v>12</v>
      </c>
      <c r="H1106" s="36">
        <v>12</v>
      </c>
      <c r="I1106" s="36">
        <v>12</v>
      </c>
      <c r="J1106" s="36">
        <v>12</v>
      </c>
      <c r="K1106" s="36">
        <v>12</v>
      </c>
      <c r="L1106" s="36">
        <v>12</v>
      </c>
      <c r="M1106" s="36">
        <v>12</v>
      </c>
      <c r="N1106" s="36">
        <v>12</v>
      </c>
      <c r="O1106" s="36">
        <v>12</v>
      </c>
      <c r="P1106" s="36" t="s">
        <v>15617</v>
      </c>
    </row>
    <row r="1107" spans="1:16">
      <c r="A1107" s="139">
        <v>1106</v>
      </c>
      <c r="B1107" s="36" t="s">
        <v>15618</v>
      </c>
      <c r="C1107" s="36">
        <v>13</v>
      </c>
      <c r="D1107" s="36">
        <v>13</v>
      </c>
      <c r="E1107" s="36">
        <v>13</v>
      </c>
      <c r="F1107" s="36">
        <v>13</v>
      </c>
      <c r="G1107" s="36">
        <v>13</v>
      </c>
      <c r="H1107" s="36">
        <v>13</v>
      </c>
      <c r="I1107" s="36">
        <v>13</v>
      </c>
      <c r="J1107" s="36">
        <v>13</v>
      </c>
      <c r="K1107" s="36">
        <v>13</v>
      </c>
      <c r="L1107" s="36">
        <v>13</v>
      </c>
      <c r="M1107" s="36">
        <v>13</v>
      </c>
      <c r="N1107" s="36">
        <v>13</v>
      </c>
      <c r="O1107" s="36">
        <v>13</v>
      </c>
      <c r="P1107" s="36" t="s">
        <v>15618</v>
      </c>
    </row>
    <row r="1108" spans="1:16">
      <c r="A1108" s="139">
        <v>1107</v>
      </c>
      <c r="B1108" s="36" t="s">
        <v>15619</v>
      </c>
      <c r="C1108" s="36">
        <v>14</v>
      </c>
      <c r="D1108" s="36">
        <v>14</v>
      </c>
      <c r="E1108" s="36">
        <v>14</v>
      </c>
      <c r="F1108" s="36">
        <v>14</v>
      </c>
      <c r="G1108" s="36">
        <v>14</v>
      </c>
      <c r="H1108" s="36">
        <v>14</v>
      </c>
      <c r="I1108" s="36">
        <v>14</v>
      </c>
      <c r="J1108" s="36">
        <v>14</v>
      </c>
      <c r="K1108" s="36">
        <v>14</v>
      </c>
      <c r="L1108" s="36">
        <v>14</v>
      </c>
      <c r="M1108" s="36">
        <v>14</v>
      </c>
      <c r="N1108" s="36">
        <v>14</v>
      </c>
      <c r="O1108" s="36">
        <v>14</v>
      </c>
      <c r="P1108" s="36" t="s">
        <v>15619</v>
      </c>
    </row>
    <row r="1109" spans="1:16">
      <c r="A1109" s="139">
        <v>1108</v>
      </c>
      <c r="B1109" s="36" t="s">
        <v>15620</v>
      </c>
      <c r="C1109" s="36">
        <v>15</v>
      </c>
      <c r="D1109" s="36">
        <v>15</v>
      </c>
      <c r="E1109" s="36">
        <v>15</v>
      </c>
      <c r="F1109" s="36">
        <v>15</v>
      </c>
      <c r="G1109" s="36">
        <v>15</v>
      </c>
      <c r="H1109" s="36">
        <v>15</v>
      </c>
      <c r="I1109" s="36">
        <v>15</v>
      </c>
      <c r="J1109" s="36">
        <v>15</v>
      </c>
      <c r="K1109" s="36">
        <v>15</v>
      </c>
      <c r="L1109" s="36">
        <v>15</v>
      </c>
      <c r="M1109" s="36">
        <v>15</v>
      </c>
      <c r="N1109" s="36">
        <v>15</v>
      </c>
      <c r="O1109" s="36">
        <v>15</v>
      </c>
      <c r="P1109" s="36" t="s">
        <v>15620</v>
      </c>
    </row>
    <row r="1110" spans="1:16">
      <c r="A1110" s="139">
        <v>1109</v>
      </c>
      <c r="B1110" s="36" t="s">
        <v>15621</v>
      </c>
      <c r="C1110" s="36">
        <v>16</v>
      </c>
      <c r="D1110" s="36">
        <v>16</v>
      </c>
      <c r="E1110" s="36">
        <v>16</v>
      </c>
      <c r="F1110" s="36">
        <v>16</v>
      </c>
      <c r="G1110" s="36">
        <v>16</v>
      </c>
      <c r="H1110" s="36">
        <v>16</v>
      </c>
      <c r="I1110" s="36">
        <v>16</v>
      </c>
      <c r="J1110" s="36">
        <v>16</v>
      </c>
      <c r="K1110" s="36">
        <v>16</v>
      </c>
      <c r="L1110" s="36">
        <v>16</v>
      </c>
      <c r="M1110" s="36">
        <v>16</v>
      </c>
      <c r="N1110" s="36">
        <v>16</v>
      </c>
      <c r="O1110" s="36">
        <v>16</v>
      </c>
      <c r="P1110" s="36" t="s">
        <v>15621</v>
      </c>
    </row>
    <row r="1111" spans="1:16">
      <c r="A1111" s="139">
        <v>1110</v>
      </c>
      <c r="B1111" s="36" t="s">
        <v>15622</v>
      </c>
      <c r="C1111" s="36">
        <v>17</v>
      </c>
      <c r="D1111" s="36">
        <v>17</v>
      </c>
      <c r="E1111" s="36">
        <v>17</v>
      </c>
      <c r="F1111" s="36">
        <v>17</v>
      </c>
      <c r="G1111" s="36">
        <v>17</v>
      </c>
      <c r="H1111" s="36">
        <v>17</v>
      </c>
      <c r="I1111" s="36">
        <v>17</v>
      </c>
      <c r="J1111" s="36">
        <v>17</v>
      </c>
      <c r="K1111" s="36">
        <v>17</v>
      </c>
      <c r="L1111" s="36">
        <v>17</v>
      </c>
      <c r="M1111" s="36">
        <v>17</v>
      </c>
      <c r="N1111" s="36">
        <v>17</v>
      </c>
      <c r="O1111" s="36">
        <v>17</v>
      </c>
      <c r="P1111" s="36" t="s">
        <v>15622</v>
      </c>
    </row>
    <row r="1112" spans="1:16">
      <c r="A1112" s="139">
        <v>1111</v>
      </c>
      <c r="B1112" s="36" t="s">
        <v>15623</v>
      </c>
      <c r="C1112" s="36">
        <v>18</v>
      </c>
      <c r="D1112" s="36">
        <v>18</v>
      </c>
      <c r="E1112" s="36">
        <v>18</v>
      </c>
      <c r="F1112" s="36">
        <v>18</v>
      </c>
      <c r="G1112" s="36">
        <v>18</v>
      </c>
      <c r="H1112" s="36">
        <v>18</v>
      </c>
      <c r="I1112" s="36">
        <v>18</v>
      </c>
      <c r="J1112" s="36">
        <v>18</v>
      </c>
      <c r="K1112" s="36">
        <v>18</v>
      </c>
      <c r="L1112" s="36">
        <v>18</v>
      </c>
      <c r="M1112" s="36">
        <v>18</v>
      </c>
      <c r="N1112" s="36">
        <v>18</v>
      </c>
      <c r="O1112" s="36">
        <v>18</v>
      </c>
      <c r="P1112" s="36" t="s">
        <v>15623</v>
      </c>
    </row>
    <row r="1113" spans="1:16">
      <c r="A1113" s="139">
        <v>1112</v>
      </c>
      <c r="B1113" s="36" t="s">
        <v>15624</v>
      </c>
      <c r="C1113" s="36">
        <v>19</v>
      </c>
      <c r="D1113" s="36">
        <v>19</v>
      </c>
      <c r="E1113" s="36">
        <v>19</v>
      </c>
      <c r="F1113" s="36">
        <v>19</v>
      </c>
      <c r="G1113" s="36">
        <v>19</v>
      </c>
      <c r="H1113" s="36">
        <v>19</v>
      </c>
      <c r="I1113" s="36">
        <v>19</v>
      </c>
      <c r="J1113" s="36">
        <v>19</v>
      </c>
      <c r="K1113" s="36">
        <v>19</v>
      </c>
      <c r="L1113" s="36">
        <v>19</v>
      </c>
      <c r="M1113" s="36">
        <v>19</v>
      </c>
      <c r="N1113" s="36">
        <v>19</v>
      </c>
      <c r="O1113" s="36">
        <v>19</v>
      </c>
      <c r="P1113" s="36" t="s">
        <v>15624</v>
      </c>
    </row>
    <row r="1114" spans="1:16">
      <c r="A1114" s="139">
        <v>1113</v>
      </c>
      <c r="B1114" s="36" t="s">
        <v>15625</v>
      </c>
      <c r="C1114" s="36">
        <v>20</v>
      </c>
      <c r="D1114" s="36">
        <v>20</v>
      </c>
      <c r="E1114" s="36">
        <v>20</v>
      </c>
      <c r="F1114" s="36">
        <v>20</v>
      </c>
      <c r="G1114" s="36">
        <v>20</v>
      </c>
      <c r="H1114" s="36">
        <v>20</v>
      </c>
      <c r="I1114" s="36">
        <v>20</v>
      </c>
      <c r="J1114" s="36">
        <v>20</v>
      </c>
      <c r="K1114" s="36">
        <v>20</v>
      </c>
      <c r="L1114" s="36">
        <v>20</v>
      </c>
      <c r="M1114" s="36">
        <v>20</v>
      </c>
      <c r="N1114" s="36">
        <v>20</v>
      </c>
      <c r="O1114" s="36">
        <v>20</v>
      </c>
      <c r="P1114" s="36" t="s">
        <v>15625</v>
      </c>
    </row>
    <row r="1115" spans="1:16">
      <c r="A1115" s="139">
        <v>1114</v>
      </c>
      <c r="B1115" s="36" t="s">
        <v>15626</v>
      </c>
      <c r="C1115" s="36">
        <v>21</v>
      </c>
      <c r="D1115" s="36">
        <v>21</v>
      </c>
      <c r="E1115" s="36">
        <v>21</v>
      </c>
      <c r="F1115" s="36">
        <v>21</v>
      </c>
      <c r="G1115" s="36">
        <v>21</v>
      </c>
      <c r="H1115" s="36">
        <v>21</v>
      </c>
      <c r="I1115" s="36">
        <v>21</v>
      </c>
      <c r="J1115" s="36">
        <v>21</v>
      </c>
      <c r="K1115" s="36">
        <v>21</v>
      </c>
      <c r="L1115" s="36">
        <v>21</v>
      </c>
      <c r="M1115" s="36">
        <v>21</v>
      </c>
      <c r="N1115" s="36">
        <v>21</v>
      </c>
      <c r="O1115" s="36">
        <v>21</v>
      </c>
      <c r="P1115" s="36" t="s">
        <v>15626</v>
      </c>
    </row>
    <row r="1116" spans="1:16">
      <c r="A1116" s="139">
        <v>1115</v>
      </c>
      <c r="B1116" s="36" t="s">
        <v>15627</v>
      </c>
      <c r="C1116" s="36">
        <v>22</v>
      </c>
      <c r="D1116" s="36">
        <v>22</v>
      </c>
      <c r="E1116" s="36">
        <v>22</v>
      </c>
      <c r="F1116" s="36">
        <v>22</v>
      </c>
      <c r="G1116" s="36">
        <v>22</v>
      </c>
      <c r="H1116" s="36">
        <v>22</v>
      </c>
      <c r="I1116" s="36">
        <v>22</v>
      </c>
      <c r="J1116" s="36">
        <v>22</v>
      </c>
      <c r="K1116" s="36">
        <v>22</v>
      </c>
      <c r="L1116" s="36">
        <v>22</v>
      </c>
      <c r="M1116" s="36">
        <v>22</v>
      </c>
      <c r="N1116" s="36">
        <v>22</v>
      </c>
      <c r="O1116" s="36">
        <v>22</v>
      </c>
      <c r="P1116" s="36" t="s">
        <v>15627</v>
      </c>
    </row>
    <row r="1117" spans="1:16">
      <c r="A1117" s="139">
        <v>1116</v>
      </c>
      <c r="B1117" s="36" t="s">
        <v>15628</v>
      </c>
      <c r="C1117" s="36">
        <v>23</v>
      </c>
      <c r="D1117" s="36">
        <v>23</v>
      </c>
      <c r="E1117" s="36">
        <v>23</v>
      </c>
      <c r="F1117" s="36">
        <v>23</v>
      </c>
      <c r="G1117" s="36">
        <v>23</v>
      </c>
      <c r="H1117" s="36">
        <v>23</v>
      </c>
      <c r="I1117" s="36">
        <v>23</v>
      </c>
      <c r="J1117" s="36">
        <v>23</v>
      </c>
      <c r="K1117" s="36">
        <v>23</v>
      </c>
      <c r="L1117" s="36">
        <v>23</v>
      </c>
      <c r="M1117" s="36">
        <v>23</v>
      </c>
      <c r="N1117" s="36">
        <v>23</v>
      </c>
      <c r="O1117" s="36">
        <v>23</v>
      </c>
      <c r="P1117" s="36" t="s">
        <v>15628</v>
      </c>
    </row>
    <row r="1118" spans="1:16">
      <c r="A1118" s="139">
        <v>1117</v>
      </c>
      <c r="B1118" s="36" t="s">
        <v>15629</v>
      </c>
      <c r="C1118" s="36">
        <v>24</v>
      </c>
      <c r="D1118" s="36">
        <v>24</v>
      </c>
      <c r="E1118" s="36">
        <v>24</v>
      </c>
      <c r="F1118" s="36">
        <v>24</v>
      </c>
      <c r="G1118" s="36">
        <v>24</v>
      </c>
      <c r="H1118" s="36">
        <v>24</v>
      </c>
      <c r="I1118" s="36">
        <v>24</v>
      </c>
      <c r="J1118" s="36">
        <v>24</v>
      </c>
      <c r="K1118" s="36">
        <v>24</v>
      </c>
      <c r="L1118" s="36">
        <v>24</v>
      </c>
      <c r="M1118" s="36">
        <v>24</v>
      </c>
      <c r="N1118" s="36">
        <v>24</v>
      </c>
      <c r="O1118" s="36">
        <v>24</v>
      </c>
      <c r="P1118" s="36" t="s">
        <v>15629</v>
      </c>
    </row>
    <row r="1119" spans="1:16">
      <c r="A1119" s="139">
        <v>1118</v>
      </c>
      <c r="B1119" s="36" t="s">
        <v>15630</v>
      </c>
      <c r="C1119" s="36">
        <v>25</v>
      </c>
      <c r="D1119" s="36">
        <v>25</v>
      </c>
      <c r="E1119" s="36">
        <v>25</v>
      </c>
      <c r="F1119" s="36">
        <v>25</v>
      </c>
      <c r="G1119" s="36">
        <v>25</v>
      </c>
      <c r="H1119" s="36">
        <v>25</v>
      </c>
      <c r="I1119" s="36">
        <v>25</v>
      </c>
      <c r="J1119" s="36">
        <v>25</v>
      </c>
      <c r="K1119" s="36">
        <v>25</v>
      </c>
      <c r="L1119" s="36">
        <v>25</v>
      </c>
      <c r="M1119" s="36">
        <v>25</v>
      </c>
      <c r="N1119" s="36">
        <v>25</v>
      </c>
      <c r="O1119" s="36">
        <v>25</v>
      </c>
      <c r="P1119" s="36" t="s">
        <v>15630</v>
      </c>
    </row>
    <row r="1120" spans="1:16">
      <c r="A1120" s="139">
        <v>1119</v>
      </c>
      <c r="B1120" s="36" t="s">
        <v>15631</v>
      </c>
      <c r="C1120" s="36">
        <v>26</v>
      </c>
      <c r="D1120" s="36">
        <v>26</v>
      </c>
      <c r="E1120" s="36">
        <v>26</v>
      </c>
      <c r="F1120" s="36">
        <v>26</v>
      </c>
      <c r="G1120" s="36">
        <v>26</v>
      </c>
      <c r="H1120" s="36">
        <v>26</v>
      </c>
      <c r="I1120" s="36">
        <v>26</v>
      </c>
      <c r="J1120" s="36">
        <v>26</v>
      </c>
      <c r="K1120" s="36">
        <v>26</v>
      </c>
      <c r="L1120" s="36">
        <v>26</v>
      </c>
      <c r="M1120" s="36">
        <v>26</v>
      </c>
      <c r="N1120" s="36">
        <v>26</v>
      </c>
      <c r="O1120" s="36">
        <v>26</v>
      </c>
      <c r="P1120" s="36" t="s">
        <v>15631</v>
      </c>
    </row>
    <row r="1121" spans="1:16">
      <c r="A1121" s="139">
        <v>1120</v>
      </c>
      <c r="B1121" s="36" t="s">
        <v>15632</v>
      </c>
      <c r="C1121" s="36">
        <v>27</v>
      </c>
      <c r="D1121" s="36">
        <v>27</v>
      </c>
      <c r="E1121" s="36">
        <v>27</v>
      </c>
      <c r="F1121" s="36">
        <v>27</v>
      </c>
      <c r="G1121" s="36">
        <v>27</v>
      </c>
      <c r="H1121" s="36">
        <v>27</v>
      </c>
      <c r="I1121" s="36">
        <v>27</v>
      </c>
      <c r="J1121" s="36">
        <v>27</v>
      </c>
      <c r="K1121" s="36">
        <v>27</v>
      </c>
      <c r="L1121" s="36">
        <v>27</v>
      </c>
      <c r="M1121" s="36">
        <v>27</v>
      </c>
      <c r="N1121" s="36">
        <v>27</v>
      </c>
      <c r="O1121" s="36">
        <v>27</v>
      </c>
      <c r="P1121" s="36" t="s">
        <v>15632</v>
      </c>
    </row>
    <row r="1122" spans="1:16">
      <c r="A1122" s="139">
        <v>1121</v>
      </c>
      <c r="B1122" s="36" t="s">
        <v>15633</v>
      </c>
      <c r="C1122" s="36">
        <v>28</v>
      </c>
      <c r="D1122" s="36">
        <v>28</v>
      </c>
      <c r="E1122" s="36">
        <v>28</v>
      </c>
      <c r="F1122" s="36">
        <v>28</v>
      </c>
      <c r="G1122" s="36">
        <v>28</v>
      </c>
      <c r="H1122" s="36">
        <v>28</v>
      </c>
      <c r="I1122" s="36">
        <v>28</v>
      </c>
      <c r="J1122" s="36">
        <v>28</v>
      </c>
      <c r="K1122" s="36">
        <v>28</v>
      </c>
      <c r="L1122" s="36">
        <v>28</v>
      </c>
      <c r="M1122" s="36">
        <v>28</v>
      </c>
      <c r="N1122" s="36">
        <v>28</v>
      </c>
      <c r="O1122" s="36">
        <v>28</v>
      </c>
      <c r="P1122" s="36" t="s">
        <v>15633</v>
      </c>
    </row>
    <row r="1123" spans="1:16">
      <c r="A1123" s="139">
        <v>1122</v>
      </c>
      <c r="B1123" s="36" t="s">
        <v>15634</v>
      </c>
      <c r="C1123" s="36">
        <v>29</v>
      </c>
      <c r="D1123" s="36">
        <v>29</v>
      </c>
      <c r="E1123" s="36">
        <v>29</v>
      </c>
      <c r="F1123" s="36">
        <v>29</v>
      </c>
      <c r="G1123" s="36">
        <v>29</v>
      </c>
      <c r="H1123" s="36">
        <v>29</v>
      </c>
      <c r="I1123" s="36">
        <v>29</v>
      </c>
      <c r="J1123" s="36">
        <v>29</v>
      </c>
      <c r="K1123" s="36">
        <v>29</v>
      </c>
      <c r="L1123" s="36">
        <v>29</v>
      </c>
      <c r="M1123" s="36">
        <v>29</v>
      </c>
      <c r="N1123" s="36">
        <v>29</v>
      </c>
      <c r="O1123" s="36">
        <v>29</v>
      </c>
      <c r="P1123" s="36" t="s">
        <v>15634</v>
      </c>
    </row>
    <row r="1124" spans="1:16">
      <c r="A1124" s="139">
        <v>1123</v>
      </c>
      <c r="B1124" s="36" t="s">
        <v>15635</v>
      </c>
      <c r="C1124" s="36">
        <v>30</v>
      </c>
      <c r="D1124" s="36">
        <v>30</v>
      </c>
      <c r="E1124" s="36">
        <v>30</v>
      </c>
      <c r="F1124" s="36">
        <v>30</v>
      </c>
      <c r="G1124" s="36">
        <v>30</v>
      </c>
      <c r="H1124" s="36">
        <v>30</v>
      </c>
      <c r="I1124" s="36">
        <v>30</v>
      </c>
      <c r="J1124" s="36">
        <v>30</v>
      </c>
      <c r="K1124" s="36">
        <v>30</v>
      </c>
      <c r="L1124" s="36">
        <v>30</v>
      </c>
      <c r="M1124" s="36">
        <v>30</v>
      </c>
      <c r="N1124" s="36">
        <v>30</v>
      </c>
      <c r="O1124" s="36">
        <v>30</v>
      </c>
      <c r="P1124" s="36" t="s">
        <v>15635</v>
      </c>
    </row>
    <row r="1125" spans="1:16">
      <c r="A1125" s="139">
        <v>1124</v>
      </c>
      <c r="B1125" s="36" t="s">
        <v>15636</v>
      </c>
      <c r="C1125" s="36">
        <v>31</v>
      </c>
      <c r="D1125" s="36">
        <v>31</v>
      </c>
      <c r="E1125" s="36">
        <v>31</v>
      </c>
      <c r="F1125" s="36">
        <v>31</v>
      </c>
      <c r="G1125" s="36">
        <v>31</v>
      </c>
      <c r="H1125" s="36">
        <v>31</v>
      </c>
      <c r="I1125" s="36">
        <v>31</v>
      </c>
      <c r="J1125" s="36">
        <v>31</v>
      </c>
      <c r="K1125" s="36">
        <v>31</v>
      </c>
      <c r="L1125" s="36">
        <v>31</v>
      </c>
      <c r="M1125" s="36">
        <v>31</v>
      </c>
      <c r="N1125" s="36">
        <v>31</v>
      </c>
      <c r="O1125" s="36">
        <v>31</v>
      </c>
      <c r="P1125" s="36" t="s">
        <v>15636</v>
      </c>
    </row>
    <row r="1126" spans="1:16">
      <c r="A1126" s="139">
        <v>1125</v>
      </c>
      <c r="B1126" s="36" t="s">
        <v>15637</v>
      </c>
      <c r="C1126" s="36">
        <v>32</v>
      </c>
      <c r="D1126" s="36">
        <v>32</v>
      </c>
      <c r="E1126" s="36">
        <v>32</v>
      </c>
      <c r="F1126" s="36">
        <v>32</v>
      </c>
      <c r="G1126" s="36">
        <v>32</v>
      </c>
      <c r="H1126" s="36">
        <v>32</v>
      </c>
      <c r="I1126" s="36">
        <v>32</v>
      </c>
      <c r="J1126" s="36">
        <v>32</v>
      </c>
      <c r="K1126" s="36">
        <v>32</v>
      </c>
      <c r="L1126" s="36">
        <v>32</v>
      </c>
      <c r="M1126" s="36">
        <v>32</v>
      </c>
      <c r="N1126" s="36">
        <v>32</v>
      </c>
      <c r="O1126" s="36">
        <v>32</v>
      </c>
      <c r="P1126" s="36" t="s">
        <v>15637</v>
      </c>
    </row>
    <row r="1127" spans="1:16">
      <c r="A1127" s="139">
        <v>1126</v>
      </c>
      <c r="B1127" s="36" t="s">
        <v>15638</v>
      </c>
      <c r="C1127" s="36">
        <v>33</v>
      </c>
      <c r="D1127" s="36">
        <v>33</v>
      </c>
      <c r="E1127" s="36">
        <v>33</v>
      </c>
      <c r="F1127" s="36">
        <v>33</v>
      </c>
      <c r="G1127" s="36">
        <v>33</v>
      </c>
      <c r="H1127" s="36">
        <v>33</v>
      </c>
      <c r="I1127" s="36">
        <v>33</v>
      </c>
      <c r="J1127" s="36">
        <v>33</v>
      </c>
      <c r="K1127" s="36">
        <v>33</v>
      </c>
      <c r="L1127" s="36">
        <v>33</v>
      </c>
      <c r="M1127" s="36">
        <v>33</v>
      </c>
      <c r="N1127" s="36">
        <v>33</v>
      </c>
      <c r="O1127" s="36">
        <v>33</v>
      </c>
      <c r="P1127" s="36" t="s">
        <v>15638</v>
      </c>
    </row>
    <row r="1128" spans="1:16">
      <c r="A1128" s="139">
        <v>1127</v>
      </c>
      <c r="B1128" s="36" t="s">
        <v>15639</v>
      </c>
      <c r="C1128" s="36">
        <v>34</v>
      </c>
      <c r="D1128" s="36">
        <v>34</v>
      </c>
      <c r="E1128" s="36">
        <v>34</v>
      </c>
      <c r="F1128" s="36">
        <v>34</v>
      </c>
      <c r="G1128" s="36">
        <v>34</v>
      </c>
      <c r="H1128" s="36">
        <v>34</v>
      </c>
      <c r="I1128" s="36">
        <v>34</v>
      </c>
      <c r="J1128" s="36">
        <v>34</v>
      </c>
      <c r="K1128" s="36">
        <v>34</v>
      </c>
      <c r="L1128" s="36">
        <v>34</v>
      </c>
      <c r="M1128" s="36">
        <v>34</v>
      </c>
      <c r="N1128" s="36">
        <v>34</v>
      </c>
      <c r="O1128" s="36">
        <v>34</v>
      </c>
      <c r="P1128" s="36" t="s">
        <v>15639</v>
      </c>
    </row>
    <row r="1129" spans="1:16">
      <c r="A1129" s="139">
        <v>1128</v>
      </c>
      <c r="B1129" s="36" t="s">
        <v>15640</v>
      </c>
      <c r="C1129" s="36">
        <v>35</v>
      </c>
      <c r="D1129" s="36">
        <v>35</v>
      </c>
      <c r="E1129" s="36">
        <v>35</v>
      </c>
      <c r="F1129" s="36">
        <v>35</v>
      </c>
      <c r="G1129" s="36">
        <v>35</v>
      </c>
      <c r="H1129" s="36">
        <v>35</v>
      </c>
      <c r="I1129" s="36">
        <v>35</v>
      </c>
      <c r="J1129" s="36">
        <v>35</v>
      </c>
      <c r="K1129" s="36">
        <v>35</v>
      </c>
      <c r="L1129" s="36">
        <v>35</v>
      </c>
      <c r="M1129" s="36">
        <v>35</v>
      </c>
      <c r="N1129" s="36">
        <v>35</v>
      </c>
      <c r="O1129" s="36">
        <v>35</v>
      </c>
      <c r="P1129" s="36" t="s">
        <v>15640</v>
      </c>
    </row>
    <row r="1130" spans="1:16">
      <c r="A1130" s="139">
        <v>1129</v>
      </c>
      <c r="B1130" s="36" t="s">
        <v>15641</v>
      </c>
      <c r="C1130" s="36">
        <v>36</v>
      </c>
      <c r="D1130" s="36">
        <v>36</v>
      </c>
      <c r="E1130" s="36">
        <v>36</v>
      </c>
      <c r="F1130" s="36">
        <v>36</v>
      </c>
      <c r="G1130" s="36">
        <v>36</v>
      </c>
      <c r="H1130" s="36">
        <v>36</v>
      </c>
      <c r="I1130" s="36">
        <v>36</v>
      </c>
      <c r="J1130" s="36">
        <v>36</v>
      </c>
      <c r="K1130" s="36">
        <v>36</v>
      </c>
      <c r="L1130" s="36">
        <v>36</v>
      </c>
      <c r="M1130" s="36">
        <v>36</v>
      </c>
      <c r="N1130" s="36">
        <v>36</v>
      </c>
      <c r="O1130" s="36">
        <v>36</v>
      </c>
      <c r="P1130" s="36" t="s">
        <v>15641</v>
      </c>
    </row>
    <row r="1131" spans="1:16">
      <c r="A1131" s="139">
        <v>1130</v>
      </c>
      <c r="B1131" s="36" t="s">
        <v>15642</v>
      </c>
      <c r="C1131" s="36">
        <v>37</v>
      </c>
      <c r="D1131" s="36">
        <v>37</v>
      </c>
      <c r="E1131" s="36">
        <v>37</v>
      </c>
      <c r="F1131" s="36">
        <v>37</v>
      </c>
      <c r="G1131" s="36">
        <v>37</v>
      </c>
      <c r="H1131" s="36">
        <v>37</v>
      </c>
      <c r="I1131" s="36">
        <v>37</v>
      </c>
      <c r="J1131" s="36">
        <v>37</v>
      </c>
      <c r="K1131" s="36">
        <v>37</v>
      </c>
      <c r="L1131" s="36">
        <v>37</v>
      </c>
      <c r="M1131" s="36">
        <v>37</v>
      </c>
      <c r="N1131" s="36">
        <v>37</v>
      </c>
      <c r="O1131" s="36">
        <v>37</v>
      </c>
      <c r="P1131" s="36" t="s">
        <v>15642</v>
      </c>
    </row>
    <row r="1132" spans="1:16">
      <c r="A1132" s="139">
        <v>1131</v>
      </c>
      <c r="B1132" s="36" t="s">
        <v>15643</v>
      </c>
      <c r="C1132" s="36">
        <v>38</v>
      </c>
      <c r="D1132" s="36">
        <v>38</v>
      </c>
      <c r="E1132" s="36">
        <v>38</v>
      </c>
      <c r="F1132" s="36">
        <v>38</v>
      </c>
      <c r="G1132" s="36">
        <v>38</v>
      </c>
      <c r="H1132" s="36">
        <v>38</v>
      </c>
      <c r="I1132" s="36">
        <v>38</v>
      </c>
      <c r="J1132" s="36">
        <v>38</v>
      </c>
      <c r="K1132" s="36">
        <v>38</v>
      </c>
      <c r="L1132" s="36">
        <v>38</v>
      </c>
      <c r="M1132" s="36">
        <v>38</v>
      </c>
      <c r="N1132" s="36">
        <v>38</v>
      </c>
      <c r="O1132" s="36">
        <v>38</v>
      </c>
      <c r="P1132" s="36" t="s">
        <v>15643</v>
      </c>
    </row>
    <row r="1133" spans="1:16">
      <c r="A1133" s="139">
        <v>1132</v>
      </c>
      <c r="B1133" s="36" t="s">
        <v>15644</v>
      </c>
      <c r="C1133" s="36">
        <v>39</v>
      </c>
      <c r="D1133" s="36">
        <v>39</v>
      </c>
      <c r="E1133" s="36">
        <v>39</v>
      </c>
      <c r="F1133" s="36">
        <v>39</v>
      </c>
      <c r="G1133" s="36">
        <v>39</v>
      </c>
      <c r="H1133" s="36">
        <v>39</v>
      </c>
      <c r="I1133" s="36">
        <v>39</v>
      </c>
      <c r="J1133" s="36">
        <v>39</v>
      </c>
      <c r="K1133" s="36">
        <v>39</v>
      </c>
      <c r="L1133" s="36">
        <v>39</v>
      </c>
      <c r="M1133" s="36">
        <v>39</v>
      </c>
      <c r="N1133" s="36">
        <v>39</v>
      </c>
      <c r="O1133" s="36">
        <v>39</v>
      </c>
      <c r="P1133" s="36" t="s">
        <v>15644</v>
      </c>
    </row>
    <row r="1134" spans="1:16">
      <c r="A1134" s="139">
        <v>1133</v>
      </c>
      <c r="B1134" s="36" t="s">
        <v>15645</v>
      </c>
      <c r="C1134" s="36">
        <v>40</v>
      </c>
      <c r="D1134" s="36">
        <v>40</v>
      </c>
      <c r="E1134" s="36">
        <v>40</v>
      </c>
      <c r="F1134" s="36">
        <v>40</v>
      </c>
      <c r="G1134" s="36">
        <v>40</v>
      </c>
      <c r="H1134" s="36">
        <v>40</v>
      </c>
      <c r="I1134" s="36">
        <v>40</v>
      </c>
      <c r="J1134" s="36">
        <v>40</v>
      </c>
      <c r="K1134" s="36">
        <v>40</v>
      </c>
      <c r="L1134" s="36">
        <v>40</v>
      </c>
      <c r="M1134" s="36">
        <v>40</v>
      </c>
      <c r="N1134" s="36">
        <v>40</v>
      </c>
      <c r="O1134" s="36">
        <v>40</v>
      </c>
      <c r="P1134" s="36" t="s">
        <v>15645</v>
      </c>
    </row>
    <row r="1135" spans="1:16">
      <c r="A1135" s="139">
        <v>1134</v>
      </c>
      <c r="B1135" s="36" t="s">
        <v>15646</v>
      </c>
      <c r="C1135" s="36" t="s">
        <v>15646</v>
      </c>
      <c r="D1135" s="36" t="s">
        <v>15646</v>
      </c>
      <c r="E1135" s="36" t="s">
        <v>15646</v>
      </c>
      <c r="F1135" s="36" t="s">
        <v>15646</v>
      </c>
      <c r="G1135" s="36" t="s">
        <v>15646</v>
      </c>
      <c r="H1135" s="36" t="s">
        <v>15646</v>
      </c>
      <c r="I1135" s="36" t="s">
        <v>15646</v>
      </c>
      <c r="J1135" s="36" t="s">
        <v>15646</v>
      </c>
      <c r="K1135" s="36" t="s">
        <v>15646</v>
      </c>
      <c r="L1135" s="36" t="s">
        <v>15646</v>
      </c>
      <c r="M1135" s="36" t="s">
        <v>15646</v>
      </c>
      <c r="N1135" s="36" t="s">
        <v>15646</v>
      </c>
      <c r="O1135" s="36" t="s">
        <v>15646</v>
      </c>
      <c r="P1135" s="36" t="s">
        <v>15646</v>
      </c>
    </row>
    <row r="1136" spans="1:16">
      <c r="A1136" s="139">
        <v>1135</v>
      </c>
      <c r="B1136" s="36" t="s">
        <v>15647</v>
      </c>
      <c r="C1136" s="36" t="s">
        <v>15647</v>
      </c>
      <c r="D1136" s="36" t="s">
        <v>15647</v>
      </c>
      <c r="E1136" s="36" t="s">
        <v>15647</v>
      </c>
      <c r="F1136" s="36" t="s">
        <v>15647</v>
      </c>
      <c r="G1136" s="36" t="s">
        <v>15647</v>
      </c>
      <c r="H1136" s="36" t="s">
        <v>15647</v>
      </c>
      <c r="I1136" s="36" t="s">
        <v>15647</v>
      </c>
      <c r="J1136" s="36" t="s">
        <v>15647</v>
      </c>
      <c r="K1136" s="36" t="s">
        <v>15647</v>
      </c>
      <c r="L1136" s="36" t="s">
        <v>15647</v>
      </c>
      <c r="M1136" s="36" t="s">
        <v>15647</v>
      </c>
      <c r="N1136" s="36" t="s">
        <v>15647</v>
      </c>
      <c r="O1136" s="36" t="s">
        <v>15647</v>
      </c>
      <c r="P1136" s="36" t="s">
        <v>15647</v>
      </c>
    </row>
    <row r="1137" spans="1:16">
      <c r="A1137" s="139">
        <v>1136</v>
      </c>
      <c r="B1137" s="36" t="s">
        <v>15648</v>
      </c>
      <c r="C1137" s="36" t="s">
        <v>15648</v>
      </c>
      <c r="D1137" s="36" t="s">
        <v>15648</v>
      </c>
      <c r="E1137" s="36" t="s">
        <v>15648</v>
      </c>
      <c r="F1137" s="36" t="s">
        <v>15648</v>
      </c>
      <c r="G1137" s="36" t="s">
        <v>15648</v>
      </c>
      <c r="H1137" s="36" t="s">
        <v>15648</v>
      </c>
      <c r="I1137" s="36" t="s">
        <v>15648</v>
      </c>
      <c r="J1137" s="36" t="s">
        <v>15648</v>
      </c>
      <c r="K1137" s="36" t="s">
        <v>15648</v>
      </c>
      <c r="L1137" s="36" t="s">
        <v>15648</v>
      </c>
      <c r="M1137" s="36" t="s">
        <v>15648</v>
      </c>
      <c r="N1137" s="36" t="s">
        <v>15648</v>
      </c>
      <c r="O1137" s="36" t="s">
        <v>15648</v>
      </c>
      <c r="P1137" s="36" t="s">
        <v>15648</v>
      </c>
    </row>
    <row r="1138" spans="1:16">
      <c r="A1138" s="139">
        <v>1137</v>
      </c>
      <c r="B1138" s="36" t="s">
        <v>15649</v>
      </c>
      <c r="C1138" s="36" t="s">
        <v>15649</v>
      </c>
      <c r="D1138" s="36" t="s">
        <v>15649</v>
      </c>
      <c r="E1138" s="36" t="s">
        <v>15649</v>
      </c>
      <c r="F1138" s="36" t="s">
        <v>15649</v>
      </c>
      <c r="G1138" s="36" t="s">
        <v>15649</v>
      </c>
      <c r="H1138" s="36" t="s">
        <v>15649</v>
      </c>
      <c r="I1138" s="36" t="s">
        <v>15649</v>
      </c>
      <c r="J1138" s="36" t="s">
        <v>15649</v>
      </c>
      <c r="K1138" s="36" t="s">
        <v>15649</v>
      </c>
      <c r="L1138" s="36" t="s">
        <v>15649</v>
      </c>
      <c r="M1138" s="36" t="s">
        <v>15649</v>
      </c>
      <c r="N1138" s="36" t="s">
        <v>15649</v>
      </c>
      <c r="O1138" s="36" t="s">
        <v>15649</v>
      </c>
      <c r="P1138" s="36" t="s">
        <v>15649</v>
      </c>
    </row>
    <row r="1139" spans="1:16">
      <c r="A1139" s="139">
        <v>1138</v>
      </c>
      <c r="B1139" s="36" t="s">
        <v>15650</v>
      </c>
      <c r="C1139" s="36" t="s">
        <v>15650</v>
      </c>
      <c r="D1139" s="36" t="s">
        <v>15650</v>
      </c>
      <c r="E1139" s="36" t="s">
        <v>15650</v>
      </c>
      <c r="F1139" s="36" t="s">
        <v>15650</v>
      </c>
      <c r="G1139" s="36" t="s">
        <v>15650</v>
      </c>
      <c r="H1139" s="36" t="s">
        <v>15650</v>
      </c>
      <c r="I1139" s="36" t="s">
        <v>15650</v>
      </c>
      <c r="J1139" s="36" t="s">
        <v>15650</v>
      </c>
      <c r="K1139" s="36" t="s">
        <v>15650</v>
      </c>
      <c r="L1139" s="36" t="s">
        <v>15650</v>
      </c>
      <c r="M1139" s="36" t="s">
        <v>15650</v>
      </c>
      <c r="N1139" s="36" t="s">
        <v>15650</v>
      </c>
      <c r="O1139" s="36" t="s">
        <v>15650</v>
      </c>
      <c r="P1139" s="36" t="s">
        <v>15650</v>
      </c>
    </row>
    <row r="1140" spans="1:16">
      <c r="A1140" s="139">
        <v>1139</v>
      </c>
      <c r="B1140" s="36" t="s">
        <v>15651</v>
      </c>
      <c r="C1140" s="36" t="s">
        <v>15652</v>
      </c>
      <c r="D1140" s="36" t="s">
        <v>15653</v>
      </c>
      <c r="E1140" s="36" t="s">
        <v>15654</v>
      </c>
      <c r="F1140" s="36" t="s">
        <v>15655</v>
      </c>
      <c r="G1140" s="36" t="s">
        <v>15656</v>
      </c>
      <c r="H1140" s="36" t="s">
        <v>15657</v>
      </c>
      <c r="I1140" s="36" t="s">
        <v>15658</v>
      </c>
      <c r="J1140" s="36" t="s">
        <v>15659</v>
      </c>
      <c r="K1140" s="36" t="s">
        <v>15660</v>
      </c>
      <c r="L1140" s="36" t="s">
        <v>15661</v>
      </c>
      <c r="M1140" s="36" t="s">
        <v>15662</v>
      </c>
      <c r="N1140" s="36" t="s">
        <v>15663</v>
      </c>
      <c r="O1140" s="36" t="s">
        <v>15664</v>
      </c>
      <c r="P1140" s="36" t="s">
        <v>15651</v>
      </c>
    </row>
    <row r="1141" spans="1:16">
      <c r="A1141" s="139">
        <v>1140</v>
      </c>
      <c r="B1141" s="36" t="s">
        <v>15665</v>
      </c>
      <c r="C1141" s="36" t="s">
        <v>15666</v>
      </c>
      <c r="D1141" s="36" t="s">
        <v>15667</v>
      </c>
      <c r="E1141" s="36" t="s">
        <v>15665</v>
      </c>
      <c r="F1141" s="36" t="s">
        <v>15668</v>
      </c>
      <c r="G1141" s="36" t="s">
        <v>15669</v>
      </c>
      <c r="H1141" s="36" t="s">
        <v>15670</v>
      </c>
      <c r="I1141" s="36" t="s">
        <v>15671</v>
      </c>
      <c r="J1141" s="36" t="s">
        <v>15668</v>
      </c>
      <c r="K1141" s="36" t="s">
        <v>15668</v>
      </c>
      <c r="L1141" s="36" t="s">
        <v>15672</v>
      </c>
      <c r="M1141" s="36" t="s">
        <v>15668</v>
      </c>
      <c r="N1141" s="36" t="s">
        <v>15668</v>
      </c>
      <c r="O1141" s="36" t="s">
        <v>15673</v>
      </c>
      <c r="P1141" s="36" t="s">
        <v>15665</v>
      </c>
    </row>
    <row r="1142" spans="1:16">
      <c r="A1142" s="139">
        <v>1141</v>
      </c>
      <c r="B1142" s="36" t="s">
        <v>4662</v>
      </c>
      <c r="C1142" s="36" t="s">
        <v>15674</v>
      </c>
      <c r="D1142" s="36" t="s">
        <v>4664</v>
      </c>
      <c r="E1142" s="36" t="s">
        <v>4665</v>
      </c>
      <c r="F1142" s="36" t="s">
        <v>4666</v>
      </c>
      <c r="G1142" s="36" t="s">
        <v>15675</v>
      </c>
      <c r="H1142" s="36" t="s">
        <v>4668</v>
      </c>
      <c r="I1142" s="36" t="s">
        <v>4669</v>
      </c>
      <c r="J1142" s="36" t="s">
        <v>4670</v>
      </c>
      <c r="K1142" s="36" t="s">
        <v>4671</v>
      </c>
      <c r="L1142" s="36" t="s">
        <v>4672</v>
      </c>
      <c r="M1142" s="36" t="s">
        <v>4673</v>
      </c>
      <c r="N1142" s="36" t="s">
        <v>4674</v>
      </c>
      <c r="O1142" s="36" t="s">
        <v>4675</v>
      </c>
      <c r="P1142" s="36" t="s">
        <v>4662</v>
      </c>
    </row>
    <row r="1143" spans="1:16">
      <c r="A1143" s="139">
        <v>1142</v>
      </c>
      <c r="B1143" s="36" t="s">
        <v>4676</v>
      </c>
      <c r="C1143" s="36" t="s">
        <v>15676</v>
      </c>
      <c r="D1143" s="36" t="s">
        <v>4678</v>
      </c>
      <c r="E1143" s="36" t="s">
        <v>4679</v>
      </c>
      <c r="F1143" s="36" t="s">
        <v>4680</v>
      </c>
      <c r="G1143" s="36" t="s">
        <v>15677</v>
      </c>
      <c r="H1143" s="36" t="s">
        <v>4682</v>
      </c>
      <c r="I1143" s="36" t="s">
        <v>4683</v>
      </c>
      <c r="J1143" s="36" t="s">
        <v>4684</v>
      </c>
      <c r="K1143" s="36" t="s">
        <v>4685</v>
      </c>
      <c r="L1143" s="36" t="s">
        <v>4686</v>
      </c>
      <c r="M1143" s="36" t="s">
        <v>4687</v>
      </c>
      <c r="N1143" s="36" t="s">
        <v>4688</v>
      </c>
      <c r="O1143" s="36" t="s">
        <v>4689</v>
      </c>
      <c r="P1143" s="36" t="s">
        <v>4676</v>
      </c>
    </row>
    <row r="1144" spans="1:16">
      <c r="A1144" s="139">
        <v>1143</v>
      </c>
      <c r="B1144" s="36" t="s">
        <v>4690</v>
      </c>
      <c r="C1144" s="36" t="s">
        <v>15678</v>
      </c>
      <c r="D1144" s="36" t="s">
        <v>4692</v>
      </c>
      <c r="E1144" s="36" t="s">
        <v>4693</v>
      </c>
      <c r="F1144" s="36" t="s">
        <v>4694</v>
      </c>
      <c r="G1144" s="36" t="s">
        <v>15679</v>
      </c>
      <c r="H1144" s="36" t="s">
        <v>4696</v>
      </c>
      <c r="I1144" s="36" t="s">
        <v>4697</v>
      </c>
      <c r="J1144" s="36" t="s">
        <v>4698</v>
      </c>
      <c r="K1144" s="36" t="s">
        <v>4699</v>
      </c>
      <c r="L1144" s="36" t="s">
        <v>4700</v>
      </c>
      <c r="M1144" s="36" t="s">
        <v>4701</v>
      </c>
      <c r="N1144" s="36" t="s">
        <v>4702</v>
      </c>
      <c r="O1144" s="36" t="s">
        <v>4703</v>
      </c>
      <c r="P1144" s="36" t="s">
        <v>4690</v>
      </c>
    </row>
    <row r="1145" spans="1:16">
      <c r="A1145" s="139">
        <v>1144</v>
      </c>
      <c r="B1145" s="36" t="s">
        <v>4704</v>
      </c>
      <c r="C1145" s="36" t="s">
        <v>15680</v>
      </c>
      <c r="D1145" s="36" t="s">
        <v>4706</v>
      </c>
      <c r="E1145" s="36" t="s">
        <v>4707</v>
      </c>
      <c r="F1145" s="36" t="s">
        <v>4708</v>
      </c>
      <c r="G1145" s="36" t="s">
        <v>15681</v>
      </c>
      <c r="H1145" s="36" t="s">
        <v>4710</v>
      </c>
      <c r="I1145" s="36" t="s">
        <v>4711</v>
      </c>
      <c r="J1145" s="36" t="s">
        <v>4712</v>
      </c>
      <c r="K1145" s="36" t="s">
        <v>4713</v>
      </c>
      <c r="L1145" s="36" t="s">
        <v>4714</v>
      </c>
      <c r="M1145" s="36" t="s">
        <v>4715</v>
      </c>
      <c r="N1145" s="36" t="s">
        <v>4716</v>
      </c>
      <c r="O1145" s="36" t="s">
        <v>4717</v>
      </c>
      <c r="P1145" s="36" t="s">
        <v>4704</v>
      </c>
    </row>
    <row r="1146" spans="1:16">
      <c r="A1146" s="139">
        <v>1145</v>
      </c>
      <c r="B1146" s="36" t="s">
        <v>4732</v>
      </c>
      <c r="C1146" s="36" t="s">
        <v>15682</v>
      </c>
      <c r="D1146" s="36" t="s">
        <v>4734</v>
      </c>
      <c r="E1146" s="36" t="s">
        <v>4735</v>
      </c>
      <c r="F1146" s="36" t="s">
        <v>4736</v>
      </c>
      <c r="G1146" s="36" t="s">
        <v>15683</v>
      </c>
      <c r="H1146" s="36" t="s">
        <v>4738</v>
      </c>
      <c r="I1146" s="36" t="s">
        <v>4739</v>
      </c>
      <c r="J1146" s="36" t="s">
        <v>4740</v>
      </c>
      <c r="K1146" s="36" t="s">
        <v>4741</v>
      </c>
      <c r="L1146" s="36" t="s">
        <v>4742</v>
      </c>
      <c r="M1146" s="36" t="s">
        <v>4743</v>
      </c>
      <c r="N1146" s="36" t="s">
        <v>4744</v>
      </c>
      <c r="O1146" s="36" t="s">
        <v>4745</v>
      </c>
      <c r="P1146" s="36" t="s">
        <v>4732</v>
      </c>
    </row>
    <row r="1147" spans="1:16">
      <c r="A1147" s="139">
        <v>1146</v>
      </c>
      <c r="B1147" s="36" t="s">
        <v>4760</v>
      </c>
      <c r="C1147" s="36" t="s">
        <v>15684</v>
      </c>
      <c r="D1147" s="36" t="s">
        <v>4762</v>
      </c>
      <c r="E1147" s="36" t="s">
        <v>4763</v>
      </c>
      <c r="F1147" s="36" t="s">
        <v>4764</v>
      </c>
      <c r="G1147" s="36" t="s">
        <v>15685</v>
      </c>
      <c r="H1147" s="36" t="s">
        <v>4766</v>
      </c>
      <c r="I1147" s="36" t="s">
        <v>4767</v>
      </c>
      <c r="J1147" s="36" t="s">
        <v>4768</v>
      </c>
      <c r="K1147" s="36" t="s">
        <v>4769</v>
      </c>
      <c r="L1147" s="36" t="s">
        <v>4770</v>
      </c>
      <c r="M1147" s="36" t="s">
        <v>4771</v>
      </c>
      <c r="N1147" s="36" t="s">
        <v>4772</v>
      </c>
      <c r="O1147" s="36" t="s">
        <v>4773</v>
      </c>
      <c r="P1147" s="36" t="s">
        <v>4760</v>
      </c>
    </row>
    <row r="1148" spans="1:16">
      <c r="A1148" s="139">
        <v>1147</v>
      </c>
      <c r="B1148" s="36" t="s">
        <v>4802</v>
      </c>
      <c r="C1148" s="36" t="s">
        <v>15686</v>
      </c>
      <c r="D1148" s="36" t="s">
        <v>4804</v>
      </c>
      <c r="E1148" s="36" t="s">
        <v>4805</v>
      </c>
      <c r="F1148" s="36" t="s">
        <v>4806</v>
      </c>
      <c r="G1148" s="36" t="s">
        <v>15687</v>
      </c>
      <c r="H1148" s="36" t="s">
        <v>4808</v>
      </c>
      <c r="I1148" s="36" t="s">
        <v>4809</v>
      </c>
      <c r="J1148" s="36" t="s">
        <v>4810</v>
      </c>
      <c r="K1148" s="36" t="s">
        <v>4811</v>
      </c>
      <c r="L1148" s="36" t="s">
        <v>4812</v>
      </c>
      <c r="M1148" s="36" t="s">
        <v>4813</v>
      </c>
      <c r="N1148" s="36" t="s">
        <v>4814</v>
      </c>
      <c r="O1148" s="36" t="s">
        <v>4815</v>
      </c>
      <c r="P1148" s="36" t="s">
        <v>4802</v>
      </c>
    </row>
    <row r="1149" spans="1:16">
      <c r="A1149" s="139">
        <v>1148</v>
      </c>
      <c r="B1149" s="36" t="s">
        <v>4816</v>
      </c>
      <c r="C1149" s="36" t="s">
        <v>15688</v>
      </c>
      <c r="D1149" s="36" t="s">
        <v>4818</v>
      </c>
      <c r="E1149" s="36" t="s">
        <v>4819</v>
      </c>
      <c r="F1149" s="36" t="s">
        <v>4820</v>
      </c>
      <c r="G1149" s="36" t="s">
        <v>15689</v>
      </c>
      <c r="H1149" s="36" t="s">
        <v>4822</v>
      </c>
      <c r="I1149" s="36" t="s">
        <v>4823</v>
      </c>
      <c r="J1149" s="36" t="s">
        <v>4824</v>
      </c>
      <c r="K1149" s="36" t="s">
        <v>4825</v>
      </c>
      <c r="L1149" s="36" t="s">
        <v>4826</v>
      </c>
      <c r="M1149" s="36" t="s">
        <v>4827</v>
      </c>
      <c r="N1149" s="36" t="s">
        <v>4828</v>
      </c>
      <c r="O1149" s="36" t="s">
        <v>4829</v>
      </c>
      <c r="P1149" s="36" t="s">
        <v>4816</v>
      </c>
    </row>
    <row r="1150" spans="1:16">
      <c r="A1150" s="139">
        <v>1149</v>
      </c>
      <c r="B1150" s="36" t="s">
        <v>4844</v>
      </c>
      <c r="C1150" s="36" t="s">
        <v>15690</v>
      </c>
      <c r="D1150" s="36" t="s">
        <v>4846</v>
      </c>
      <c r="E1150" s="36" t="s">
        <v>4847</v>
      </c>
      <c r="F1150" s="36" t="s">
        <v>4848</v>
      </c>
      <c r="G1150" s="36" t="s">
        <v>15691</v>
      </c>
      <c r="H1150" s="36" t="s">
        <v>4850</v>
      </c>
      <c r="I1150" s="36" t="s">
        <v>4851</v>
      </c>
      <c r="J1150" s="36" t="s">
        <v>4852</v>
      </c>
      <c r="K1150" s="36" t="s">
        <v>4853</v>
      </c>
      <c r="L1150" s="36" t="s">
        <v>4854</v>
      </c>
      <c r="M1150" s="36" t="s">
        <v>4855</v>
      </c>
      <c r="N1150" s="36" t="s">
        <v>4856</v>
      </c>
      <c r="O1150" s="36" t="s">
        <v>4857</v>
      </c>
      <c r="P1150" s="36" t="s">
        <v>4844</v>
      </c>
    </row>
    <row r="1151" spans="1:16">
      <c r="A1151" s="139">
        <v>1150</v>
      </c>
      <c r="B1151" s="36" t="s">
        <v>4872</v>
      </c>
      <c r="C1151" s="36" t="s">
        <v>15692</v>
      </c>
      <c r="D1151" s="36" t="s">
        <v>4874</v>
      </c>
      <c r="E1151" s="36" t="s">
        <v>4875</v>
      </c>
      <c r="F1151" s="36" t="s">
        <v>4876</v>
      </c>
      <c r="G1151" s="36" t="s">
        <v>4877</v>
      </c>
      <c r="H1151" s="36" t="s">
        <v>4878</v>
      </c>
      <c r="I1151" s="36" t="s">
        <v>4879</v>
      </c>
      <c r="J1151" s="36" t="s">
        <v>4880</v>
      </c>
      <c r="K1151" s="36" t="s">
        <v>4881</v>
      </c>
      <c r="L1151" s="36" t="s">
        <v>4882</v>
      </c>
      <c r="M1151" s="36" t="s">
        <v>4883</v>
      </c>
      <c r="N1151" s="36" t="s">
        <v>4884</v>
      </c>
      <c r="O1151" s="36" t="s">
        <v>4885</v>
      </c>
      <c r="P1151" s="36" t="s">
        <v>4872</v>
      </c>
    </row>
    <row r="1152" spans="1:16">
      <c r="A1152" s="139">
        <v>1151</v>
      </c>
      <c r="B1152" s="36" t="s">
        <v>4914</v>
      </c>
      <c r="C1152" s="36" t="s">
        <v>15693</v>
      </c>
      <c r="D1152" s="36" t="s">
        <v>4916</v>
      </c>
      <c r="E1152" s="36" t="s">
        <v>4917</v>
      </c>
      <c r="F1152" s="36" t="s">
        <v>4918</v>
      </c>
      <c r="G1152" s="36" t="s">
        <v>4919</v>
      </c>
      <c r="H1152" s="36" t="s">
        <v>4920</v>
      </c>
      <c r="I1152" s="36" t="s">
        <v>4921</v>
      </c>
      <c r="J1152" s="36" t="s">
        <v>4922</v>
      </c>
      <c r="K1152" s="36" t="s">
        <v>4923</v>
      </c>
      <c r="L1152" s="36" t="s">
        <v>4924</v>
      </c>
      <c r="M1152" s="36" t="s">
        <v>4925</v>
      </c>
      <c r="N1152" s="36" t="s">
        <v>4926</v>
      </c>
      <c r="O1152" s="36" t="s">
        <v>4927</v>
      </c>
      <c r="P1152" s="36" t="s">
        <v>4914</v>
      </c>
    </row>
    <row r="1153" spans="1:16">
      <c r="A1153" s="139">
        <v>1152</v>
      </c>
      <c r="B1153" s="36" t="s">
        <v>15694</v>
      </c>
      <c r="C1153" s="36" t="s">
        <v>15695</v>
      </c>
      <c r="D1153" s="36" t="s">
        <v>15696</v>
      </c>
      <c r="E1153" s="36" t="s">
        <v>15697</v>
      </c>
      <c r="F1153" s="36" t="s">
        <v>15698</v>
      </c>
      <c r="G1153" s="36" t="s">
        <v>15699</v>
      </c>
      <c r="H1153" s="36" t="s">
        <v>15700</v>
      </c>
      <c r="I1153" s="36" t="s">
        <v>15701</v>
      </c>
      <c r="J1153" s="36" t="s">
        <v>15702</v>
      </c>
      <c r="K1153" s="36" t="s">
        <v>15703</v>
      </c>
      <c r="L1153" s="36" t="s">
        <v>15704</v>
      </c>
      <c r="M1153" s="36" t="s">
        <v>15705</v>
      </c>
      <c r="N1153" s="36" t="s">
        <v>15706</v>
      </c>
      <c r="O1153" s="36" t="s">
        <v>15707</v>
      </c>
      <c r="P1153" s="36" t="s">
        <v>15694</v>
      </c>
    </row>
    <row r="1154" spans="1:16">
      <c r="A1154" s="139">
        <v>1153</v>
      </c>
      <c r="B1154" s="36" t="s">
        <v>15708</v>
      </c>
      <c r="C1154" s="36" t="s">
        <v>15709</v>
      </c>
      <c r="D1154" s="36" t="s">
        <v>15710</v>
      </c>
      <c r="E1154" s="36" t="s">
        <v>15711</v>
      </c>
      <c r="F1154" s="36" t="s">
        <v>15712</v>
      </c>
      <c r="G1154" s="36" t="s">
        <v>15713</v>
      </c>
      <c r="H1154" s="36" t="s">
        <v>15714</v>
      </c>
      <c r="I1154" s="36" t="s">
        <v>15715</v>
      </c>
      <c r="J1154" s="36" t="s">
        <v>15716</v>
      </c>
      <c r="K1154" s="36" t="s">
        <v>15717</v>
      </c>
      <c r="L1154" s="36" t="s">
        <v>15718</v>
      </c>
      <c r="M1154" s="36" t="s">
        <v>15719</v>
      </c>
      <c r="N1154" s="36" t="s">
        <v>15720</v>
      </c>
      <c r="O1154" s="36" t="s">
        <v>15721</v>
      </c>
      <c r="P1154" s="36" t="s">
        <v>15708</v>
      </c>
    </row>
    <row r="1155" spans="1:16">
      <c r="A1155" s="139">
        <v>1154</v>
      </c>
      <c r="B1155" s="36" t="s">
        <v>15722</v>
      </c>
      <c r="C1155" s="36" t="s">
        <v>15723</v>
      </c>
      <c r="D1155" s="36" t="s">
        <v>15724</v>
      </c>
      <c r="E1155" s="36" t="s">
        <v>15725</v>
      </c>
      <c r="F1155" s="36" t="s">
        <v>15726</v>
      </c>
      <c r="G1155" s="36" t="s">
        <v>15727</v>
      </c>
      <c r="H1155" s="36" t="s">
        <v>15728</v>
      </c>
      <c r="I1155" s="36" t="s">
        <v>15729</v>
      </c>
      <c r="J1155" s="36" t="s">
        <v>15730</v>
      </c>
      <c r="K1155" s="36" t="s">
        <v>15731</v>
      </c>
      <c r="L1155" s="36" t="s">
        <v>15732</v>
      </c>
      <c r="M1155" s="36" t="s">
        <v>15733</v>
      </c>
      <c r="N1155" s="36" t="s">
        <v>15734</v>
      </c>
      <c r="O1155" s="36" t="s">
        <v>15735</v>
      </c>
      <c r="P1155" s="36" t="s">
        <v>15722</v>
      </c>
    </row>
    <row r="1156" spans="1:16">
      <c r="A1156" s="139">
        <v>1155</v>
      </c>
      <c r="B1156" s="36" t="s">
        <v>15736</v>
      </c>
      <c r="C1156" s="36" t="s">
        <v>15737</v>
      </c>
      <c r="D1156" s="36" t="s">
        <v>15738</v>
      </c>
      <c r="E1156" s="36" t="s">
        <v>5191</v>
      </c>
      <c r="F1156" s="36" t="s">
        <v>15739</v>
      </c>
      <c r="G1156" s="36" t="s">
        <v>15740</v>
      </c>
      <c r="H1156" s="36" t="s">
        <v>15741</v>
      </c>
      <c r="I1156" s="36" t="s">
        <v>15742</v>
      </c>
      <c r="J1156" s="36" t="s">
        <v>15743</v>
      </c>
      <c r="K1156" s="36" t="s">
        <v>5197</v>
      </c>
      <c r="L1156" s="36" t="s">
        <v>5198</v>
      </c>
      <c r="M1156" s="36" t="s">
        <v>5199</v>
      </c>
      <c r="N1156" s="36" t="s">
        <v>5200</v>
      </c>
      <c r="O1156" s="36" t="s">
        <v>15744</v>
      </c>
      <c r="P1156" s="36" t="s">
        <v>15736</v>
      </c>
    </row>
    <row r="1157" spans="1:16">
      <c r="A1157" s="139">
        <v>1156</v>
      </c>
      <c r="B1157" s="36" t="s">
        <v>15745</v>
      </c>
      <c r="C1157" s="36" t="s">
        <v>15746</v>
      </c>
      <c r="D1157" s="36" t="s">
        <v>15747</v>
      </c>
      <c r="E1157" s="36" t="s">
        <v>15748</v>
      </c>
      <c r="F1157" s="36" t="s">
        <v>15749</v>
      </c>
      <c r="G1157" s="36" t="s">
        <v>15750</v>
      </c>
      <c r="H1157" s="36" t="s">
        <v>15751</v>
      </c>
      <c r="I1157" s="36" t="s">
        <v>15752</v>
      </c>
      <c r="J1157" s="36" t="s">
        <v>15753</v>
      </c>
      <c r="K1157" s="36" t="s">
        <v>15754</v>
      </c>
      <c r="L1157" s="36" t="s">
        <v>15755</v>
      </c>
      <c r="M1157" s="36" t="s">
        <v>15756</v>
      </c>
      <c r="N1157" s="36" t="s">
        <v>15757</v>
      </c>
      <c r="O1157" s="36" t="s">
        <v>15758</v>
      </c>
      <c r="P1157" s="36" t="s">
        <v>15745</v>
      </c>
    </row>
    <row r="1158" spans="1:16">
      <c r="A1158" s="139">
        <v>1157</v>
      </c>
      <c r="B1158" s="36" t="s">
        <v>15759</v>
      </c>
      <c r="C1158" s="36" t="s">
        <v>15760</v>
      </c>
      <c r="D1158" s="36" t="s">
        <v>15761</v>
      </c>
      <c r="E1158" s="36" t="s">
        <v>15762</v>
      </c>
      <c r="F1158" s="36" t="s">
        <v>15763</v>
      </c>
      <c r="G1158" s="36" t="s">
        <v>15764</v>
      </c>
      <c r="H1158" s="36" t="s">
        <v>15765</v>
      </c>
      <c r="I1158" s="36" t="s">
        <v>15766</v>
      </c>
      <c r="J1158" s="36" t="s">
        <v>15767</v>
      </c>
      <c r="K1158" s="36" t="s">
        <v>15768</v>
      </c>
      <c r="L1158" s="36" t="s">
        <v>15769</v>
      </c>
      <c r="M1158" s="36" t="s">
        <v>15770</v>
      </c>
      <c r="N1158" s="36" t="s">
        <v>15771</v>
      </c>
      <c r="O1158" s="36" t="s">
        <v>15772</v>
      </c>
      <c r="P1158" s="36" t="s">
        <v>15759</v>
      </c>
    </row>
    <row r="1159" spans="1:16">
      <c r="A1159" s="139">
        <v>1158</v>
      </c>
      <c r="B1159" s="36" t="s">
        <v>15773</v>
      </c>
      <c r="C1159" s="36" t="s">
        <v>15774</v>
      </c>
      <c r="D1159" s="36" t="s">
        <v>15775</v>
      </c>
      <c r="E1159" s="36" t="s">
        <v>15776</v>
      </c>
      <c r="F1159" s="36" t="s">
        <v>15777</v>
      </c>
      <c r="G1159" s="36" t="s">
        <v>15778</v>
      </c>
      <c r="H1159" s="36" t="s">
        <v>15779</v>
      </c>
      <c r="I1159" s="36" t="s">
        <v>15780</v>
      </c>
      <c r="J1159" s="36" t="s">
        <v>15781</v>
      </c>
      <c r="K1159" s="36" t="s">
        <v>15782</v>
      </c>
      <c r="L1159" s="36" t="s">
        <v>15783</v>
      </c>
      <c r="M1159" s="36" t="s">
        <v>15784</v>
      </c>
      <c r="N1159" s="36" t="s">
        <v>15785</v>
      </c>
      <c r="O1159" s="36" t="s">
        <v>15786</v>
      </c>
      <c r="P1159" s="36" t="s">
        <v>15773</v>
      </c>
    </row>
    <row r="1160" spans="1:16">
      <c r="A1160" s="139">
        <v>1159</v>
      </c>
      <c r="B1160" s="36" t="s">
        <v>15787</v>
      </c>
      <c r="C1160" s="36" t="s">
        <v>15788</v>
      </c>
      <c r="D1160" s="36" t="s">
        <v>15789</v>
      </c>
      <c r="E1160" s="36" t="s">
        <v>15790</v>
      </c>
      <c r="F1160" s="36" t="s">
        <v>15791</v>
      </c>
      <c r="G1160" s="36" t="s">
        <v>15792</v>
      </c>
      <c r="H1160" s="36" t="s">
        <v>15793</v>
      </c>
      <c r="I1160" s="36" t="s">
        <v>15794</v>
      </c>
      <c r="J1160" s="36" t="s">
        <v>15795</v>
      </c>
      <c r="K1160" s="36" t="s">
        <v>15794</v>
      </c>
      <c r="L1160" s="36" t="s">
        <v>15796</v>
      </c>
      <c r="M1160" s="36" t="s">
        <v>15797</v>
      </c>
      <c r="N1160" s="36" t="s">
        <v>15798</v>
      </c>
      <c r="O1160" s="36" t="s">
        <v>15799</v>
      </c>
      <c r="P1160" s="36" t="s">
        <v>15787</v>
      </c>
    </row>
    <row r="1161" spans="1:16">
      <c r="A1161" s="139">
        <v>1160</v>
      </c>
      <c r="B1161" s="36" t="s">
        <v>15800</v>
      </c>
      <c r="C1161" s="36" t="s">
        <v>15801</v>
      </c>
      <c r="D1161" s="36" t="s">
        <v>15802</v>
      </c>
      <c r="E1161" s="36" t="s">
        <v>15803</v>
      </c>
      <c r="F1161" s="36" t="s">
        <v>15804</v>
      </c>
      <c r="G1161" s="36" t="s">
        <v>15805</v>
      </c>
      <c r="H1161" s="36" t="s">
        <v>15806</v>
      </c>
      <c r="I1161" s="36" t="s">
        <v>15807</v>
      </c>
      <c r="J1161" s="36" t="s">
        <v>15808</v>
      </c>
      <c r="K1161" s="36" t="s">
        <v>15809</v>
      </c>
      <c r="L1161" s="36" t="s">
        <v>15810</v>
      </c>
      <c r="M1161" s="36" t="s">
        <v>15811</v>
      </c>
      <c r="N1161" s="36" t="s">
        <v>15812</v>
      </c>
      <c r="O1161" s="36" t="s">
        <v>15813</v>
      </c>
      <c r="P1161" s="36" t="s">
        <v>15800</v>
      </c>
    </row>
    <row r="1162" spans="1:16">
      <c r="A1162" s="139">
        <v>1161</v>
      </c>
      <c r="B1162" s="36" t="s">
        <v>4886</v>
      </c>
      <c r="C1162" s="36" t="s">
        <v>15814</v>
      </c>
      <c r="D1162" s="36" t="s">
        <v>4888</v>
      </c>
      <c r="E1162" s="36" t="s">
        <v>4889</v>
      </c>
      <c r="F1162" s="36" t="s">
        <v>15815</v>
      </c>
      <c r="G1162" s="36" t="s">
        <v>4891</v>
      </c>
      <c r="H1162" s="36" t="s">
        <v>4892</v>
      </c>
      <c r="I1162" s="36" t="s">
        <v>4893</v>
      </c>
      <c r="J1162" s="36" t="s">
        <v>4894</v>
      </c>
      <c r="K1162" s="36" t="s">
        <v>4895</v>
      </c>
      <c r="L1162" s="36" t="s">
        <v>4896</v>
      </c>
      <c r="M1162" s="36" t="s">
        <v>4897</v>
      </c>
      <c r="N1162" s="36" t="s">
        <v>4898</v>
      </c>
      <c r="O1162" s="36" t="s">
        <v>4899</v>
      </c>
      <c r="P1162" s="36" t="s">
        <v>4886</v>
      </c>
    </row>
    <row r="1163" spans="1:16">
      <c r="A1163" s="139">
        <v>1162</v>
      </c>
      <c r="B1163" s="36" t="s">
        <v>15816</v>
      </c>
      <c r="C1163" s="36" t="s">
        <v>15817</v>
      </c>
      <c r="D1163" s="36" t="s">
        <v>15818</v>
      </c>
      <c r="E1163" s="36" t="s">
        <v>15819</v>
      </c>
      <c r="F1163" s="36" t="s">
        <v>15820</v>
      </c>
      <c r="G1163" s="36" t="s">
        <v>15821</v>
      </c>
      <c r="H1163" s="36" t="s">
        <v>15822</v>
      </c>
      <c r="I1163" s="36" t="s">
        <v>15823</v>
      </c>
      <c r="J1163" s="36" t="s">
        <v>15824</v>
      </c>
      <c r="K1163" s="36" t="s">
        <v>15825</v>
      </c>
      <c r="L1163" s="36" t="s">
        <v>15826</v>
      </c>
      <c r="M1163" s="36" t="s">
        <v>15827</v>
      </c>
      <c r="N1163" s="36" t="s">
        <v>15828</v>
      </c>
      <c r="O1163" s="36" t="s">
        <v>15829</v>
      </c>
      <c r="P1163" s="36" t="s">
        <v>15816</v>
      </c>
    </row>
    <row r="1164" spans="1:16">
      <c r="A1164" s="139">
        <v>1163</v>
      </c>
      <c r="B1164" s="36" t="s">
        <v>15830</v>
      </c>
      <c r="C1164" s="36" t="s">
        <v>15831</v>
      </c>
      <c r="D1164" s="36" t="s">
        <v>15832</v>
      </c>
      <c r="E1164" s="36" t="s">
        <v>15833</v>
      </c>
      <c r="F1164" s="36" t="s">
        <v>15834</v>
      </c>
      <c r="G1164" s="36" t="s">
        <v>15835</v>
      </c>
      <c r="H1164" s="36" t="s">
        <v>15836</v>
      </c>
      <c r="I1164" s="36" t="s">
        <v>15837</v>
      </c>
      <c r="J1164" s="36" t="s">
        <v>15838</v>
      </c>
      <c r="K1164" s="36" t="s">
        <v>15839</v>
      </c>
      <c r="L1164" s="36" t="s">
        <v>15840</v>
      </c>
      <c r="M1164" s="36" t="s">
        <v>15841</v>
      </c>
      <c r="N1164" s="36" t="s">
        <v>15842</v>
      </c>
      <c r="O1164" s="36" t="s">
        <v>15843</v>
      </c>
      <c r="P1164" s="36" t="s">
        <v>15830</v>
      </c>
    </row>
    <row r="1165" spans="1:16">
      <c r="A1165" s="139">
        <v>1164</v>
      </c>
      <c r="B1165" s="36" t="s">
        <v>4900</v>
      </c>
      <c r="C1165" s="36" t="s">
        <v>15844</v>
      </c>
      <c r="D1165" s="36" t="s">
        <v>4902</v>
      </c>
      <c r="E1165" s="36" t="s">
        <v>4903</v>
      </c>
      <c r="F1165" s="36" t="s">
        <v>15845</v>
      </c>
      <c r="G1165" s="36" t="s">
        <v>4905</v>
      </c>
      <c r="H1165" s="36" t="s">
        <v>4906</v>
      </c>
      <c r="I1165" s="36" t="s">
        <v>4907</v>
      </c>
      <c r="J1165" s="36" t="s">
        <v>4908</v>
      </c>
      <c r="K1165" s="36" t="s">
        <v>4909</v>
      </c>
      <c r="L1165" s="36" t="s">
        <v>4910</v>
      </c>
      <c r="M1165" s="36" t="s">
        <v>4911</v>
      </c>
      <c r="N1165" s="36" t="s">
        <v>4912</v>
      </c>
      <c r="O1165" s="36" t="s">
        <v>4913</v>
      </c>
      <c r="P1165" s="36" t="s">
        <v>4900</v>
      </c>
    </row>
    <row r="1166" spans="1:16">
      <c r="A1166" s="139">
        <v>1165</v>
      </c>
      <c r="B1166" s="36" t="s">
        <v>15846</v>
      </c>
      <c r="C1166" s="36" t="s">
        <v>15847</v>
      </c>
      <c r="D1166" s="36" t="s">
        <v>15848</v>
      </c>
      <c r="E1166" s="36" t="s">
        <v>15846</v>
      </c>
      <c r="F1166" s="36" t="s">
        <v>15846</v>
      </c>
      <c r="G1166" s="36" t="s">
        <v>15849</v>
      </c>
      <c r="H1166" s="36" t="s">
        <v>15850</v>
      </c>
      <c r="I1166" s="36" t="s">
        <v>15851</v>
      </c>
      <c r="J1166" s="36" t="s">
        <v>15846</v>
      </c>
      <c r="K1166" s="36" t="s">
        <v>15846</v>
      </c>
      <c r="L1166" s="36" t="s">
        <v>15852</v>
      </c>
      <c r="M1166" s="36" t="s">
        <v>15846</v>
      </c>
      <c r="N1166" s="36" t="s">
        <v>15846</v>
      </c>
      <c r="O1166" s="36" t="s">
        <v>15853</v>
      </c>
      <c r="P1166" s="36" t="s">
        <v>15846</v>
      </c>
    </row>
    <row r="1167" spans="1:16">
      <c r="A1167" s="139">
        <v>1166</v>
      </c>
      <c r="B1167" s="36" t="s">
        <v>15854</v>
      </c>
      <c r="C1167" s="36" t="s">
        <v>15855</v>
      </c>
      <c r="D1167" s="36" t="s">
        <v>15856</v>
      </c>
      <c r="E1167" s="36" t="s">
        <v>15854</v>
      </c>
      <c r="F1167" s="36" t="s">
        <v>15854</v>
      </c>
      <c r="G1167" s="36" t="s">
        <v>15857</v>
      </c>
      <c r="H1167" s="36" t="s">
        <v>15858</v>
      </c>
      <c r="I1167" s="36" t="s">
        <v>15859</v>
      </c>
      <c r="J1167" s="36" t="s">
        <v>15854</v>
      </c>
      <c r="K1167" s="36" t="s">
        <v>15854</v>
      </c>
      <c r="L1167" s="36" t="s">
        <v>15860</v>
      </c>
      <c r="M1167" s="36" t="s">
        <v>15854</v>
      </c>
      <c r="N1167" s="36" t="s">
        <v>15854</v>
      </c>
      <c r="O1167" s="36" t="s">
        <v>15861</v>
      </c>
      <c r="P1167" s="36" t="s">
        <v>15854</v>
      </c>
    </row>
    <row r="1168" spans="1:16">
      <c r="A1168" s="139">
        <v>1167</v>
      </c>
      <c r="B1168" s="36" t="s">
        <v>15862</v>
      </c>
      <c r="C1168" s="36" t="s">
        <v>15863</v>
      </c>
      <c r="D1168" s="36" t="s">
        <v>15864</v>
      </c>
      <c r="E1168" s="36" t="s">
        <v>15862</v>
      </c>
      <c r="F1168" s="36" t="s">
        <v>15862</v>
      </c>
      <c r="G1168" s="36" t="s">
        <v>15865</v>
      </c>
      <c r="H1168" s="36" t="s">
        <v>15866</v>
      </c>
      <c r="I1168" s="36" t="s">
        <v>15867</v>
      </c>
      <c r="J1168" s="36" t="s">
        <v>15862</v>
      </c>
      <c r="K1168" s="36" t="s">
        <v>15862</v>
      </c>
      <c r="L1168" s="36" t="s">
        <v>15868</v>
      </c>
      <c r="M1168" s="36" t="s">
        <v>15862</v>
      </c>
      <c r="N1168" s="36" t="s">
        <v>15862</v>
      </c>
      <c r="O1168" s="36" t="s">
        <v>15869</v>
      </c>
      <c r="P1168" s="36" t="s">
        <v>15862</v>
      </c>
    </row>
    <row r="1169" spans="1:16">
      <c r="A1169" s="139">
        <v>1168</v>
      </c>
      <c r="B1169" s="36" t="s">
        <v>15870</v>
      </c>
      <c r="C1169" s="36" t="s">
        <v>15871</v>
      </c>
      <c r="D1169" s="36" t="s">
        <v>15872</v>
      </c>
      <c r="E1169" s="36" t="s">
        <v>15873</v>
      </c>
      <c r="F1169" s="36" t="s">
        <v>15874</v>
      </c>
      <c r="G1169" s="36" t="s">
        <v>15875</v>
      </c>
      <c r="H1169" s="36" t="s">
        <v>15876</v>
      </c>
      <c r="I1169" s="36" t="s">
        <v>15877</v>
      </c>
      <c r="J1169" s="36" t="s">
        <v>15878</v>
      </c>
      <c r="K1169" s="36" t="s">
        <v>15879</v>
      </c>
      <c r="L1169" s="36" t="s">
        <v>15880</v>
      </c>
      <c r="M1169" s="36" t="s">
        <v>15881</v>
      </c>
      <c r="N1169" s="36" t="s">
        <v>15882</v>
      </c>
      <c r="O1169" s="36" t="s">
        <v>15883</v>
      </c>
      <c r="P1169" s="36" t="s">
        <v>15884</v>
      </c>
    </row>
    <row r="1170" spans="1:16">
      <c r="A1170" s="139">
        <v>1169</v>
      </c>
      <c r="B1170" s="36" t="s">
        <v>15541</v>
      </c>
      <c r="C1170" s="36" t="s">
        <v>15542</v>
      </c>
      <c r="D1170" s="36" t="s">
        <v>15543</v>
      </c>
      <c r="E1170" s="36" t="s">
        <v>15544</v>
      </c>
      <c r="F1170" s="36" t="s">
        <v>15545</v>
      </c>
      <c r="G1170" s="36" t="s">
        <v>15546</v>
      </c>
      <c r="H1170" s="36" t="s">
        <v>15547</v>
      </c>
      <c r="I1170" s="36" t="s">
        <v>15548</v>
      </c>
      <c r="J1170" s="36" t="s">
        <v>15549</v>
      </c>
      <c r="K1170" s="36" t="s">
        <v>15550</v>
      </c>
      <c r="L1170" s="36" t="s">
        <v>15551</v>
      </c>
      <c r="M1170" s="36" t="s">
        <v>15552</v>
      </c>
      <c r="N1170" s="36" t="s">
        <v>15553</v>
      </c>
      <c r="O1170" s="36" t="s">
        <v>15554</v>
      </c>
      <c r="P1170" s="36" t="s">
        <v>15541</v>
      </c>
    </row>
    <row r="1171" spans="1:16">
      <c r="A1171" s="139">
        <v>1170</v>
      </c>
      <c r="B1171" s="36" t="s">
        <v>15885</v>
      </c>
      <c r="C1171" s="36" t="s">
        <v>15886</v>
      </c>
      <c r="D1171" s="36" t="s">
        <v>15887</v>
      </c>
      <c r="E1171" s="36" t="s">
        <v>15888</v>
      </c>
      <c r="F1171" s="36" t="s">
        <v>15889</v>
      </c>
      <c r="G1171" s="36" t="s">
        <v>15890</v>
      </c>
      <c r="H1171" s="36" t="s">
        <v>15891</v>
      </c>
      <c r="I1171" s="36" t="s">
        <v>15892</v>
      </c>
      <c r="J1171" s="36" t="s">
        <v>15893</v>
      </c>
      <c r="K1171" s="36" t="s">
        <v>15894</v>
      </c>
      <c r="L1171" s="36" t="s">
        <v>15895</v>
      </c>
      <c r="M1171" s="36" t="s">
        <v>15896</v>
      </c>
      <c r="N1171" s="36" t="s">
        <v>15897</v>
      </c>
      <c r="O1171" s="36" t="s">
        <v>15898</v>
      </c>
      <c r="P1171" s="36" t="s">
        <v>15885</v>
      </c>
    </row>
    <row r="1172" spans="1:16">
      <c r="A1172" s="139">
        <v>1171</v>
      </c>
      <c r="B1172" s="36" t="s">
        <v>15899</v>
      </c>
      <c r="C1172" s="36" t="s">
        <v>15900</v>
      </c>
      <c r="D1172" s="36" t="s">
        <v>15901</v>
      </c>
      <c r="E1172" s="36" t="s">
        <v>15902</v>
      </c>
      <c r="F1172" s="36" t="s">
        <v>15902</v>
      </c>
      <c r="G1172" s="36" t="s">
        <v>15902</v>
      </c>
      <c r="H1172" s="36" t="s">
        <v>15902</v>
      </c>
      <c r="I1172" s="36" t="s">
        <v>15902</v>
      </c>
      <c r="J1172" s="36" t="s">
        <v>15902</v>
      </c>
      <c r="K1172" s="36" t="s">
        <v>15902</v>
      </c>
      <c r="L1172" s="36" t="s">
        <v>15902</v>
      </c>
      <c r="M1172" s="36" t="s">
        <v>15902</v>
      </c>
      <c r="N1172" s="36" t="s">
        <v>15902</v>
      </c>
      <c r="O1172" s="36" t="s">
        <v>15902</v>
      </c>
      <c r="P1172" s="36" t="s">
        <v>15899</v>
      </c>
    </row>
    <row r="1173" spans="1:16">
      <c r="A1173" s="139">
        <v>1172</v>
      </c>
      <c r="B1173" s="36" t="s">
        <v>15903</v>
      </c>
      <c r="C1173" s="36" t="s">
        <v>15903</v>
      </c>
      <c r="D1173" s="36" t="s">
        <v>15904</v>
      </c>
      <c r="E1173" s="36" t="s">
        <v>15904</v>
      </c>
      <c r="F1173" s="36" t="s">
        <v>15904</v>
      </c>
      <c r="G1173" s="36" t="s">
        <v>15904</v>
      </c>
      <c r="H1173" s="36" t="s">
        <v>15904</v>
      </c>
      <c r="I1173" s="36" t="s">
        <v>15904</v>
      </c>
      <c r="J1173" s="36" t="s">
        <v>15904</v>
      </c>
      <c r="K1173" s="36" t="s">
        <v>15904</v>
      </c>
      <c r="L1173" s="36" t="s">
        <v>15904</v>
      </c>
      <c r="M1173" s="36" t="s">
        <v>15904</v>
      </c>
      <c r="N1173" s="36" t="s">
        <v>15904</v>
      </c>
      <c r="O1173" s="36" t="s">
        <v>15904</v>
      </c>
      <c r="P1173" s="36" t="s">
        <v>15903</v>
      </c>
    </row>
    <row r="1174" spans="1:16">
      <c r="A1174" s="139">
        <v>1173</v>
      </c>
      <c r="B1174" s="36" t="s">
        <v>15905</v>
      </c>
      <c r="C1174" s="36" t="s">
        <v>15905</v>
      </c>
      <c r="D1174" s="36" t="s">
        <v>15906</v>
      </c>
      <c r="E1174" s="36" t="s">
        <v>15906</v>
      </c>
      <c r="F1174" s="36" t="s">
        <v>15906</v>
      </c>
      <c r="G1174" s="36" t="s">
        <v>15906</v>
      </c>
      <c r="H1174" s="36" t="s">
        <v>15906</v>
      </c>
      <c r="I1174" s="36" t="s">
        <v>15906</v>
      </c>
      <c r="J1174" s="36" t="s">
        <v>15906</v>
      </c>
      <c r="K1174" s="36" t="s">
        <v>15906</v>
      </c>
      <c r="L1174" s="36" t="s">
        <v>15906</v>
      </c>
      <c r="M1174" s="36" t="s">
        <v>15906</v>
      </c>
      <c r="N1174" s="36" t="s">
        <v>15906</v>
      </c>
      <c r="O1174" s="36" t="s">
        <v>15906</v>
      </c>
      <c r="P1174" s="36" t="s">
        <v>15905</v>
      </c>
    </row>
    <row r="1175" spans="1:16">
      <c r="A1175" s="139">
        <v>1174</v>
      </c>
      <c r="B1175" s="36" t="s">
        <v>15907</v>
      </c>
      <c r="C1175" s="36" t="s">
        <v>15908</v>
      </c>
      <c r="D1175" s="36" t="s">
        <v>15909</v>
      </c>
      <c r="E1175" s="36" t="s">
        <v>15910</v>
      </c>
      <c r="F1175" s="36" t="s">
        <v>15911</v>
      </c>
      <c r="G1175" s="36" t="s">
        <v>15912</v>
      </c>
      <c r="H1175" s="36" t="s">
        <v>15913</v>
      </c>
      <c r="I1175" s="36" t="s">
        <v>15914</v>
      </c>
      <c r="J1175" s="36" t="s">
        <v>15915</v>
      </c>
      <c r="K1175" s="36" t="s">
        <v>15916</v>
      </c>
      <c r="L1175" s="36" t="s">
        <v>15917</v>
      </c>
      <c r="M1175" s="36" t="s">
        <v>15918</v>
      </c>
      <c r="N1175" s="36" t="s">
        <v>15918</v>
      </c>
      <c r="O1175" s="36" t="s">
        <v>15919</v>
      </c>
      <c r="P1175" s="36" t="s">
        <v>15907</v>
      </c>
    </row>
    <row r="1176" spans="1:16">
      <c r="A1176" s="139">
        <v>1175</v>
      </c>
      <c r="B1176" s="36" t="s">
        <v>15920</v>
      </c>
      <c r="C1176" s="36" t="s">
        <v>15921</v>
      </c>
      <c r="D1176" s="36" t="s">
        <v>9177</v>
      </c>
      <c r="E1176" s="36" t="s">
        <v>9178</v>
      </c>
      <c r="F1176" s="36" t="s">
        <v>15922</v>
      </c>
      <c r="G1176" s="36" t="s">
        <v>9180</v>
      </c>
      <c r="H1176" s="36" t="s">
        <v>15923</v>
      </c>
      <c r="I1176" s="36" t="s">
        <v>9182</v>
      </c>
      <c r="J1176" s="36" t="s">
        <v>9183</v>
      </c>
      <c r="K1176" s="36" t="s">
        <v>9184</v>
      </c>
      <c r="L1176" s="36" t="s">
        <v>9185</v>
      </c>
      <c r="M1176" s="36" t="s">
        <v>9186</v>
      </c>
      <c r="N1176" s="36" t="s">
        <v>9187</v>
      </c>
      <c r="O1176" s="36" t="s">
        <v>15924</v>
      </c>
      <c r="P1176" s="36" t="s">
        <v>15920</v>
      </c>
    </row>
    <row r="1177" spans="1:16">
      <c r="A1177" s="139">
        <v>1176</v>
      </c>
      <c r="B1177" s="36" t="s">
        <v>15925</v>
      </c>
      <c r="C1177" s="36" t="s">
        <v>15926</v>
      </c>
      <c r="D1177" s="36" t="s">
        <v>15927</v>
      </c>
      <c r="E1177" s="36" t="s">
        <v>15928</v>
      </c>
      <c r="F1177" s="36" t="s">
        <v>15929</v>
      </c>
      <c r="G1177" s="36" t="s">
        <v>15930</v>
      </c>
      <c r="H1177" s="36" t="s">
        <v>15931</v>
      </c>
      <c r="I1177" s="36" t="s">
        <v>15932</v>
      </c>
      <c r="J1177" s="36" t="s">
        <v>15933</v>
      </c>
      <c r="K1177" s="36" t="s">
        <v>15934</v>
      </c>
      <c r="L1177" s="36" t="s">
        <v>15935</v>
      </c>
      <c r="M1177" s="36" t="s">
        <v>15936</v>
      </c>
      <c r="N1177" s="36" t="s">
        <v>15937</v>
      </c>
      <c r="O1177" s="36" t="s">
        <v>15938</v>
      </c>
      <c r="P1177" s="36" t="s">
        <v>15925</v>
      </c>
    </row>
    <row r="1178" spans="1:16">
      <c r="A1178" s="139">
        <v>1177</v>
      </c>
      <c r="B1178" s="36" t="s">
        <v>15939</v>
      </c>
      <c r="C1178" s="36" t="s">
        <v>15939</v>
      </c>
      <c r="D1178" s="36" t="s">
        <v>15940</v>
      </c>
      <c r="E1178" s="36" t="s">
        <v>15941</v>
      </c>
      <c r="F1178" s="36" t="s">
        <v>15942</v>
      </c>
      <c r="G1178" s="36" t="s">
        <v>15943</v>
      </c>
      <c r="H1178" s="36" t="s">
        <v>15944</v>
      </c>
      <c r="I1178" s="36" t="s">
        <v>15945</v>
      </c>
      <c r="J1178" s="36" t="s">
        <v>15946</v>
      </c>
      <c r="K1178" s="36" t="s">
        <v>15947</v>
      </c>
      <c r="L1178" s="36" t="s">
        <v>15939</v>
      </c>
      <c r="M1178" s="36" t="s">
        <v>15939</v>
      </c>
      <c r="N1178" s="36" t="s">
        <v>15948</v>
      </c>
      <c r="O1178" s="36" t="s">
        <v>15947</v>
      </c>
      <c r="P1178" s="36" t="s">
        <v>15939</v>
      </c>
    </row>
    <row r="1179" spans="1:16">
      <c r="A1179" s="139">
        <v>1178</v>
      </c>
      <c r="B1179" s="36" t="s">
        <v>15949</v>
      </c>
      <c r="C1179" s="36" t="s">
        <v>15950</v>
      </c>
      <c r="D1179" s="36" t="s">
        <v>15951</v>
      </c>
      <c r="E1179" s="36" t="s">
        <v>15952</v>
      </c>
      <c r="F1179" s="36" t="s">
        <v>15953</v>
      </c>
      <c r="G1179" s="36" t="s">
        <v>15954</v>
      </c>
      <c r="H1179" s="36" t="s">
        <v>15955</v>
      </c>
      <c r="I1179" s="36" t="s">
        <v>15956</v>
      </c>
      <c r="J1179" s="36" t="s">
        <v>15957</v>
      </c>
      <c r="K1179" s="36" t="s">
        <v>15958</v>
      </c>
      <c r="L1179" s="36" t="s">
        <v>15959</v>
      </c>
      <c r="M1179" s="36" t="s">
        <v>15960</v>
      </c>
      <c r="N1179" s="36" t="s">
        <v>15961</v>
      </c>
      <c r="O1179" s="36" t="s">
        <v>15962</v>
      </c>
      <c r="P1179" s="36" t="s">
        <v>15949</v>
      </c>
    </row>
    <row r="1180" spans="1:16">
      <c r="A1180" s="139">
        <v>1179</v>
      </c>
      <c r="B1180" s="36" t="s">
        <v>15963</v>
      </c>
      <c r="C1180" s="36" t="s">
        <v>15964</v>
      </c>
      <c r="D1180" s="36" t="s">
        <v>15965</v>
      </c>
      <c r="E1180" s="36" t="s">
        <v>15966</v>
      </c>
      <c r="F1180" s="36" t="s">
        <v>15967</v>
      </c>
      <c r="G1180" s="36" t="s">
        <v>15968</v>
      </c>
      <c r="H1180" s="36" t="s">
        <v>15969</v>
      </c>
      <c r="I1180" s="36" t="s">
        <v>15970</v>
      </c>
      <c r="J1180" s="36" t="s">
        <v>15971</v>
      </c>
      <c r="K1180" s="36" t="s">
        <v>15972</v>
      </c>
      <c r="L1180" s="36" t="s">
        <v>15973</v>
      </c>
      <c r="M1180" s="36" t="s">
        <v>15974</v>
      </c>
      <c r="N1180" s="36" t="s">
        <v>15975</v>
      </c>
      <c r="O1180" s="36" t="s">
        <v>15976</v>
      </c>
      <c r="P1180" s="36" t="s">
        <v>15963</v>
      </c>
    </row>
    <row r="1181" spans="1:16">
      <c r="A1181" s="139">
        <v>1180</v>
      </c>
      <c r="B1181" s="36" t="s">
        <v>15977</v>
      </c>
      <c r="C1181" s="36" t="s">
        <v>15978</v>
      </c>
      <c r="D1181" s="36" t="s">
        <v>15979</v>
      </c>
      <c r="E1181" s="36" t="s">
        <v>15980</v>
      </c>
      <c r="F1181" s="36" t="s">
        <v>15981</v>
      </c>
      <c r="G1181" s="36" t="s">
        <v>15982</v>
      </c>
      <c r="H1181" s="36" t="s">
        <v>15983</v>
      </c>
      <c r="I1181" s="36" t="s">
        <v>15984</v>
      </c>
      <c r="J1181" s="36" t="s">
        <v>15985</v>
      </c>
      <c r="K1181" s="36" t="s">
        <v>15986</v>
      </c>
      <c r="L1181" s="36" t="s">
        <v>15987</v>
      </c>
      <c r="M1181" s="36" t="s">
        <v>15988</v>
      </c>
      <c r="N1181" s="36" t="s">
        <v>15989</v>
      </c>
      <c r="O1181" s="36" t="s">
        <v>15990</v>
      </c>
      <c r="P1181" s="36" t="s">
        <v>15977</v>
      </c>
    </row>
    <row r="1182" spans="1:16">
      <c r="A1182" s="139">
        <v>1181</v>
      </c>
      <c r="B1182" s="36" t="s">
        <v>15991</v>
      </c>
      <c r="C1182" s="36" t="s">
        <v>15992</v>
      </c>
      <c r="D1182" s="36" t="s">
        <v>15993</v>
      </c>
      <c r="E1182" s="36" t="s">
        <v>15994</v>
      </c>
      <c r="F1182" s="36" t="s">
        <v>15995</v>
      </c>
      <c r="G1182" s="36" t="s">
        <v>15996</v>
      </c>
      <c r="H1182" s="36" t="s">
        <v>15997</v>
      </c>
      <c r="I1182" s="36" t="s">
        <v>15998</v>
      </c>
      <c r="J1182" s="36" t="s">
        <v>15999</v>
      </c>
      <c r="K1182" s="36" t="s">
        <v>16000</v>
      </c>
      <c r="L1182" s="36" t="s">
        <v>15939</v>
      </c>
      <c r="M1182" s="36" t="s">
        <v>16001</v>
      </c>
      <c r="N1182" s="36" t="s">
        <v>16002</v>
      </c>
      <c r="O1182" s="36" t="s">
        <v>16003</v>
      </c>
      <c r="P1182" s="36" t="s">
        <v>15991</v>
      </c>
    </row>
    <row r="1183" spans="1:16" ht="16.2">
      <c r="A1183" s="139">
        <v>1182</v>
      </c>
      <c r="B1183" s="36" t="s">
        <v>16004</v>
      </c>
      <c r="C1183" s="36" t="s">
        <v>16005</v>
      </c>
      <c r="D1183" s="36" t="s">
        <v>16006</v>
      </c>
      <c r="E1183" s="36" t="s">
        <v>16007</v>
      </c>
      <c r="F1183" s="36" t="s">
        <v>16008</v>
      </c>
      <c r="G1183" s="36" t="s">
        <v>16009</v>
      </c>
      <c r="H1183" s="36" t="s">
        <v>16010</v>
      </c>
      <c r="I1183" s="36" t="s">
        <v>16011</v>
      </c>
      <c r="J1183" s="36" t="s">
        <v>16012</v>
      </c>
      <c r="K1183" s="36" t="s">
        <v>16013</v>
      </c>
      <c r="L1183" s="36" t="s">
        <v>16014</v>
      </c>
      <c r="M1183" s="36" t="s">
        <v>16015</v>
      </c>
      <c r="N1183" s="36" t="s">
        <v>16016</v>
      </c>
      <c r="O1183" s="36" t="s">
        <v>16017</v>
      </c>
      <c r="P1183" s="36" t="s">
        <v>16004</v>
      </c>
    </row>
    <row r="1184" spans="1:16" ht="16.2">
      <c r="A1184" s="139">
        <v>1183</v>
      </c>
      <c r="B1184" s="36" t="s">
        <v>16018</v>
      </c>
      <c r="C1184" s="36" t="s">
        <v>16019</v>
      </c>
      <c r="D1184" s="36" t="s">
        <v>16020</v>
      </c>
      <c r="E1184" s="36" t="s">
        <v>16021</v>
      </c>
      <c r="F1184" s="36" t="s">
        <v>16022</v>
      </c>
      <c r="G1184" s="36" t="s">
        <v>16023</v>
      </c>
      <c r="H1184" s="36" t="s">
        <v>16024</v>
      </c>
      <c r="I1184" s="36" t="s">
        <v>16025</v>
      </c>
      <c r="J1184" s="36" t="s">
        <v>16026</v>
      </c>
      <c r="K1184" s="36" t="s">
        <v>16027</v>
      </c>
      <c r="L1184" s="36" t="s">
        <v>16028</v>
      </c>
      <c r="M1184" s="36" t="s">
        <v>16029</v>
      </c>
      <c r="N1184" s="36" t="s">
        <v>16030</v>
      </c>
      <c r="O1184" s="36" t="s">
        <v>16031</v>
      </c>
      <c r="P1184" s="36" t="s">
        <v>16018</v>
      </c>
    </row>
    <row r="1185" spans="1:16">
      <c r="A1185" s="139">
        <v>1184</v>
      </c>
      <c r="B1185" s="36" t="s">
        <v>16032</v>
      </c>
      <c r="C1185" s="36" t="s">
        <v>16033</v>
      </c>
      <c r="D1185" s="36" t="s">
        <v>16034</v>
      </c>
      <c r="E1185" s="36" t="s">
        <v>16035</v>
      </c>
      <c r="F1185" s="36" t="s">
        <v>16033</v>
      </c>
      <c r="G1185" s="36" t="s">
        <v>16033</v>
      </c>
      <c r="H1185" s="36" t="s">
        <v>16033</v>
      </c>
      <c r="I1185" s="36" t="s">
        <v>16033</v>
      </c>
      <c r="J1185" s="36" t="s">
        <v>16033</v>
      </c>
      <c r="K1185" s="36" t="s">
        <v>16036</v>
      </c>
      <c r="L1185" s="36" t="s">
        <v>16037</v>
      </c>
      <c r="M1185" s="36" t="s">
        <v>16038</v>
      </c>
      <c r="N1185" s="36" t="s">
        <v>16033</v>
      </c>
      <c r="O1185" s="36" t="s">
        <v>16033</v>
      </c>
      <c r="P1185" s="36" t="s">
        <v>16032</v>
      </c>
    </row>
    <row r="1186" spans="1:16">
      <c r="A1186" s="139">
        <v>1185</v>
      </c>
      <c r="B1186" s="36" t="s">
        <v>16039</v>
      </c>
      <c r="C1186" s="36" t="s">
        <v>16040</v>
      </c>
      <c r="D1186" s="36" t="s">
        <v>16041</v>
      </c>
      <c r="E1186" s="36" t="s">
        <v>16042</v>
      </c>
      <c r="F1186" s="36" t="s">
        <v>16040</v>
      </c>
      <c r="G1186" s="36" t="s">
        <v>16040</v>
      </c>
      <c r="H1186" s="36" t="s">
        <v>16040</v>
      </c>
      <c r="I1186" s="36" t="s">
        <v>16040</v>
      </c>
      <c r="J1186" s="36" t="s">
        <v>16040</v>
      </c>
      <c r="K1186" s="36" t="s">
        <v>16043</v>
      </c>
      <c r="L1186" s="36" t="s">
        <v>16044</v>
      </c>
      <c r="M1186" s="36" t="s">
        <v>16045</v>
      </c>
      <c r="N1186" s="36" t="s">
        <v>16040</v>
      </c>
      <c r="O1186" s="36" t="s">
        <v>16040</v>
      </c>
      <c r="P1186" s="36" t="s">
        <v>16039</v>
      </c>
    </row>
    <row r="1187" spans="1:16">
      <c r="A1187" s="139">
        <v>1186</v>
      </c>
      <c r="B1187" s="36" t="s">
        <v>16046</v>
      </c>
      <c r="C1187" s="36" t="s">
        <v>6946</v>
      </c>
      <c r="D1187" s="36" t="s">
        <v>3790</v>
      </c>
      <c r="E1187" s="36" t="s">
        <v>16047</v>
      </c>
      <c r="F1187" s="36" t="s">
        <v>16048</v>
      </c>
      <c r="G1187" s="36" t="s">
        <v>16049</v>
      </c>
      <c r="H1187" s="36" t="s">
        <v>16050</v>
      </c>
      <c r="I1187" s="36" t="s">
        <v>16051</v>
      </c>
      <c r="J1187" s="36" t="s">
        <v>16052</v>
      </c>
      <c r="K1187" s="36" t="s">
        <v>16053</v>
      </c>
      <c r="L1187" s="36" t="s">
        <v>6954</v>
      </c>
      <c r="M1187" s="36" t="s">
        <v>16054</v>
      </c>
      <c r="N1187" s="36" t="s">
        <v>16055</v>
      </c>
      <c r="O1187" s="36" t="s">
        <v>6957</v>
      </c>
      <c r="P1187" s="36" t="s">
        <v>16046</v>
      </c>
    </row>
    <row r="1188" spans="1:16">
      <c r="A1188" s="139">
        <v>1187</v>
      </c>
      <c r="B1188" s="36" t="s">
        <v>16056</v>
      </c>
      <c r="C1188" s="36" t="s">
        <v>16057</v>
      </c>
      <c r="D1188" s="36" t="s">
        <v>16058</v>
      </c>
      <c r="E1188" s="36" t="s">
        <v>16059</v>
      </c>
      <c r="F1188" s="36" t="s">
        <v>16060</v>
      </c>
      <c r="G1188" s="36" t="s">
        <v>16061</v>
      </c>
      <c r="H1188" s="36" t="s">
        <v>16062</v>
      </c>
      <c r="I1188" s="36" t="s">
        <v>16063</v>
      </c>
      <c r="J1188" s="36" t="s">
        <v>16064</v>
      </c>
      <c r="K1188" s="36" t="s">
        <v>16065</v>
      </c>
      <c r="L1188" s="36" t="s">
        <v>16066</v>
      </c>
      <c r="M1188" s="36" t="s">
        <v>16067</v>
      </c>
      <c r="N1188" s="36" t="s">
        <v>16068</v>
      </c>
      <c r="O1188" s="36" t="s">
        <v>16069</v>
      </c>
      <c r="P1188" s="36" t="s">
        <v>16056</v>
      </c>
    </row>
    <row r="1189" spans="1:16">
      <c r="A1189" s="139">
        <v>1188</v>
      </c>
      <c r="B1189" s="36" t="s">
        <v>16070</v>
      </c>
      <c r="C1189" s="36" t="s">
        <v>16071</v>
      </c>
      <c r="D1189" s="36" t="s">
        <v>16072</v>
      </c>
      <c r="E1189" s="36" t="s">
        <v>16073</v>
      </c>
      <c r="F1189" s="36" t="s">
        <v>16074</v>
      </c>
      <c r="G1189" s="36" t="s">
        <v>16075</v>
      </c>
      <c r="H1189" s="36" t="s">
        <v>16076</v>
      </c>
      <c r="I1189" s="36" t="s">
        <v>16077</v>
      </c>
      <c r="J1189" s="36" t="s">
        <v>16078</v>
      </c>
      <c r="K1189" s="36" t="s">
        <v>16079</v>
      </c>
      <c r="L1189" s="36" t="s">
        <v>16080</v>
      </c>
      <c r="M1189" s="36" t="s">
        <v>16081</v>
      </c>
      <c r="N1189" s="36" t="s">
        <v>16082</v>
      </c>
      <c r="O1189" s="36" t="s">
        <v>16083</v>
      </c>
      <c r="P1189" s="36" t="s">
        <v>16070</v>
      </c>
    </row>
    <row r="1190" spans="1:16">
      <c r="A1190" s="139">
        <v>1189</v>
      </c>
      <c r="B1190" s="36" t="s">
        <v>16084</v>
      </c>
      <c r="C1190" s="36" t="s">
        <v>16085</v>
      </c>
      <c r="D1190" s="36" t="s">
        <v>16086</v>
      </c>
      <c r="E1190" s="36" t="s">
        <v>16087</v>
      </c>
      <c r="F1190" s="36" t="s">
        <v>16088</v>
      </c>
      <c r="G1190" s="36" t="s">
        <v>16089</v>
      </c>
      <c r="H1190" s="36" t="s">
        <v>16090</v>
      </c>
      <c r="I1190" s="36" t="s">
        <v>16091</v>
      </c>
      <c r="J1190" s="36" t="s">
        <v>16092</v>
      </c>
      <c r="K1190" s="36" t="s">
        <v>16093</v>
      </c>
      <c r="L1190" s="36" t="s">
        <v>16094</v>
      </c>
      <c r="M1190" s="36" t="s">
        <v>16095</v>
      </c>
      <c r="N1190" s="36" t="s">
        <v>16096</v>
      </c>
      <c r="O1190" s="36" t="s">
        <v>16097</v>
      </c>
      <c r="P1190" s="36" t="s">
        <v>16084</v>
      </c>
    </row>
    <row r="1191" spans="1:16">
      <c r="A1191" s="139">
        <v>1190</v>
      </c>
      <c r="B1191" s="36" t="s">
        <v>16098</v>
      </c>
      <c r="C1191" s="36" t="s">
        <v>16099</v>
      </c>
      <c r="D1191" s="36" t="s">
        <v>16100</v>
      </c>
      <c r="E1191" s="36" t="s">
        <v>16101</v>
      </c>
      <c r="F1191" s="36" t="s">
        <v>16102</v>
      </c>
      <c r="G1191" s="36" t="s">
        <v>16103</v>
      </c>
      <c r="H1191" s="36" t="s">
        <v>16104</v>
      </c>
      <c r="I1191" s="36" t="s">
        <v>16105</v>
      </c>
      <c r="J1191" s="36" t="s">
        <v>16106</v>
      </c>
      <c r="K1191" s="36" t="s">
        <v>16107</v>
      </c>
      <c r="L1191" s="36" t="s">
        <v>16108</v>
      </c>
      <c r="M1191" s="36" t="s">
        <v>16109</v>
      </c>
      <c r="N1191" s="36" t="s">
        <v>16110</v>
      </c>
      <c r="O1191" s="36" t="s">
        <v>16111</v>
      </c>
      <c r="P1191" s="36" t="s">
        <v>16098</v>
      </c>
    </row>
    <row r="1192" spans="1:16">
      <c r="A1192" s="139">
        <v>1191</v>
      </c>
      <c r="B1192" s="36" t="s">
        <v>16112</v>
      </c>
      <c r="C1192" s="36" t="s">
        <v>16113</v>
      </c>
      <c r="D1192" s="36" t="s">
        <v>16114</v>
      </c>
      <c r="E1192" s="36" t="s">
        <v>16115</v>
      </c>
      <c r="F1192" s="36" t="s">
        <v>16116</v>
      </c>
      <c r="G1192" s="36" t="s">
        <v>16117</v>
      </c>
      <c r="H1192" s="36" t="s">
        <v>16118</v>
      </c>
      <c r="I1192" s="36" t="s">
        <v>16119</v>
      </c>
      <c r="J1192" s="36" t="s">
        <v>16120</v>
      </c>
      <c r="K1192" s="36" t="s">
        <v>16121</v>
      </c>
      <c r="L1192" s="36" t="s">
        <v>16122</v>
      </c>
      <c r="M1192" s="36" t="s">
        <v>16123</v>
      </c>
      <c r="N1192" s="36" t="s">
        <v>16124</v>
      </c>
      <c r="O1192" s="36" t="s">
        <v>16125</v>
      </c>
      <c r="P1192" s="36" t="s">
        <v>16112</v>
      </c>
    </row>
    <row r="1193" spans="1:16">
      <c r="A1193" s="139">
        <v>1192</v>
      </c>
      <c r="B1193" s="36" t="s">
        <v>16126</v>
      </c>
      <c r="C1193" s="36">
        <v>41</v>
      </c>
      <c r="D1193" s="36">
        <v>41</v>
      </c>
      <c r="E1193" s="36">
        <v>41</v>
      </c>
      <c r="F1193" s="36">
        <v>41</v>
      </c>
      <c r="G1193" s="36">
        <v>41</v>
      </c>
      <c r="H1193" s="36">
        <v>41</v>
      </c>
      <c r="I1193" s="36">
        <v>41</v>
      </c>
      <c r="J1193" s="36">
        <v>41</v>
      </c>
      <c r="K1193" s="36">
        <v>41</v>
      </c>
      <c r="L1193" s="36">
        <v>41</v>
      </c>
      <c r="M1193" s="36">
        <v>41</v>
      </c>
      <c r="N1193" s="36">
        <v>41</v>
      </c>
      <c r="O1193" s="36">
        <v>41</v>
      </c>
      <c r="P1193" s="36" t="s">
        <v>16126</v>
      </c>
    </row>
    <row r="1194" spans="1:16">
      <c r="A1194" s="139">
        <v>1193</v>
      </c>
      <c r="B1194" s="36" t="s">
        <v>16127</v>
      </c>
      <c r="C1194" s="36">
        <v>150</v>
      </c>
      <c r="D1194" s="36">
        <v>150</v>
      </c>
      <c r="E1194" s="36">
        <v>150</v>
      </c>
      <c r="F1194" s="36">
        <v>150</v>
      </c>
      <c r="G1194" s="36">
        <v>150</v>
      </c>
      <c r="H1194" s="36">
        <v>150</v>
      </c>
      <c r="I1194" s="36">
        <v>150</v>
      </c>
      <c r="J1194" s="36">
        <v>150</v>
      </c>
      <c r="K1194" s="36">
        <v>150</v>
      </c>
      <c r="L1194" s="36">
        <v>150</v>
      </c>
      <c r="M1194" s="36">
        <v>150</v>
      </c>
      <c r="N1194" s="36">
        <v>150</v>
      </c>
      <c r="O1194" s="36">
        <v>150</v>
      </c>
      <c r="P1194" s="36" t="s">
        <v>16127</v>
      </c>
    </row>
    <row r="1195" spans="1:16">
      <c r="A1195" s="139">
        <v>1194</v>
      </c>
      <c r="B1195" s="36" t="s">
        <v>16128</v>
      </c>
      <c r="C1195" s="36" t="s">
        <v>16129</v>
      </c>
      <c r="D1195" s="36" t="s">
        <v>16129</v>
      </c>
      <c r="E1195" s="36" t="s">
        <v>16130</v>
      </c>
      <c r="F1195" s="36" t="s">
        <v>16131</v>
      </c>
      <c r="G1195" s="36" t="s">
        <v>16132</v>
      </c>
      <c r="H1195" s="36" t="s">
        <v>16133</v>
      </c>
      <c r="I1195" s="36" t="s">
        <v>16134</v>
      </c>
      <c r="J1195" s="36" t="s">
        <v>16135</v>
      </c>
      <c r="K1195" s="36" t="s">
        <v>16134</v>
      </c>
      <c r="L1195" s="36" t="s">
        <v>16136</v>
      </c>
      <c r="M1195" s="36" t="s">
        <v>16137</v>
      </c>
      <c r="N1195" s="36" t="s">
        <v>16138</v>
      </c>
      <c r="O1195" s="36" t="s">
        <v>16139</v>
      </c>
      <c r="P1195" s="36" t="s">
        <v>16128</v>
      </c>
    </row>
    <row r="1196" spans="1:16">
      <c r="A1196" s="139">
        <v>1195</v>
      </c>
      <c r="B1196" s="36" t="s">
        <v>16140</v>
      </c>
      <c r="C1196" s="36" t="s">
        <v>16141</v>
      </c>
      <c r="D1196" s="36" t="s">
        <v>16141</v>
      </c>
      <c r="E1196" s="36" t="s">
        <v>16142</v>
      </c>
      <c r="F1196" s="36" t="s">
        <v>16143</v>
      </c>
      <c r="G1196" s="36" t="s">
        <v>16144</v>
      </c>
      <c r="H1196" s="36" t="s">
        <v>16145</v>
      </c>
      <c r="I1196" s="36" t="s">
        <v>16146</v>
      </c>
      <c r="J1196" s="36" t="s">
        <v>16147</v>
      </c>
      <c r="K1196" s="36" t="s">
        <v>16146</v>
      </c>
      <c r="L1196" s="36" t="s">
        <v>16148</v>
      </c>
      <c r="M1196" s="36" t="s">
        <v>16149</v>
      </c>
      <c r="N1196" s="36" t="s">
        <v>16150</v>
      </c>
      <c r="O1196" s="36" t="s">
        <v>16151</v>
      </c>
      <c r="P1196" s="36" t="s">
        <v>16140</v>
      </c>
    </row>
    <row r="1197" spans="1:16">
      <c r="A1197" s="139">
        <v>1196</v>
      </c>
      <c r="B1197" s="36" t="s">
        <v>16152</v>
      </c>
      <c r="C1197" s="36" t="s">
        <v>16153</v>
      </c>
      <c r="D1197" s="36" t="s">
        <v>16153</v>
      </c>
      <c r="E1197" s="36" t="s">
        <v>16154</v>
      </c>
      <c r="F1197" s="36" t="s">
        <v>16155</v>
      </c>
      <c r="G1197" s="36" t="s">
        <v>16156</v>
      </c>
      <c r="H1197" s="36" t="s">
        <v>16157</v>
      </c>
      <c r="I1197" s="36" t="s">
        <v>16158</v>
      </c>
      <c r="J1197" s="36" t="s">
        <v>16159</v>
      </c>
      <c r="K1197" s="36" t="s">
        <v>16158</v>
      </c>
      <c r="L1197" s="36" t="s">
        <v>16160</v>
      </c>
      <c r="M1197" s="36" t="s">
        <v>16161</v>
      </c>
      <c r="N1197" s="36" t="s">
        <v>16162</v>
      </c>
      <c r="O1197" s="36" t="s">
        <v>16163</v>
      </c>
      <c r="P1197" s="36" t="s">
        <v>16152</v>
      </c>
    </row>
    <row r="1198" spans="1:16">
      <c r="A1198" s="139">
        <v>1197</v>
      </c>
      <c r="B1198" s="36" t="s">
        <v>16164</v>
      </c>
      <c r="C1198" s="36" t="s">
        <v>16165</v>
      </c>
      <c r="D1198" s="36" t="s">
        <v>16165</v>
      </c>
      <c r="E1198" s="36" t="s">
        <v>16166</v>
      </c>
      <c r="F1198" s="36" t="s">
        <v>16167</v>
      </c>
      <c r="G1198" s="36" t="s">
        <v>16168</v>
      </c>
      <c r="H1198" s="36" t="s">
        <v>16169</v>
      </c>
      <c r="I1198" s="36" t="s">
        <v>16170</v>
      </c>
      <c r="J1198" s="36" t="s">
        <v>16171</v>
      </c>
      <c r="K1198" s="36" t="s">
        <v>16170</v>
      </c>
      <c r="L1198" s="36" t="s">
        <v>16172</v>
      </c>
      <c r="M1198" s="36" t="s">
        <v>16173</v>
      </c>
      <c r="N1198" s="36" t="s">
        <v>16174</v>
      </c>
      <c r="O1198" s="36" t="s">
        <v>16175</v>
      </c>
      <c r="P1198" s="36" t="s">
        <v>16164</v>
      </c>
    </row>
    <row r="1199" spans="1:16">
      <c r="A1199" s="139">
        <v>1198</v>
      </c>
      <c r="B1199" s="36" t="s">
        <v>16176</v>
      </c>
      <c r="C1199" s="36" t="s">
        <v>16177</v>
      </c>
      <c r="D1199" s="36" t="s">
        <v>16177</v>
      </c>
      <c r="E1199" s="36" t="s">
        <v>16178</v>
      </c>
      <c r="F1199" s="36" t="s">
        <v>16179</v>
      </c>
      <c r="G1199" s="36" t="s">
        <v>16180</v>
      </c>
      <c r="H1199" s="36" t="s">
        <v>16181</v>
      </c>
      <c r="I1199" s="36" t="s">
        <v>16182</v>
      </c>
      <c r="J1199" s="36" t="s">
        <v>16183</v>
      </c>
      <c r="K1199" s="36" t="s">
        <v>16182</v>
      </c>
      <c r="L1199" s="36" t="s">
        <v>16184</v>
      </c>
      <c r="M1199" s="36" t="s">
        <v>16185</v>
      </c>
      <c r="N1199" s="36" t="s">
        <v>16186</v>
      </c>
      <c r="O1199" s="36" t="s">
        <v>16187</v>
      </c>
      <c r="P1199" s="36" t="s">
        <v>16176</v>
      </c>
    </row>
    <row r="1200" spans="1:16">
      <c r="A1200" s="139">
        <v>1199</v>
      </c>
      <c r="B1200" s="36" t="s">
        <v>16188</v>
      </c>
      <c r="C1200" s="36" t="s">
        <v>16189</v>
      </c>
      <c r="D1200" s="36" t="s">
        <v>16189</v>
      </c>
      <c r="E1200" s="36" t="s">
        <v>16190</v>
      </c>
      <c r="F1200" s="36" t="s">
        <v>16191</v>
      </c>
      <c r="G1200" s="36" t="s">
        <v>16192</v>
      </c>
      <c r="H1200" s="36" t="s">
        <v>16193</v>
      </c>
      <c r="I1200" s="36" t="s">
        <v>16194</v>
      </c>
      <c r="J1200" s="36" t="s">
        <v>16195</v>
      </c>
      <c r="K1200" s="36" t="s">
        <v>16194</v>
      </c>
      <c r="L1200" s="36" t="s">
        <v>16196</v>
      </c>
      <c r="M1200" s="36" t="s">
        <v>16197</v>
      </c>
      <c r="N1200" s="36" t="s">
        <v>16198</v>
      </c>
      <c r="O1200" s="36" t="s">
        <v>16199</v>
      </c>
      <c r="P1200" s="36" t="s">
        <v>16188</v>
      </c>
    </row>
    <row r="1201" spans="1:16">
      <c r="A1201" s="139">
        <v>1200</v>
      </c>
      <c r="B1201" s="36" t="s">
        <v>16200</v>
      </c>
      <c r="C1201" s="36" t="s">
        <v>16201</v>
      </c>
      <c r="D1201" s="36" t="s">
        <v>16201</v>
      </c>
      <c r="E1201" s="36" t="s">
        <v>16202</v>
      </c>
      <c r="F1201" s="36" t="s">
        <v>16203</v>
      </c>
      <c r="G1201" s="36" t="s">
        <v>16204</v>
      </c>
      <c r="H1201" s="36" t="s">
        <v>16205</v>
      </c>
      <c r="I1201" s="36" t="s">
        <v>16206</v>
      </c>
      <c r="J1201" s="36" t="s">
        <v>16207</v>
      </c>
      <c r="K1201" s="36" t="s">
        <v>16206</v>
      </c>
      <c r="L1201" s="36" t="s">
        <v>16208</v>
      </c>
      <c r="M1201" s="36" t="s">
        <v>16209</v>
      </c>
      <c r="N1201" s="36" t="s">
        <v>16210</v>
      </c>
      <c r="O1201" s="36" t="s">
        <v>16211</v>
      </c>
      <c r="P1201" s="36" t="s">
        <v>16200</v>
      </c>
    </row>
    <row r="1202" spans="1:16" ht="13.95" customHeight="1">
      <c r="A1202" s="139">
        <v>1201</v>
      </c>
      <c r="B1202" s="36" t="s">
        <v>16212</v>
      </c>
      <c r="C1202" s="36" t="s">
        <v>16213</v>
      </c>
      <c r="D1202" s="36" t="s">
        <v>16213</v>
      </c>
      <c r="E1202" s="36" t="s">
        <v>16214</v>
      </c>
      <c r="F1202" s="36" t="s">
        <v>16215</v>
      </c>
      <c r="G1202" s="36" t="s">
        <v>16216</v>
      </c>
      <c r="H1202" s="36" t="s">
        <v>16217</v>
      </c>
      <c r="I1202" s="36" t="s">
        <v>16218</v>
      </c>
      <c r="J1202" s="36" t="s">
        <v>16219</v>
      </c>
      <c r="K1202" s="36" t="s">
        <v>16218</v>
      </c>
      <c r="L1202" s="36" t="s">
        <v>16220</v>
      </c>
      <c r="M1202" s="36" t="s">
        <v>16221</v>
      </c>
      <c r="N1202" s="36" t="s">
        <v>16222</v>
      </c>
      <c r="O1202" s="36" t="s">
        <v>16223</v>
      </c>
      <c r="P1202" s="36" t="s">
        <v>16212</v>
      </c>
    </row>
    <row r="1203" spans="1:16" ht="13.95" customHeight="1">
      <c r="A1203" s="139">
        <v>1202</v>
      </c>
      <c r="B1203" s="36" t="s">
        <v>16224</v>
      </c>
      <c r="C1203" s="36" t="s">
        <v>16225</v>
      </c>
      <c r="D1203" s="36" t="s">
        <v>16225</v>
      </c>
      <c r="E1203" s="36" t="s">
        <v>16226</v>
      </c>
      <c r="F1203" s="36" t="s">
        <v>16227</v>
      </c>
      <c r="G1203" s="36" t="s">
        <v>16228</v>
      </c>
      <c r="H1203" s="36" t="s">
        <v>16229</v>
      </c>
      <c r="I1203" s="36" t="s">
        <v>16230</v>
      </c>
      <c r="J1203" s="36" t="s">
        <v>16231</v>
      </c>
      <c r="K1203" s="36" t="s">
        <v>16230</v>
      </c>
      <c r="L1203" s="36" t="s">
        <v>16232</v>
      </c>
      <c r="M1203" s="36" t="s">
        <v>16233</v>
      </c>
      <c r="N1203" s="36" t="s">
        <v>16234</v>
      </c>
      <c r="O1203" s="36" t="s">
        <v>16235</v>
      </c>
      <c r="P1203" s="36" t="s">
        <v>16224</v>
      </c>
    </row>
    <row r="1204" spans="1:16" ht="13.95" customHeight="1">
      <c r="A1204" s="139">
        <v>1203</v>
      </c>
      <c r="B1204" s="36" t="s">
        <v>16236</v>
      </c>
      <c r="C1204" s="36" t="s">
        <v>16237</v>
      </c>
      <c r="D1204" s="36" t="s">
        <v>16237</v>
      </c>
      <c r="E1204" s="36" t="s">
        <v>16238</v>
      </c>
      <c r="F1204" s="36" t="s">
        <v>16239</v>
      </c>
      <c r="G1204" s="36" t="s">
        <v>16240</v>
      </c>
      <c r="H1204" s="36" t="s">
        <v>16241</v>
      </c>
      <c r="I1204" s="36" t="s">
        <v>16242</v>
      </c>
      <c r="J1204" s="36" t="s">
        <v>16243</v>
      </c>
      <c r="K1204" s="36" t="s">
        <v>16242</v>
      </c>
      <c r="L1204" s="36" t="s">
        <v>16244</v>
      </c>
      <c r="M1204" s="36" t="s">
        <v>16245</v>
      </c>
      <c r="N1204" s="36" t="s">
        <v>16246</v>
      </c>
      <c r="O1204" s="36" t="s">
        <v>16247</v>
      </c>
      <c r="P1204" s="36" t="s">
        <v>16236</v>
      </c>
    </row>
    <row r="1205" spans="1:16">
      <c r="A1205" s="139">
        <v>1204</v>
      </c>
      <c r="B1205" s="36" t="s">
        <v>16248</v>
      </c>
      <c r="C1205" s="36" t="s">
        <v>16249</v>
      </c>
      <c r="D1205" s="36" t="s">
        <v>16249</v>
      </c>
      <c r="E1205" s="36" t="s">
        <v>16250</v>
      </c>
      <c r="F1205" s="36" t="s">
        <v>16251</v>
      </c>
      <c r="G1205" s="36" t="s">
        <v>16252</v>
      </c>
      <c r="H1205" s="36" t="s">
        <v>16253</v>
      </c>
      <c r="I1205" s="36" t="s">
        <v>16254</v>
      </c>
      <c r="J1205" s="36" t="s">
        <v>16255</v>
      </c>
      <c r="K1205" s="36" t="s">
        <v>16254</v>
      </c>
      <c r="L1205" s="36" t="s">
        <v>16256</v>
      </c>
      <c r="M1205" s="36" t="s">
        <v>16257</v>
      </c>
      <c r="N1205" s="36" t="s">
        <v>16258</v>
      </c>
      <c r="O1205" s="36" t="s">
        <v>16259</v>
      </c>
      <c r="P1205" s="36" t="s">
        <v>16248</v>
      </c>
    </row>
    <row r="1206" spans="1:16">
      <c r="A1206" s="139">
        <v>1205</v>
      </c>
      <c r="B1206" s="36" t="s">
        <v>16260</v>
      </c>
      <c r="C1206" s="36" t="s">
        <v>16261</v>
      </c>
      <c r="D1206" s="36" t="s">
        <v>16261</v>
      </c>
      <c r="E1206" s="36" t="s">
        <v>16262</v>
      </c>
      <c r="F1206" s="36" t="s">
        <v>16263</v>
      </c>
      <c r="G1206" s="36" t="s">
        <v>16264</v>
      </c>
      <c r="H1206" s="36" t="s">
        <v>16265</v>
      </c>
      <c r="I1206" s="36" t="s">
        <v>16266</v>
      </c>
      <c r="J1206" s="36" t="s">
        <v>16267</v>
      </c>
      <c r="K1206" s="36" t="s">
        <v>16266</v>
      </c>
      <c r="L1206" s="36" t="s">
        <v>16268</v>
      </c>
      <c r="M1206" s="36" t="s">
        <v>16269</v>
      </c>
      <c r="N1206" s="36" t="s">
        <v>16270</v>
      </c>
      <c r="O1206" s="36" t="s">
        <v>16271</v>
      </c>
      <c r="P1206" s="36" t="s">
        <v>16260</v>
      </c>
    </row>
    <row r="1207" spans="1:16">
      <c r="A1207" s="139">
        <v>1206</v>
      </c>
      <c r="B1207" s="36" t="s">
        <v>16272</v>
      </c>
      <c r="C1207" s="36" t="s">
        <v>16273</v>
      </c>
      <c r="D1207" s="36" t="s">
        <v>16273</v>
      </c>
      <c r="E1207" s="36" t="s">
        <v>16274</v>
      </c>
      <c r="F1207" s="36" t="s">
        <v>16275</v>
      </c>
      <c r="G1207" s="36" t="s">
        <v>16276</v>
      </c>
      <c r="H1207" s="36" t="s">
        <v>16277</v>
      </c>
      <c r="I1207" s="36" t="s">
        <v>16278</v>
      </c>
      <c r="J1207" s="36" t="s">
        <v>16279</v>
      </c>
      <c r="K1207" s="36" t="s">
        <v>16278</v>
      </c>
      <c r="L1207" s="36" t="s">
        <v>16280</v>
      </c>
      <c r="M1207" s="36" t="s">
        <v>16281</v>
      </c>
      <c r="N1207" s="36" t="s">
        <v>16282</v>
      </c>
      <c r="O1207" s="36" t="s">
        <v>16283</v>
      </c>
      <c r="P1207" s="36" t="s">
        <v>16272</v>
      </c>
    </row>
    <row r="1208" spans="1:16">
      <c r="A1208" s="139">
        <v>1207</v>
      </c>
      <c r="B1208" s="36" t="s">
        <v>16284</v>
      </c>
      <c r="C1208" s="36" t="s">
        <v>16285</v>
      </c>
      <c r="D1208" s="36" t="s">
        <v>16285</v>
      </c>
      <c r="E1208" s="36" t="s">
        <v>16286</v>
      </c>
      <c r="F1208" s="36" t="s">
        <v>16287</v>
      </c>
      <c r="G1208" s="36" t="s">
        <v>16288</v>
      </c>
      <c r="H1208" s="36" t="s">
        <v>16289</v>
      </c>
      <c r="I1208" s="36" t="s">
        <v>16290</v>
      </c>
      <c r="J1208" s="36" t="s">
        <v>16291</v>
      </c>
      <c r="K1208" s="36" t="s">
        <v>16290</v>
      </c>
      <c r="L1208" s="36" t="s">
        <v>16292</v>
      </c>
      <c r="M1208" s="36" t="s">
        <v>16293</v>
      </c>
      <c r="N1208" s="36" t="s">
        <v>16294</v>
      </c>
      <c r="O1208" s="36" t="s">
        <v>16295</v>
      </c>
      <c r="P1208" s="36" t="s">
        <v>16284</v>
      </c>
    </row>
    <row r="1209" spans="1:16">
      <c r="A1209" s="139">
        <v>1208</v>
      </c>
      <c r="B1209" s="36" t="s">
        <v>16296</v>
      </c>
      <c r="C1209" s="36" t="s">
        <v>16297</v>
      </c>
      <c r="D1209" s="36" t="s">
        <v>16297</v>
      </c>
      <c r="E1209" s="36" t="s">
        <v>16298</v>
      </c>
      <c r="F1209" s="36" t="s">
        <v>16299</v>
      </c>
      <c r="G1209" s="36" t="s">
        <v>16300</v>
      </c>
      <c r="H1209" s="36" t="s">
        <v>16301</v>
      </c>
      <c r="I1209" s="36" t="s">
        <v>16302</v>
      </c>
      <c r="J1209" s="36" t="s">
        <v>16303</v>
      </c>
      <c r="K1209" s="36" t="s">
        <v>16302</v>
      </c>
      <c r="L1209" s="36" t="s">
        <v>16304</v>
      </c>
      <c r="M1209" s="36" t="s">
        <v>16305</v>
      </c>
      <c r="N1209" s="36" t="s">
        <v>16306</v>
      </c>
      <c r="O1209" s="36" t="s">
        <v>16307</v>
      </c>
      <c r="P1209" s="36" t="s">
        <v>16296</v>
      </c>
    </row>
    <row r="1210" spans="1:16">
      <c r="A1210" s="139">
        <v>1209</v>
      </c>
      <c r="B1210" s="36" t="s">
        <v>16308</v>
      </c>
      <c r="C1210" s="36" t="s">
        <v>16309</v>
      </c>
      <c r="D1210" s="36" t="s">
        <v>16309</v>
      </c>
      <c r="E1210" s="36" t="s">
        <v>16310</v>
      </c>
      <c r="F1210" s="36" t="s">
        <v>16311</v>
      </c>
      <c r="G1210" s="36" t="s">
        <v>16312</v>
      </c>
      <c r="H1210" s="36" t="s">
        <v>16313</v>
      </c>
      <c r="I1210" s="36" t="s">
        <v>16314</v>
      </c>
      <c r="J1210" s="36" t="s">
        <v>16315</v>
      </c>
      <c r="K1210" s="36" t="s">
        <v>16314</v>
      </c>
      <c r="L1210" s="36" t="s">
        <v>16316</v>
      </c>
      <c r="M1210" s="36" t="s">
        <v>16317</v>
      </c>
      <c r="N1210" s="36" t="s">
        <v>16318</v>
      </c>
      <c r="O1210" s="36" t="s">
        <v>16319</v>
      </c>
      <c r="P1210" s="36" t="s">
        <v>16308</v>
      </c>
    </row>
    <row r="1211" spans="1:16">
      <c r="A1211" s="139">
        <v>1210</v>
      </c>
      <c r="B1211" s="36" t="s">
        <v>16320</v>
      </c>
      <c r="C1211" s="36" t="s">
        <v>16321</v>
      </c>
      <c r="D1211" s="36" t="s">
        <v>16321</v>
      </c>
      <c r="E1211" s="36" t="s">
        <v>16322</v>
      </c>
      <c r="F1211" s="36" t="s">
        <v>16323</v>
      </c>
      <c r="G1211" s="36" t="s">
        <v>16324</v>
      </c>
      <c r="H1211" s="36" t="s">
        <v>16325</v>
      </c>
      <c r="I1211" s="36" t="s">
        <v>16326</v>
      </c>
      <c r="J1211" s="36" t="s">
        <v>16327</v>
      </c>
      <c r="K1211" s="36" t="s">
        <v>16326</v>
      </c>
      <c r="L1211" s="36" t="s">
        <v>16328</v>
      </c>
      <c r="M1211" s="36" t="s">
        <v>16329</v>
      </c>
      <c r="N1211" s="36" t="s">
        <v>16330</v>
      </c>
      <c r="O1211" s="36" t="s">
        <v>16331</v>
      </c>
      <c r="P1211" s="36" t="s">
        <v>16320</v>
      </c>
    </row>
    <row r="1212" spans="1:16">
      <c r="A1212" s="139">
        <v>1211</v>
      </c>
      <c r="B1212" s="36" t="s">
        <v>16332</v>
      </c>
      <c r="C1212" s="36" t="s">
        <v>16333</v>
      </c>
      <c r="D1212" s="36" t="s">
        <v>16333</v>
      </c>
      <c r="E1212" s="36" t="s">
        <v>16334</v>
      </c>
      <c r="F1212" s="36" t="s">
        <v>16335</v>
      </c>
      <c r="G1212" s="36" t="s">
        <v>16336</v>
      </c>
      <c r="H1212" s="36" t="s">
        <v>16337</v>
      </c>
      <c r="I1212" s="36" t="s">
        <v>16338</v>
      </c>
      <c r="J1212" s="36" t="s">
        <v>16339</v>
      </c>
      <c r="K1212" s="36" t="s">
        <v>16338</v>
      </c>
      <c r="L1212" s="36" t="s">
        <v>16340</v>
      </c>
      <c r="M1212" s="36" t="s">
        <v>16341</v>
      </c>
      <c r="N1212" s="36" t="s">
        <v>16342</v>
      </c>
      <c r="O1212" s="36" t="s">
        <v>16343</v>
      </c>
      <c r="P1212" s="36" t="s">
        <v>16332</v>
      </c>
    </row>
    <row r="1213" spans="1:16">
      <c r="A1213" s="139">
        <v>1212</v>
      </c>
      <c r="B1213" s="36" t="s">
        <v>16344</v>
      </c>
      <c r="C1213" s="36" t="s">
        <v>16345</v>
      </c>
      <c r="D1213" s="36" t="s">
        <v>16345</v>
      </c>
      <c r="E1213" s="36" t="s">
        <v>16346</v>
      </c>
      <c r="F1213" s="36" t="s">
        <v>16347</v>
      </c>
      <c r="G1213" s="36" t="s">
        <v>16348</v>
      </c>
      <c r="H1213" s="36" t="s">
        <v>16349</v>
      </c>
      <c r="I1213" s="36" t="s">
        <v>16350</v>
      </c>
      <c r="J1213" s="36" t="s">
        <v>16351</v>
      </c>
      <c r="K1213" s="36" t="s">
        <v>16350</v>
      </c>
      <c r="L1213" s="36" t="s">
        <v>16352</v>
      </c>
      <c r="M1213" s="36" t="s">
        <v>16353</v>
      </c>
      <c r="N1213" s="36" t="s">
        <v>16354</v>
      </c>
      <c r="O1213" s="36" t="s">
        <v>16355</v>
      </c>
      <c r="P1213" s="36" t="s">
        <v>16344</v>
      </c>
    </row>
    <row r="1214" spans="1:16">
      <c r="A1214" s="139">
        <v>1213</v>
      </c>
      <c r="B1214" s="36" t="s">
        <v>16356</v>
      </c>
      <c r="C1214" s="36" t="s">
        <v>16357</v>
      </c>
      <c r="D1214" s="36" t="s">
        <v>16357</v>
      </c>
      <c r="E1214" s="36" t="s">
        <v>16358</v>
      </c>
      <c r="F1214" s="36" t="s">
        <v>16359</v>
      </c>
      <c r="G1214" s="36" t="s">
        <v>16360</v>
      </c>
      <c r="H1214" s="36" t="s">
        <v>16361</v>
      </c>
      <c r="I1214" s="36" t="s">
        <v>16362</v>
      </c>
      <c r="J1214" s="36" t="s">
        <v>16363</v>
      </c>
      <c r="K1214" s="36" t="s">
        <v>16362</v>
      </c>
      <c r="L1214" s="36" t="s">
        <v>16364</v>
      </c>
      <c r="M1214" s="36" t="s">
        <v>16365</v>
      </c>
      <c r="N1214" s="36" t="s">
        <v>16366</v>
      </c>
      <c r="O1214" s="36" t="s">
        <v>16367</v>
      </c>
      <c r="P1214" s="36" t="s">
        <v>16356</v>
      </c>
    </row>
    <row r="1215" spans="1:16">
      <c r="A1215" s="139">
        <v>1214</v>
      </c>
      <c r="B1215" s="36" t="s">
        <v>16368</v>
      </c>
      <c r="C1215" s="36" t="s">
        <v>16369</v>
      </c>
      <c r="D1215" s="36" t="s">
        <v>16369</v>
      </c>
      <c r="E1215" s="36" t="s">
        <v>16370</v>
      </c>
      <c r="F1215" s="36" t="s">
        <v>16371</v>
      </c>
      <c r="G1215" s="36" t="s">
        <v>16372</v>
      </c>
      <c r="H1215" s="36" t="s">
        <v>16373</v>
      </c>
      <c r="I1215" s="36" t="s">
        <v>16374</v>
      </c>
      <c r="J1215" s="36" t="s">
        <v>16375</v>
      </c>
      <c r="K1215" s="36" t="s">
        <v>16374</v>
      </c>
      <c r="L1215" s="36" t="s">
        <v>16376</v>
      </c>
      <c r="M1215" s="36" t="s">
        <v>16377</v>
      </c>
      <c r="N1215" s="36" t="s">
        <v>16378</v>
      </c>
      <c r="O1215" s="36" t="s">
        <v>16379</v>
      </c>
      <c r="P1215" s="36" t="s">
        <v>16368</v>
      </c>
    </row>
    <row r="1216" spans="1:16">
      <c r="A1216" s="139">
        <v>1215</v>
      </c>
      <c r="B1216" s="36" t="s">
        <v>16380</v>
      </c>
      <c r="C1216" s="36" t="s">
        <v>16381</v>
      </c>
      <c r="D1216" s="36" t="s">
        <v>16381</v>
      </c>
      <c r="E1216" s="36" t="s">
        <v>16382</v>
      </c>
      <c r="F1216" s="36" t="s">
        <v>16383</v>
      </c>
      <c r="G1216" s="36" t="s">
        <v>16384</v>
      </c>
      <c r="H1216" s="36" t="s">
        <v>16385</v>
      </c>
      <c r="I1216" s="36" t="s">
        <v>16386</v>
      </c>
      <c r="J1216" s="36" t="s">
        <v>16387</v>
      </c>
      <c r="K1216" s="36" t="s">
        <v>16386</v>
      </c>
      <c r="L1216" s="36" t="s">
        <v>16388</v>
      </c>
      <c r="M1216" s="36" t="s">
        <v>16389</v>
      </c>
      <c r="N1216" s="36" t="s">
        <v>16390</v>
      </c>
      <c r="O1216" s="36" t="s">
        <v>16391</v>
      </c>
      <c r="P1216" s="36" t="s">
        <v>16380</v>
      </c>
    </row>
    <row r="1217" spans="1:16">
      <c r="A1217" s="139">
        <v>1216</v>
      </c>
      <c r="B1217" s="36" t="s">
        <v>16392</v>
      </c>
      <c r="C1217" s="36" t="s">
        <v>16393</v>
      </c>
      <c r="D1217" s="36" t="s">
        <v>16393</v>
      </c>
      <c r="E1217" s="36" t="s">
        <v>16394</v>
      </c>
      <c r="F1217" s="36" t="s">
        <v>16395</v>
      </c>
      <c r="G1217" s="36" t="s">
        <v>16396</v>
      </c>
      <c r="H1217" s="36" t="s">
        <v>16397</v>
      </c>
      <c r="I1217" s="36" t="s">
        <v>16398</v>
      </c>
      <c r="J1217" s="36" t="s">
        <v>16399</v>
      </c>
      <c r="K1217" s="36" t="s">
        <v>16398</v>
      </c>
      <c r="L1217" s="36" t="s">
        <v>16400</v>
      </c>
      <c r="M1217" s="36" t="s">
        <v>16401</v>
      </c>
      <c r="N1217" s="36" t="s">
        <v>16402</v>
      </c>
      <c r="O1217" s="36" t="s">
        <v>16403</v>
      </c>
      <c r="P1217" s="36" t="s">
        <v>16392</v>
      </c>
    </row>
    <row r="1218" spans="1:16">
      <c r="A1218" s="139">
        <v>1217</v>
      </c>
      <c r="B1218" s="36" t="s">
        <v>16404</v>
      </c>
      <c r="C1218" s="36" t="s">
        <v>16405</v>
      </c>
      <c r="D1218" s="36" t="s">
        <v>16405</v>
      </c>
      <c r="E1218" s="36" t="s">
        <v>16406</v>
      </c>
      <c r="F1218" s="36" t="s">
        <v>16407</v>
      </c>
      <c r="G1218" s="36" t="s">
        <v>16408</v>
      </c>
      <c r="H1218" s="36" t="s">
        <v>16409</v>
      </c>
      <c r="I1218" s="36" t="s">
        <v>16410</v>
      </c>
      <c r="J1218" s="36" t="s">
        <v>16411</v>
      </c>
      <c r="K1218" s="36" t="s">
        <v>16410</v>
      </c>
      <c r="L1218" s="36" t="s">
        <v>16412</v>
      </c>
      <c r="M1218" s="36" t="s">
        <v>16413</v>
      </c>
      <c r="N1218" s="36" t="s">
        <v>16414</v>
      </c>
      <c r="O1218" s="36" t="s">
        <v>16415</v>
      </c>
      <c r="P1218" s="36" t="s">
        <v>16404</v>
      </c>
    </row>
    <row r="1219" spans="1:16">
      <c r="A1219" s="139">
        <v>1218</v>
      </c>
      <c r="B1219" s="36" t="s">
        <v>16416</v>
      </c>
      <c r="C1219" s="36" t="s">
        <v>16417</v>
      </c>
      <c r="D1219" s="36" t="s">
        <v>16417</v>
      </c>
      <c r="E1219" s="36" t="s">
        <v>16418</v>
      </c>
      <c r="F1219" s="36" t="s">
        <v>16419</v>
      </c>
      <c r="G1219" s="36" t="s">
        <v>16420</v>
      </c>
      <c r="H1219" s="36" t="s">
        <v>16421</v>
      </c>
      <c r="I1219" s="36" t="s">
        <v>16422</v>
      </c>
      <c r="J1219" s="36" t="s">
        <v>16423</v>
      </c>
      <c r="K1219" s="36" t="s">
        <v>16422</v>
      </c>
      <c r="L1219" s="36" t="s">
        <v>16424</v>
      </c>
      <c r="M1219" s="36" t="s">
        <v>16425</v>
      </c>
      <c r="N1219" s="36" t="s">
        <v>16426</v>
      </c>
      <c r="O1219" s="36" t="s">
        <v>16427</v>
      </c>
      <c r="P1219" s="36" t="s">
        <v>16416</v>
      </c>
    </row>
    <row r="1220" spans="1:16">
      <c r="A1220" s="139">
        <v>1219</v>
      </c>
      <c r="B1220" s="36" t="s">
        <v>16428</v>
      </c>
      <c r="C1220" s="36" t="s">
        <v>16429</v>
      </c>
      <c r="D1220" s="36" t="s">
        <v>16429</v>
      </c>
      <c r="E1220" s="36" t="s">
        <v>16430</v>
      </c>
      <c r="F1220" s="36" t="s">
        <v>16431</v>
      </c>
      <c r="G1220" s="36" t="s">
        <v>16432</v>
      </c>
      <c r="H1220" s="36" t="s">
        <v>16433</v>
      </c>
      <c r="I1220" s="36" t="s">
        <v>16434</v>
      </c>
      <c r="J1220" s="36" t="s">
        <v>16435</v>
      </c>
      <c r="K1220" s="36" t="s">
        <v>16434</v>
      </c>
      <c r="L1220" s="36" t="s">
        <v>16436</v>
      </c>
      <c r="M1220" s="36" t="s">
        <v>16437</v>
      </c>
      <c r="N1220" s="36" t="s">
        <v>16438</v>
      </c>
      <c r="O1220" s="36" t="s">
        <v>16439</v>
      </c>
      <c r="P1220" s="36" t="s">
        <v>16428</v>
      </c>
    </row>
    <row r="1221" spans="1:16">
      <c r="A1221" s="139">
        <v>1220</v>
      </c>
      <c r="B1221" s="36" t="s">
        <v>16440</v>
      </c>
      <c r="C1221" s="36" t="s">
        <v>16441</v>
      </c>
      <c r="D1221" s="36" t="s">
        <v>16441</v>
      </c>
      <c r="E1221" s="36" t="s">
        <v>16442</v>
      </c>
      <c r="F1221" s="36" t="s">
        <v>16443</v>
      </c>
      <c r="G1221" s="36" t="s">
        <v>16444</v>
      </c>
      <c r="H1221" s="36" t="s">
        <v>16445</v>
      </c>
      <c r="I1221" s="36" t="s">
        <v>16446</v>
      </c>
      <c r="J1221" s="36" t="s">
        <v>16447</v>
      </c>
      <c r="K1221" s="36" t="s">
        <v>16446</v>
      </c>
      <c r="L1221" s="36" t="s">
        <v>16448</v>
      </c>
      <c r="M1221" s="36" t="s">
        <v>16449</v>
      </c>
      <c r="N1221" s="36" t="s">
        <v>16450</v>
      </c>
      <c r="O1221" s="36" t="s">
        <v>16451</v>
      </c>
      <c r="P1221" s="36" t="s">
        <v>16440</v>
      </c>
    </row>
    <row r="1222" spans="1:16">
      <c r="A1222" s="139">
        <v>1221</v>
      </c>
      <c r="B1222" s="36" t="s">
        <v>16452</v>
      </c>
      <c r="C1222" s="36" t="s">
        <v>16453</v>
      </c>
      <c r="D1222" s="36" t="s">
        <v>16453</v>
      </c>
      <c r="E1222" s="36" t="s">
        <v>16454</v>
      </c>
      <c r="F1222" s="36" t="s">
        <v>16455</v>
      </c>
      <c r="G1222" s="36" t="s">
        <v>16456</v>
      </c>
      <c r="H1222" s="36" t="s">
        <v>16457</v>
      </c>
      <c r="I1222" s="36" t="s">
        <v>16458</v>
      </c>
      <c r="J1222" s="36" t="s">
        <v>16459</v>
      </c>
      <c r="K1222" s="36" t="s">
        <v>16458</v>
      </c>
      <c r="L1222" s="36" t="s">
        <v>16460</v>
      </c>
      <c r="M1222" s="36" t="s">
        <v>16461</v>
      </c>
      <c r="N1222" s="36" t="s">
        <v>16462</v>
      </c>
      <c r="O1222" s="36" t="s">
        <v>16463</v>
      </c>
      <c r="P1222" s="36" t="s">
        <v>16452</v>
      </c>
    </row>
    <row r="1223" spans="1:16">
      <c r="A1223" s="139">
        <v>1222</v>
      </c>
      <c r="B1223" s="36" t="s">
        <v>16464</v>
      </c>
      <c r="C1223" s="36" t="s">
        <v>16465</v>
      </c>
      <c r="D1223" s="36" t="s">
        <v>16465</v>
      </c>
      <c r="E1223" s="36" t="s">
        <v>16466</v>
      </c>
      <c r="F1223" s="36" t="s">
        <v>16467</v>
      </c>
      <c r="G1223" s="36" t="s">
        <v>16468</v>
      </c>
      <c r="H1223" s="36" t="s">
        <v>16469</v>
      </c>
      <c r="I1223" s="36" t="s">
        <v>16470</v>
      </c>
      <c r="J1223" s="36" t="s">
        <v>16471</v>
      </c>
      <c r="K1223" s="36" t="s">
        <v>16470</v>
      </c>
      <c r="L1223" s="36" t="s">
        <v>16472</v>
      </c>
      <c r="M1223" s="36" t="s">
        <v>16473</v>
      </c>
      <c r="N1223" s="36" t="s">
        <v>16474</v>
      </c>
      <c r="O1223" s="36" t="s">
        <v>16475</v>
      </c>
      <c r="P1223" s="36" t="s">
        <v>16464</v>
      </c>
    </row>
    <row r="1224" spans="1:16">
      <c r="A1224" s="139">
        <v>1223</v>
      </c>
      <c r="B1224" s="36" t="s">
        <v>16476</v>
      </c>
      <c r="C1224" s="36" t="s">
        <v>16477</v>
      </c>
      <c r="D1224" s="36" t="s">
        <v>16477</v>
      </c>
      <c r="E1224" s="36" t="s">
        <v>16478</v>
      </c>
      <c r="F1224" s="36" t="s">
        <v>16479</v>
      </c>
      <c r="G1224" s="36" t="s">
        <v>16480</v>
      </c>
      <c r="H1224" s="36" t="s">
        <v>16481</v>
      </c>
      <c r="I1224" s="36" t="s">
        <v>16482</v>
      </c>
      <c r="J1224" s="36" t="s">
        <v>16483</v>
      </c>
      <c r="K1224" s="36" t="s">
        <v>16482</v>
      </c>
      <c r="L1224" s="36" t="s">
        <v>16484</v>
      </c>
      <c r="M1224" s="36" t="s">
        <v>16485</v>
      </c>
      <c r="N1224" s="36" t="s">
        <v>16486</v>
      </c>
      <c r="O1224" s="36" t="s">
        <v>16487</v>
      </c>
      <c r="P1224" s="36" t="s">
        <v>16476</v>
      </c>
    </row>
    <row r="1225" spans="1:16">
      <c r="A1225" s="139">
        <v>1224</v>
      </c>
      <c r="B1225" s="36" t="s">
        <v>16488</v>
      </c>
      <c r="C1225" s="36" t="s">
        <v>16489</v>
      </c>
      <c r="D1225" s="36" t="s">
        <v>16489</v>
      </c>
      <c r="E1225" s="36" t="s">
        <v>16490</v>
      </c>
      <c r="F1225" s="36" t="s">
        <v>16491</v>
      </c>
      <c r="G1225" s="36" t="s">
        <v>16492</v>
      </c>
      <c r="H1225" s="36" t="s">
        <v>16493</v>
      </c>
      <c r="I1225" s="36" t="s">
        <v>16494</v>
      </c>
      <c r="J1225" s="36" t="s">
        <v>16495</v>
      </c>
      <c r="K1225" s="36" t="s">
        <v>16494</v>
      </c>
      <c r="L1225" s="36" t="s">
        <v>16496</v>
      </c>
      <c r="M1225" s="36" t="s">
        <v>16497</v>
      </c>
      <c r="N1225" s="36" t="s">
        <v>16498</v>
      </c>
      <c r="O1225" s="36" t="s">
        <v>16499</v>
      </c>
      <c r="P1225" s="36" t="s">
        <v>16488</v>
      </c>
    </row>
    <row r="1226" spans="1:16">
      <c r="A1226" s="139">
        <v>1225</v>
      </c>
      <c r="B1226" s="36" t="s">
        <v>16500</v>
      </c>
      <c r="C1226" s="36" t="s">
        <v>16501</v>
      </c>
      <c r="D1226" s="36" t="s">
        <v>16501</v>
      </c>
      <c r="E1226" s="36" t="s">
        <v>16502</v>
      </c>
      <c r="F1226" s="36" t="s">
        <v>16503</v>
      </c>
      <c r="G1226" s="36" t="s">
        <v>16504</v>
      </c>
      <c r="H1226" s="36" t="s">
        <v>16505</v>
      </c>
      <c r="I1226" s="36" t="s">
        <v>16506</v>
      </c>
      <c r="J1226" s="36" t="s">
        <v>16507</v>
      </c>
      <c r="K1226" s="36" t="s">
        <v>16506</v>
      </c>
      <c r="L1226" s="36" t="s">
        <v>16508</v>
      </c>
      <c r="M1226" s="36" t="s">
        <v>16509</v>
      </c>
      <c r="N1226" s="36" t="s">
        <v>16510</v>
      </c>
      <c r="O1226" s="36" t="s">
        <v>16511</v>
      </c>
      <c r="P1226" s="36" t="s">
        <v>16500</v>
      </c>
    </row>
    <row r="1227" spans="1:16">
      <c r="A1227" s="139">
        <v>1226</v>
      </c>
      <c r="B1227" s="36" t="s">
        <v>16512</v>
      </c>
      <c r="C1227" s="36" t="s">
        <v>16513</v>
      </c>
      <c r="D1227" s="36" t="s">
        <v>16513</v>
      </c>
      <c r="E1227" s="36" t="s">
        <v>16514</v>
      </c>
      <c r="F1227" s="36" t="s">
        <v>16515</v>
      </c>
      <c r="G1227" s="36" t="s">
        <v>16516</v>
      </c>
      <c r="H1227" s="36" t="s">
        <v>16517</v>
      </c>
      <c r="I1227" s="36" t="s">
        <v>16518</v>
      </c>
      <c r="J1227" s="36" t="s">
        <v>16519</v>
      </c>
      <c r="K1227" s="36" t="s">
        <v>16518</v>
      </c>
      <c r="L1227" s="36" t="s">
        <v>16520</v>
      </c>
      <c r="M1227" s="36" t="s">
        <v>16521</v>
      </c>
      <c r="N1227" s="36" t="s">
        <v>16522</v>
      </c>
      <c r="O1227" s="36" t="s">
        <v>16523</v>
      </c>
      <c r="P1227" s="36" t="s">
        <v>16512</v>
      </c>
    </row>
    <row r="1228" spans="1:16">
      <c r="A1228" s="139">
        <v>1227</v>
      </c>
      <c r="B1228" s="36" t="s">
        <v>16524</v>
      </c>
      <c r="C1228" s="36" t="s">
        <v>16525</v>
      </c>
      <c r="D1228" s="36" t="s">
        <v>16525</v>
      </c>
      <c r="E1228" s="36" t="s">
        <v>16526</v>
      </c>
      <c r="F1228" s="36" t="s">
        <v>16527</v>
      </c>
      <c r="G1228" s="36" t="s">
        <v>16528</v>
      </c>
      <c r="H1228" s="36" t="s">
        <v>16529</v>
      </c>
      <c r="I1228" s="36" t="s">
        <v>16530</v>
      </c>
      <c r="J1228" s="36" t="s">
        <v>16531</v>
      </c>
      <c r="K1228" s="36" t="s">
        <v>16530</v>
      </c>
      <c r="L1228" s="36" t="s">
        <v>16532</v>
      </c>
      <c r="M1228" s="36" t="s">
        <v>16533</v>
      </c>
      <c r="N1228" s="36" t="s">
        <v>16534</v>
      </c>
      <c r="O1228" s="36" t="s">
        <v>16535</v>
      </c>
      <c r="P1228" s="36" t="s">
        <v>16524</v>
      </c>
    </row>
    <row r="1229" spans="1:16">
      <c r="A1229" s="139">
        <v>1228</v>
      </c>
      <c r="B1229" s="36" t="s">
        <v>16536</v>
      </c>
      <c r="C1229" s="36" t="s">
        <v>16537</v>
      </c>
      <c r="D1229" s="36" t="s">
        <v>16537</v>
      </c>
      <c r="E1229" s="36" t="s">
        <v>16538</v>
      </c>
      <c r="F1229" s="36" t="s">
        <v>16539</v>
      </c>
      <c r="G1229" s="36" t="s">
        <v>16540</v>
      </c>
      <c r="H1229" s="36" t="s">
        <v>16541</v>
      </c>
      <c r="I1229" s="36" t="s">
        <v>16542</v>
      </c>
      <c r="J1229" s="36" t="s">
        <v>16543</v>
      </c>
      <c r="K1229" s="36" t="s">
        <v>16542</v>
      </c>
      <c r="L1229" s="36" t="s">
        <v>16544</v>
      </c>
      <c r="M1229" s="36" t="s">
        <v>16545</v>
      </c>
      <c r="N1229" s="36" t="s">
        <v>16546</v>
      </c>
      <c r="O1229" s="36" t="s">
        <v>16547</v>
      </c>
      <c r="P1229" s="36" t="s">
        <v>16536</v>
      </c>
    </row>
    <row r="1230" spans="1:16">
      <c r="A1230" s="139">
        <v>1229</v>
      </c>
      <c r="B1230" s="36" t="s">
        <v>16548</v>
      </c>
      <c r="C1230" s="36" t="s">
        <v>16549</v>
      </c>
      <c r="D1230" s="36" t="s">
        <v>16549</v>
      </c>
      <c r="E1230" s="36" t="s">
        <v>16550</v>
      </c>
      <c r="F1230" s="36" t="s">
        <v>16551</v>
      </c>
      <c r="G1230" s="36" t="s">
        <v>16552</v>
      </c>
      <c r="H1230" s="36" t="s">
        <v>16553</v>
      </c>
      <c r="I1230" s="36" t="s">
        <v>16554</v>
      </c>
      <c r="J1230" s="36" t="s">
        <v>16555</v>
      </c>
      <c r="K1230" s="36" t="s">
        <v>16554</v>
      </c>
      <c r="L1230" s="36" t="s">
        <v>16556</v>
      </c>
      <c r="M1230" s="36" t="s">
        <v>16557</v>
      </c>
      <c r="N1230" s="36" t="s">
        <v>16558</v>
      </c>
      <c r="O1230" s="36" t="s">
        <v>16559</v>
      </c>
      <c r="P1230" s="36" t="s">
        <v>16548</v>
      </c>
    </row>
    <row r="1231" spans="1:16">
      <c r="A1231" s="139">
        <v>1230</v>
      </c>
      <c r="B1231" s="36" t="s">
        <v>16560</v>
      </c>
      <c r="C1231" s="36" t="s">
        <v>16561</v>
      </c>
      <c r="D1231" s="36" t="s">
        <v>16561</v>
      </c>
      <c r="E1231" s="36" t="s">
        <v>16562</v>
      </c>
      <c r="F1231" s="36" t="s">
        <v>16563</v>
      </c>
      <c r="G1231" s="36" t="s">
        <v>16564</v>
      </c>
      <c r="H1231" s="36" t="s">
        <v>16565</v>
      </c>
      <c r="I1231" s="36" t="s">
        <v>16566</v>
      </c>
      <c r="J1231" s="36" t="s">
        <v>16567</v>
      </c>
      <c r="K1231" s="36" t="s">
        <v>16566</v>
      </c>
      <c r="L1231" s="36" t="s">
        <v>16568</v>
      </c>
      <c r="M1231" s="36" t="s">
        <v>16569</v>
      </c>
      <c r="N1231" s="36" t="s">
        <v>16570</v>
      </c>
      <c r="O1231" s="36" t="s">
        <v>16571</v>
      </c>
      <c r="P1231" s="36" t="s">
        <v>16560</v>
      </c>
    </row>
    <row r="1232" spans="1:16">
      <c r="A1232" s="139">
        <v>1231</v>
      </c>
      <c r="B1232" s="36" t="s">
        <v>16572</v>
      </c>
      <c r="C1232" s="36" t="s">
        <v>16573</v>
      </c>
      <c r="D1232" s="36" t="s">
        <v>16573</v>
      </c>
      <c r="E1232" s="36" t="s">
        <v>16574</v>
      </c>
      <c r="F1232" s="36" t="s">
        <v>16575</v>
      </c>
      <c r="G1232" s="36" t="s">
        <v>16576</v>
      </c>
      <c r="H1232" s="36" t="s">
        <v>16577</v>
      </c>
      <c r="I1232" s="36" t="s">
        <v>16578</v>
      </c>
      <c r="J1232" s="36" t="s">
        <v>16579</v>
      </c>
      <c r="K1232" s="36" t="s">
        <v>16578</v>
      </c>
      <c r="L1232" s="36" t="s">
        <v>16580</v>
      </c>
      <c r="M1232" s="36" t="s">
        <v>16581</v>
      </c>
      <c r="N1232" s="36" t="s">
        <v>16582</v>
      </c>
      <c r="O1232" s="36" t="s">
        <v>16583</v>
      </c>
      <c r="P1232" s="36" t="s">
        <v>16572</v>
      </c>
    </row>
    <row r="1233" spans="1:16">
      <c r="A1233" s="139">
        <v>1232</v>
      </c>
      <c r="B1233" s="36" t="s">
        <v>16584</v>
      </c>
      <c r="C1233" s="36" t="s">
        <v>16585</v>
      </c>
      <c r="D1233" s="36" t="s">
        <v>16585</v>
      </c>
      <c r="E1233" s="36" t="s">
        <v>16586</v>
      </c>
      <c r="F1233" s="36" t="s">
        <v>16587</v>
      </c>
      <c r="G1233" s="36" t="s">
        <v>16588</v>
      </c>
      <c r="H1233" s="36" t="s">
        <v>16589</v>
      </c>
      <c r="I1233" s="36" t="s">
        <v>16590</v>
      </c>
      <c r="J1233" s="36" t="s">
        <v>16591</v>
      </c>
      <c r="K1233" s="36" t="s">
        <v>16590</v>
      </c>
      <c r="L1233" s="36" t="s">
        <v>16592</v>
      </c>
      <c r="M1233" s="36" t="s">
        <v>16593</v>
      </c>
      <c r="N1233" s="36" t="s">
        <v>16594</v>
      </c>
      <c r="O1233" s="36" t="s">
        <v>16595</v>
      </c>
      <c r="P1233" s="36" t="s">
        <v>16584</v>
      </c>
    </row>
    <row r="1234" spans="1:16">
      <c r="A1234" s="139">
        <v>1233</v>
      </c>
      <c r="B1234" s="36" t="s">
        <v>16596</v>
      </c>
      <c r="C1234" s="36" t="s">
        <v>16597</v>
      </c>
      <c r="D1234" s="36" t="s">
        <v>16597</v>
      </c>
      <c r="E1234" s="36" t="s">
        <v>16598</v>
      </c>
      <c r="F1234" s="36" t="s">
        <v>16599</v>
      </c>
      <c r="G1234" s="36" t="s">
        <v>16600</v>
      </c>
      <c r="H1234" s="36" t="s">
        <v>16601</v>
      </c>
      <c r="I1234" s="36" t="s">
        <v>16602</v>
      </c>
      <c r="J1234" s="36" t="s">
        <v>16603</v>
      </c>
      <c r="K1234" s="36" t="s">
        <v>16602</v>
      </c>
      <c r="L1234" s="36" t="s">
        <v>16604</v>
      </c>
      <c r="M1234" s="36" t="s">
        <v>16605</v>
      </c>
      <c r="N1234" s="36" t="s">
        <v>16606</v>
      </c>
      <c r="O1234" s="36" t="s">
        <v>16607</v>
      </c>
      <c r="P1234" s="36" t="s">
        <v>16596</v>
      </c>
    </row>
    <row r="1235" spans="1:16">
      <c r="A1235" s="139">
        <v>1234</v>
      </c>
      <c r="B1235" s="36" t="s">
        <v>16608</v>
      </c>
      <c r="C1235" s="36" t="s">
        <v>16609</v>
      </c>
      <c r="D1235" s="36" t="s">
        <v>16609</v>
      </c>
      <c r="E1235" s="36" t="s">
        <v>16610</v>
      </c>
      <c r="F1235" s="36" t="s">
        <v>16611</v>
      </c>
      <c r="G1235" s="36" t="s">
        <v>16612</v>
      </c>
      <c r="H1235" s="36" t="s">
        <v>16613</v>
      </c>
      <c r="I1235" s="36" t="s">
        <v>16614</v>
      </c>
      <c r="J1235" s="36" t="s">
        <v>16615</v>
      </c>
      <c r="K1235" s="36" t="s">
        <v>16614</v>
      </c>
      <c r="L1235" s="36" t="s">
        <v>16616</v>
      </c>
      <c r="M1235" s="36" t="s">
        <v>16617</v>
      </c>
      <c r="N1235" s="36" t="s">
        <v>16618</v>
      </c>
      <c r="O1235" s="36" t="s">
        <v>16619</v>
      </c>
      <c r="P1235" s="36" t="s">
        <v>16608</v>
      </c>
    </row>
    <row r="1236" spans="1:16">
      <c r="A1236" s="139">
        <v>1235</v>
      </c>
      <c r="B1236" s="36" t="s">
        <v>16620</v>
      </c>
      <c r="C1236" s="36" t="s">
        <v>16621</v>
      </c>
      <c r="D1236" s="36" t="s">
        <v>16621</v>
      </c>
      <c r="E1236" s="36" t="s">
        <v>16622</v>
      </c>
      <c r="F1236" s="36" t="s">
        <v>16623</v>
      </c>
      <c r="G1236" s="36" t="s">
        <v>16624</v>
      </c>
      <c r="H1236" s="36" t="s">
        <v>16625</v>
      </c>
      <c r="I1236" s="36" t="s">
        <v>16626</v>
      </c>
      <c r="J1236" s="36" t="s">
        <v>16627</v>
      </c>
      <c r="K1236" s="36" t="s">
        <v>16626</v>
      </c>
      <c r="L1236" s="36" t="s">
        <v>16628</v>
      </c>
      <c r="M1236" s="36" t="s">
        <v>16629</v>
      </c>
      <c r="N1236" s="36" t="s">
        <v>16630</v>
      </c>
      <c r="O1236" s="36" t="s">
        <v>16631</v>
      </c>
      <c r="P1236" s="36" t="s">
        <v>16620</v>
      </c>
    </row>
    <row r="1237" spans="1:16">
      <c r="A1237" s="139">
        <v>1236</v>
      </c>
      <c r="B1237" s="36" t="s">
        <v>16632</v>
      </c>
      <c r="C1237" s="36" t="s">
        <v>16633</v>
      </c>
      <c r="D1237" s="36" t="s">
        <v>16633</v>
      </c>
      <c r="E1237" s="36" t="s">
        <v>16634</v>
      </c>
      <c r="F1237" s="36" t="s">
        <v>16635</v>
      </c>
      <c r="G1237" s="36" t="s">
        <v>16636</v>
      </c>
      <c r="H1237" s="36" t="s">
        <v>16637</v>
      </c>
      <c r="I1237" s="36" t="s">
        <v>16638</v>
      </c>
      <c r="J1237" s="36" t="s">
        <v>16639</v>
      </c>
      <c r="K1237" s="36" t="s">
        <v>16638</v>
      </c>
      <c r="L1237" s="36" t="s">
        <v>16640</v>
      </c>
      <c r="M1237" s="36" t="s">
        <v>16641</v>
      </c>
      <c r="N1237" s="36" t="s">
        <v>16642</v>
      </c>
      <c r="O1237" s="36" t="s">
        <v>16643</v>
      </c>
      <c r="P1237" s="36" t="s">
        <v>16632</v>
      </c>
    </row>
    <row r="1238" spans="1:16">
      <c r="A1238" s="139">
        <v>1237</v>
      </c>
      <c r="B1238" s="36" t="s">
        <v>16644</v>
      </c>
      <c r="C1238" s="36" t="s">
        <v>16645</v>
      </c>
      <c r="D1238" s="36" t="s">
        <v>16645</v>
      </c>
      <c r="E1238" s="36" t="s">
        <v>16646</v>
      </c>
      <c r="F1238" s="36" t="s">
        <v>16647</v>
      </c>
      <c r="G1238" s="36" t="s">
        <v>16648</v>
      </c>
      <c r="H1238" s="36" t="s">
        <v>16649</v>
      </c>
      <c r="I1238" s="36" t="s">
        <v>16650</v>
      </c>
      <c r="J1238" s="36" t="s">
        <v>16651</v>
      </c>
      <c r="K1238" s="36" t="s">
        <v>16650</v>
      </c>
      <c r="L1238" s="36" t="s">
        <v>16652</v>
      </c>
      <c r="M1238" s="36" t="s">
        <v>16653</v>
      </c>
      <c r="N1238" s="36" t="s">
        <v>16654</v>
      </c>
      <c r="O1238" s="36" t="s">
        <v>16655</v>
      </c>
      <c r="P1238" s="36" t="s">
        <v>16644</v>
      </c>
    </row>
    <row r="1239" spans="1:16">
      <c r="A1239" s="139">
        <v>1238</v>
      </c>
      <c r="B1239" s="36" t="s">
        <v>16656</v>
      </c>
      <c r="C1239" s="36" t="s">
        <v>16657</v>
      </c>
      <c r="D1239" s="36" t="s">
        <v>16657</v>
      </c>
      <c r="E1239" s="36" t="s">
        <v>16658</v>
      </c>
      <c r="F1239" s="36" t="s">
        <v>16659</v>
      </c>
      <c r="G1239" s="36" t="s">
        <v>16660</v>
      </c>
      <c r="H1239" s="36" t="s">
        <v>16661</v>
      </c>
      <c r="I1239" s="36" t="s">
        <v>16662</v>
      </c>
      <c r="J1239" s="36" t="s">
        <v>16663</v>
      </c>
      <c r="K1239" s="36" t="s">
        <v>16662</v>
      </c>
      <c r="L1239" s="36" t="s">
        <v>16664</v>
      </c>
      <c r="M1239" s="36" t="s">
        <v>16665</v>
      </c>
      <c r="N1239" s="36" t="s">
        <v>16666</v>
      </c>
      <c r="O1239" s="36" t="s">
        <v>16667</v>
      </c>
      <c r="P1239" s="36" t="s">
        <v>16656</v>
      </c>
    </row>
    <row r="1240" spans="1:16">
      <c r="A1240" s="139">
        <v>1239</v>
      </c>
      <c r="B1240" s="36" t="s">
        <v>16668</v>
      </c>
      <c r="C1240" s="36" t="s">
        <v>16669</v>
      </c>
      <c r="D1240" s="36" t="s">
        <v>16669</v>
      </c>
      <c r="E1240" s="36" t="s">
        <v>16670</v>
      </c>
      <c r="F1240" s="36" t="s">
        <v>16671</v>
      </c>
      <c r="G1240" s="36" t="s">
        <v>16672</v>
      </c>
      <c r="H1240" s="36" t="s">
        <v>16673</v>
      </c>
      <c r="I1240" s="36" t="s">
        <v>16674</v>
      </c>
      <c r="J1240" s="36" t="s">
        <v>16675</v>
      </c>
      <c r="K1240" s="36" t="s">
        <v>16674</v>
      </c>
      <c r="L1240" s="36" t="s">
        <v>16676</v>
      </c>
      <c r="M1240" s="36" t="s">
        <v>16677</v>
      </c>
      <c r="N1240" s="36" t="s">
        <v>16678</v>
      </c>
      <c r="O1240" s="36" t="s">
        <v>16679</v>
      </c>
      <c r="P1240" s="36" t="s">
        <v>16668</v>
      </c>
    </row>
    <row r="1241" spans="1:16">
      <c r="A1241" s="139">
        <v>1240</v>
      </c>
      <c r="B1241" s="36" t="s">
        <v>16680</v>
      </c>
      <c r="C1241" s="36" t="s">
        <v>16681</v>
      </c>
      <c r="D1241" s="36" t="s">
        <v>16681</v>
      </c>
      <c r="E1241" s="36" t="s">
        <v>16682</v>
      </c>
      <c r="F1241" s="36" t="s">
        <v>16683</v>
      </c>
      <c r="G1241" s="36" t="s">
        <v>16684</v>
      </c>
      <c r="H1241" s="36" t="s">
        <v>16685</v>
      </c>
      <c r="I1241" s="36" t="s">
        <v>16686</v>
      </c>
      <c r="J1241" s="36" t="s">
        <v>16687</v>
      </c>
      <c r="K1241" s="36" t="s">
        <v>16686</v>
      </c>
      <c r="L1241" s="36" t="s">
        <v>16688</v>
      </c>
      <c r="M1241" s="36" t="s">
        <v>16689</v>
      </c>
      <c r="N1241" s="36" t="s">
        <v>16690</v>
      </c>
      <c r="O1241" s="36" t="s">
        <v>16691</v>
      </c>
      <c r="P1241" s="36" t="s">
        <v>16680</v>
      </c>
    </row>
    <row r="1242" spans="1:16">
      <c r="A1242" s="139">
        <v>1241</v>
      </c>
      <c r="B1242" s="36" t="s">
        <v>16692</v>
      </c>
      <c r="C1242" s="36" t="s">
        <v>16693</v>
      </c>
      <c r="D1242" s="36" t="s">
        <v>16693</v>
      </c>
      <c r="E1242" s="36" t="s">
        <v>16694</v>
      </c>
      <c r="F1242" s="36" t="s">
        <v>16695</v>
      </c>
      <c r="G1242" s="36" t="s">
        <v>16696</v>
      </c>
      <c r="H1242" s="36" t="s">
        <v>16697</v>
      </c>
      <c r="I1242" s="36" t="s">
        <v>16698</v>
      </c>
      <c r="J1242" s="36" t="s">
        <v>16699</v>
      </c>
      <c r="K1242" s="36" t="s">
        <v>16698</v>
      </c>
      <c r="L1242" s="36" t="s">
        <v>16700</v>
      </c>
      <c r="M1242" s="36" t="s">
        <v>16701</v>
      </c>
      <c r="N1242" s="36" t="s">
        <v>16702</v>
      </c>
      <c r="O1242" s="36" t="s">
        <v>16703</v>
      </c>
      <c r="P1242" s="36" t="s">
        <v>16692</v>
      </c>
    </row>
    <row r="1243" spans="1:16">
      <c r="A1243" s="139">
        <v>1242</v>
      </c>
      <c r="B1243" s="36" t="s">
        <v>16704</v>
      </c>
      <c r="C1243" s="36" t="s">
        <v>16705</v>
      </c>
      <c r="D1243" s="36" t="s">
        <v>16705</v>
      </c>
      <c r="E1243" s="36" t="s">
        <v>16706</v>
      </c>
      <c r="F1243" s="36" t="s">
        <v>16707</v>
      </c>
      <c r="G1243" s="36" t="s">
        <v>16708</v>
      </c>
      <c r="H1243" s="36" t="s">
        <v>16709</v>
      </c>
      <c r="I1243" s="36" t="s">
        <v>16710</v>
      </c>
      <c r="J1243" s="36" t="s">
        <v>16711</v>
      </c>
      <c r="K1243" s="36" t="s">
        <v>16710</v>
      </c>
      <c r="L1243" s="36" t="s">
        <v>16712</v>
      </c>
      <c r="M1243" s="36" t="s">
        <v>16713</v>
      </c>
      <c r="N1243" s="36" t="s">
        <v>16714</v>
      </c>
      <c r="O1243" s="36" t="s">
        <v>16715</v>
      </c>
      <c r="P1243" s="36" t="s">
        <v>16704</v>
      </c>
    </row>
    <row r="1244" spans="1:16">
      <c r="A1244" s="139">
        <v>1243</v>
      </c>
      <c r="B1244" s="36" t="s">
        <v>16716</v>
      </c>
      <c r="C1244" s="36" t="s">
        <v>16717</v>
      </c>
      <c r="D1244" s="36" t="s">
        <v>16717</v>
      </c>
      <c r="E1244" s="36" t="s">
        <v>16718</v>
      </c>
      <c r="F1244" s="36" t="s">
        <v>16719</v>
      </c>
      <c r="G1244" s="36" t="s">
        <v>16720</v>
      </c>
      <c r="H1244" s="36" t="s">
        <v>16721</v>
      </c>
      <c r="I1244" s="36" t="s">
        <v>16722</v>
      </c>
      <c r="J1244" s="36" t="s">
        <v>16723</v>
      </c>
      <c r="K1244" s="36" t="s">
        <v>16722</v>
      </c>
      <c r="L1244" s="36" t="s">
        <v>16724</v>
      </c>
      <c r="M1244" s="36" t="s">
        <v>16725</v>
      </c>
      <c r="N1244" s="36" t="s">
        <v>16726</v>
      </c>
      <c r="O1244" s="36" t="s">
        <v>16727</v>
      </c>
      <c r="P1244" s="36" t="s">
        <v>16716</v>
      </c>
    </row>
    <row r="1245" spans="1:16">
      <c r="A1245" s="139">
        <v>1244</v>
      </c>
      <c r="B1245" s="36" t="s">
        <v>16728</v>
      </c>
      <c r="C1245" s="36" t="s">
        <v>16728</v>
      </c>
      <c r="D1245" s="36" t="s">
        <v>16728</v>
      </c>
      <c r="E1245" s="36" t="s">
        <v>16728</v>
      </c>
      <c r="F1245" s="36" t="s">
        <v>16728</v>
      </c>
      <c r="G1245" s="36" t="s">
        <v>16728</v>
      </c>
      <c r="H1245" s="36" t="s">
        <v>16728</v>
      </c>
      <c r="I1245" s="36" t="s">
        <v>16728</v>
      </c>
      <c r="J1245" s="36" t="s">
        <v>16728</v>
      </c>
      <c r="K1245" s="36" t="s">
        <v>16728</v>
      </c>
      <c r="L1245" s="36" t="s">
        <v>16728</v>
      </c>
      <c r="M1245" s="36" t="s">
        <v>16728</v>
      </c>
      <c r="N1245" s="36" t="s">
        <v>16728</v>
      </c>
      <c r="O1245" s="36" t="s">
        <v>16728</v>
      </c>
      <c r="P1245" s="36" t="s">
        <v>16728</v>
      </c>
    </row>
    <row r="1246" spans="1:16">
      <c r="A1246" s="139">
        <v>1245</v>
      </c>
      <c r="B1246" s="36" t="s">
        <v>16729</v>
      </c>
      <c r="C1246" s="36" t="s">
        <v>16729</v>
      </c>
      <c r="D1246" s="36" t="s">
        <v>16729</v>
      </c>
      <c r="E1246" s="36" t="s">
        <v>16729</v>
      </c>
      <c r="F1246" s="36" t="s">
        <v>16729</v>
      </c>
      <c r="G1246" s="36" t="s">
        <v>16729</v>
      </c>
      <c r="H1246" s="36" t="s">
        <v>16729</v>
      </c>
      <c r="I1246" s="36" t="s">
        <v>16729</v>
      </c>
      <c r="J1246" s="36" t="s">
        <v>16729</v>
      </c>
      <c r="K1246" s="36" t="s">
        <v>16729</v>
      </c>
      <c r="L1246" s="36" t="s">
        <v>16729</v>
      </c>
      <c r="M1246" s="36" t="s">
        <v>16729</v>
      </c>
      <c r="N1246" s="36" t="s">
        <v>16729</v>
      </c>
      <c r="O1246" s="36" t="s">
        <v>16729</v>
      </c>
      <c r="P1246" s="36" t="s">
        <v>16729</v>
      </c>
    </row>
    <row r="1247" spans="1:16">
      <c r="A1247" s="139">
        <v>1246</v>
      </c>
      <c r="B1247" s="36" t="s">
        <v>16730</v>
      </c>
      <c r="C1247" s="36" t="s">
        <v>16730</v>
      </c>
      <c r="D1247" s="36" t="s">
        <v>16730</v>
      </c>
      <c r="E1247" s="36" t="s">
        <v>16730</v>
      </c>
      <c r="F1247" s="36" t="s">
        <v>16730</v>
      </c>
      <c r="G1247" s="36" t="s">
        <v>16730</v>
      </c>
      <c r="H1247" s="36" t="s">
        <v>16730</v>
      </c>
      <c r="I1247" s="36" t="s">
        <v>16730</v>
      </c>
      <c r="J1247" s="36" t="s">
        <v>16730</v>
      </c>
      <c r="K1247" s="36" t="s">
        <v>16730</v>
      </c>
      <c r="L1247" s="36" t="s">
        <v>16730</v>
      </c>
      <c r="M1247" s="36" t="s">
        <v>16730</v>
      </c>
      <c r="N1247" s="36" t="s">
        <v>16730</v>
      </c>
      <c r="O1247" s="36" t="s">
        <v>16730</v>
      </c>
      <c r="P1247" s="36" t="s">
        <v>16730</v>
      </c>
    </row>
    <row r="1248" spans="1:16">
      <c r="A1248" s="139">
        <v>1247</v>
      </c>
      <c r="B1248" s="36" t="s">
        <v>16731</v>
      </c>
      <c r="C1248" s="36" t="s">
        <v>16731</v>
      </c>
      <c r="D1248" s="36" t="s">
        <v>16731</v>
      </c>
      <c r="E1248" s="36" t="s">
        <v>16731</v>
      </c>
      <c r="F1248" s="36" t="s">
        <v>16731</v>
      </c>
      <c r="G1248" s="36" t="s">
        <v>16731</v>
      </c>
      <c r="H1248" s="36" t="s">
        <v>16731</v>
      </c>
      <c r="I1248" s="36" t="s">
        <v>16731</v>
      </c>
      <c r="J1248" s="36" t="s">
        <v>16731</v>
      </c>
      <c r="K1248" s="36" t="s">
        <v>16731</v>
      </c>
      <c r="L1248" s="36" t="s">
        <v>16731</v>
      </c>
      <c r="M1248" s="36" t="s">
        <v>16731</v>
      </c>
      <c r="N1248" s="36" t="s">
        <v>16731</v>
      </c>
      <c r="O1248" s="36" t="s">
        <v>16731</v>
      </c>
      <c r="P1248" s="36" t="s">
        <v>16731</v>
      </c>
    </row>
    <row r="1249" spans="1:16">
      <c r="A1249" s="139">
        <v>1248</v>
      </c>
      <c r="B1249" s="36" t="s">
        <v>16732</v>
      </c>
      <c r="C1249" s="36">
        <v>44252</v>
      </c>
      <c r="D1249" s="36">
        <v>44252</v>
      </c>
      <c r="E1249" s="36" t="s">
        <v>16733</v>
      </c>
      <c r="F1249" s="36" t="s">
        <v>16733</v>
      </c>
      <c r="G1249" s="36" t="s">
        <v>16733</v>
      </c>
      <c r="H1249" s="36" t="s">
        <v>16733</v>
      </c>
      <c r="I1249" s="36" t="s">
        <v>16733</v>
      </c>
      <c r="J1249" s="36" t="s">
        <v>16733</v>
      </c>
      <c r="K1249" s="36" t="s">
        <v>16733</v>
      </c>
      <c r="L1249" s="36" t="s">
        <v>16733</v>
      </c>
      <c r="M1249" s="36" t="s">
        <v>16733</v>
      </c>
      <c r="N1249" s="36" t="s">
        <v>16733</v>
      </c>
      <c r="O1249" s="36" t="s">
        <v>16733</v>
      </c>
      <c r="P1249" s="36" t="s">
        <v>16732</v>
      </c>
    </row>
    <row r="1250" spans="1:16">
      <c r="A1250" s="139">
        <v>1249</v>
      </c>
      <c r="B1250" s="36" t="s">
        <v>16734</v>
      </c>
      <c r="C1250" s="36" t="s">
        <v>16735</v>
      </c>
      <c r="D1250" s="36" t="s">
        <v>16736</v>
      </c>
      <c r="E1250" s="36" t="s">
        <v>16737</v>
      </c>
      <c r="F1250" s="36" t="s">
        <v>16737</v>
      </c>
      <c r="G1250" s="36" t="s">
        <v>16737</v>
      </c>
      <c r="H1250" s="36" t="s">
        <v>16737</v>
      </c>
      <c r="I1250" s="36" t="s">
        <v>16737</v>
      </c>
      <c r="J1250" s="36" t="s">
        <v>16737</v>
      </c>
      <c r="K1250" s="36" t="s">
        <v>16737</v>
      </c>
      <c r="L1250" s="36" t="s">
        <v>16737</v>
      </c>
      <c r="M1250" s="36" t="s">
        <v>16737</v>
      </c>
      <c r="N1250" s="36" t="s">
        <v>16737</v>
      </c>
      <c r="O1250" s="36" t="s">
        <v>16737</v>
      </c>
      <c r="P1250" s="36" t="s">
        <v>16737</v>
      </c>
    </row>
    <row r="1251" spans="1:16">
      <c r="A1251" s="139">
        <v>1250</v>
      </c>
      <c r="B1251" s="36" t="s">
        <v>16126</v>
      </c>
      <c r="C1251" s="36">
        <v>41</v>
      </c>
      <c r="D1251" s="36">
        <v>41</v>
      </c>
      <c r="E1251" s="36">
        <v>41</v>
      </c>
      <c r="F1251" s="36">
        <v>41</v>
      </c>
      <c r="G1251" s="36">
        <v>41</v>
      </c>
      <c r="H1251" s="36">
        <v>41</v>
      </c>
      <c r="I1251" s="36">
        <v>41</v>
      </c>
      <c r="J1251" s="36">
        <v>41</v>
      </c>
      <c r="K1251" s="36">
        <v>41</v>
      </c>
      <c r="L1251" s="36">
        <v>41</v>
      </c>
      <c r="M1251" s="36">
        <v>41</v>
      </c>
      <c r="N1251" s="36">
        <v>41</v>
      </c>
      <c r="O1251" s="36">
        <v>41</v>
      </c>
      <c r="P1251" s="36" t="s">
        <v>16126</v>
      </c>
    </row>
    <row r="1252" spans="1:16">
      <c r="A1252" s="139">
        <v>1251</v>
      </c>
      <c r="B1252" s="36" t="s">
        <v>16738</v>
      </c>
      <c r="C1252" s="36" t="s">
        <v>16739</v>
      </c>
      <c r="D1252" s="36" t="s">
        <v>16740</v>
      </c>
      <c r="E1252" s="36" t="s">
        <v>16741</v>
      </c>
      <c r="F1252" s="36" t="s">
        <v>16742</v>
      </c>
      <c r="G1252" s="36" t="s">
        <v>16743</v>
      </c>
      <c r="H1252" s="36" t="s">
        <v>16744</v>
      </c>
      <c r="I1252" s="36" t="s">
        <v>16745</v>
      </c>
      <c r="J1252" s="36" t="s">
        <v>16746</v>
      </c>
      <c r="K1252" s="36" t="s">
        <v>16747</v>
      </c>
      <c r="L1252" s="36" t="s">
        <v>16748</v>
      </c>
      <c r="M1252" s="36" t="s">
        <v>16749</v>
      </c>
      <c r="N1252" s="36" t="s">
        <v>16750</v>
      </c>
      <c r="O1252" s="36" t="s">
        <v>16751</v>
      </c>
      <c r="P1252" s="36" t="s">
        <v>16738</v>
      </c>
    </row>
    <row r="1253" spans="1:16">
      <c r="A1253" s="139">
        <v>1252</v>
      </c>
      <c r="B1253" s="36" t="s">
        <v>16752</v>
      </c>
      <c r="C1253" s="36" t="s">
        <v>16753</v>
      </c>
      <c r="D1253" s="36" t="s">
        <v>16754</v>
      </c>
      <c r="E1253" s="36" t="s">
        <v>16755</v>
      </c>
      <c r="F1253" s="36" t="s">
        <v>16756</v>
      </c>
      <c r="G1253" s="36" t="s">
        <v>16755</v>
      </c>
      <c r="H1253" s="36" t="s">
        <v>16755</v>
      </c>
      <c r="I1253" s="36" t="s">
        <v>16755</v>
      </c>
      <c r="J1253" s="36" t="s">
        <v>16755</v>
      </c>
      <c r="K1253" s="36" t="s">
        <v>16755</v>
      </c>
      <c r="L1253" s="36" t="s">
        <v>16757</v>
      </c>
      <c r="M1253" s="36" t="s">
        <v>16755</v>
      </c>
      <c r="N1253" s="36" t="s">
        <v>16755</v>
      </c>
      <c r="O1253" s="36" t="s">
        <v>16758</v>
      </c>
      <c r="P1253" s="36" t="s">
        <v>16755</v>
      </c>
    </row>
    <row r="1254" spans="1:16">
      <c r="A1254" s="139">
        <v>1253</v>
      </c>
      <c r="B1254" s="36" t="s">
        <v>16759</v>
      </c>
      <c r="C1254" s="36" t="s">
        <v>16760</v>
      </c>
      <c r="D1254" s="36" t="s">
        <v>16761</v>
      </c>
      <c r="E1254" s="36" t="s">
        <v>16762</v>
      </c>
      <c r="F1254" s="36" t="s">
        <v>16763</v>
      </c>
      <c r="G1254" s="36" t="s">
        <v>16764</v>
      </c>
      <c r="H1254" s="36" t="s">
        <v>16765</v>
      </c>
      <c r="I1254" s="36" t="s">
        <v>16766</v>
      </c>
      <c r="J1254" s="36" t="s">
        <v>16767</v>
      </c>
      <c r="K1254" s="36" t="s">
        <v>16768</v>
      </c>
      <c r="L1254" s="36" t="s">
        <v>16769</v>
      </c>
      <c r="M1254" s="36" t="s">
        <v>16770</v>
      </c>
      <c r="N1254" s="36" t="s">
        <v>16771</v>
      </c>
      <c r="O1254" s="36" t="s">
        <v>16772</v>
      </c>
      <c r="P1254" s="36" t="s">
        <v>16759</v>
      </c>
    </row>
    <row r="1255" spans="1:16">
      <c r="A1255" s="139">
        <v>1254</v>
      </c>
      <c r="B1255" s="36" t="s">
        <v>16773</v>
      </c>
      <c r="C1255" s="36" t="s">
        <v>16774</v>
      </c>
      <c r="D1255" s="36" t="s">
        <v>16775</v>
      </c>
      <c r="E1255" s="36" t="s">
        <v>16776</v>
      </c>
      <c r="F1255" s="36" t="s">
        <v>16777</v>
      </c>
      <c r="G1255" s="36" t="s">
        <v>16778</v>
      </c>
      <c r="H1255" s="36" t="s">
        <v>16779</v>
      </c>
      <c r="I1255" s="36" t="s">
        <v>16780</v>
      </c>
      <c r="J1255" s="36" t="s">
        <v>16781</v>
      </c>
      <c r="K1255" s="36" t="s">
        <v>16782</v>
      </c>
      <c r="L1255" s="36" t="s">
        <v>16783</v>
      </c>
      <c r="M1255" s="36" t="s">
        <v>16784</v>
      </c>
      <c r="N1255" s="36" t="s">
        <v>16785</v>
      </c>
      <c r="O1255" s="36" t="s">
        <v>16786</v>
      </c>
      <c r="P1255" s="36" t="s">
        <v>16773</v>
      </c>
    </row>
    <row r="1256" spans="1:16">
      <c r="A1256" s="139">
        <v>1255</v>
      </c>
      <c r="B1256" s="36" t="s">
        <v>16787</v>
      </c>
      <c r="C1256" s="36" t="s">
        <v>16788</v>
      </c>
      <c r="D1256" s="36" t="s">
        <v>16789</v>
      </c>
      <c r="E1256" s="36" t="s">
        <v>16790</v>
      </c>
      <c r="F1256" s="36" t="s">
        <v>16791</v>
      </c>
      <c r="G1256" s="36" t="s">
        <v>16792</v>
      </c>
      <c r="H1256" s="36" t="s">
        <v>16793</v>
      </c>
      <c r="I1256" s="36" t="s">
        <v>16794</v>
      </c>
      <c r="J1256" s="36" t="s">
        <v>16795</v>
      </c>
      <c r="K1256" s="36" t="s">
        <v>16796</v>
      </c>
      <c r="L1256" s="36" t="s">
        <v>16797</v>
      </c>
      <c r="M1256" s="36" t="s">
        <v>16798</v>
      </c>
      <c r="N1256" s="36" t="s">
        <v>16799</v>
      </c>
      <c r="O1256" s="36" t="s">
        <v>16800</v>
      </c>
      <c r="P1256" s="36" t="s">
        <v>16787</v>
      </c>
    </row>
    <row r="1257" spans="1:16" ht="16.2">
      <c r="A1257" s="139">
        <v>1256</v>
      </c>
      <c r="B1257" s="36" t="s">
        <v>16801</v>
      </c>
      <c r="C1257" s="36" t="s">
        <v>16802</v>
      </c>
      <c r="D1257" s="36" t="s">
        <v>16803</v>
      </c>
      <c r="E1257" s="36" t="s">
        <v>16804</v>
      </c>
      <c r="F1257" s="36" t="s">
        <v>16805</v>
      </c>
      <c r="G1257" s="36" t="s">
        <v>16806</v>
      </c>
      <c r="H1257" s="36" t="s">
        <v>16807</v>
      </c>
      <c r="I1257" s="36" t="s">
        <v>16808</v>
      </c>
      <c r="J1257" s="36" t="s">
        <v>16809</v>
      </c>
      <c r="K1257" s="36" t="s">
        <v>16810</v>
      </c>
      <c r="L1257" s="36" t="s">
        <v>16811</v>
      </c>
      <c r="M1257" s="36" t="s">
        <v>16812</v>
      </c>
      <c r="N1257" s="36" t="s">
        <v>16813</v>
      </c>
      <c r="O1257" s="36" t="s">
        <v>16814</v>
      </c>
      <c r="P1257" s="36" t="s">
        <v>16801</v>
      </c>
    </row>
    <row r="1258" spans="1:16" ht="16.2">
      <c r="A1258" s="139">
        <v>1257</v>
      </c>
      <c r="B1258" s="36" t="s">
        <v>16815</v>
      </c>
      <c r="C1258" s="36" t="s">
        <v>16816</v>
      </c>
      <c r="D1258" s="36" t="s">
        <v>16817</v>
      </c>
      <c r="E1258" s="36" t="s">
        <v>16818</v>
      </c>
      <c r="F1258" s="36" t="s">
        <v>16819</v>
      </c>
      <c r="G1258" s="36" t="s">
        <v>16820</v>
      </c>
      <c r="H1258" s="36" t="s">
        <v>16821</v>
      </c>
      <c r="I1258" s="36" t="s">
        <v>16822</v>
      </c>
      <c r="J1258" s="36" t="s">
        <v>16823</v>
      </c>
      <c r="K1258" s="36" t="s">
        <v>16824</v>
      </c>
      <c r="L1258" s="36" t="s">
        <v>16825</v>
      </c>
      <c r="M1258" s="36" t="s">
        <v>16826</v>
      </c>
      <c r="N1258" s="36" t="s">
        <v>16827</v>
      </c>
      <c r="O1258" s="36" t="s">
        <v>16828</v>
      </c>
      <c r="P1258" s="36" t="s">
        <v>16815</v>
      </c>
    </row>
    <row r="1259" spans="1:16" ht="16.2">
      <c r="A1259" s="139">
        <v>1258</v>
      </c>
      <c r="B1259" s="36" t="s">
        <v>16829</v>
      </c>
      <c r="C1259" s="36" t="s">
        <v>16830</v>
      </c>
      <c r="D1259" s="36" t="s">
        <v>16831</v>
      </c>
      <c r="E1259" s="36" t="s">
        <v>16832</v>
      </c>
      <c r="F1259" s="36" t="s">
        <v>16833</v>
      </c>
      <c r="G1259" s="36" t="s">
        <v>16834</v>
      </c>
      <c r="H1259" s="36" t="s">
        <v>16835</v>
      </c>
      <c r="I1259" s="36" t="s">
        <v>16836</v>
      </c>
      <c r="J1259" s="36" t="s">
        <v>16837</v>
      </c>
      <c r="K1259" s="36" t="s">
        <v>16838</v>
      </c>
      <c r="L1259" s="36" t="s">
        <v>16839</v>
      </c>
      <c r="M1259" s="36" t="s">
        <v>16840</v>
      </c>
      <c r="N1259" s="36" t="s">
        <v>16841</v>
      </c>
      <c r="O1259" s="36" t="s">
        <v>16842</v>
      </c>
      <c r="P1259" s="36" t="s">
        <v>16829</v>
      </c>
    </row>
    <row r="1260" spans="1:16">
      <c r="A1260" s="139">
        <v>1259</v>
      </c>
      <c r="B1260" s="36" t="s">
        <v>16843</v>
      </c>
      <c r="C1260" s="36" t="s">
        <v>16844</v>
      </c>
      <c r="D1260" s="36" t="s">
        <v>16845</v>
      </c>
      <c r="E1260" s="36" t="s">
        <v>16846</v>
      </c>
      <c r="F1260" s="36" t="s">
        <v>16847</v>
      </c>
      <c r="G1260" s="36" t="s">
        <v>16848</v>
      </c>
      <c r="H1260" s="36" t="s">
        <v>16849</v>
      </c>
      <c r="I1260" s="36" t="s">
        <v>16850</v>
      </c>
      <c r="J1260" s="36" t="s">
        <v>16851</v>
      </c>
      <c r="K1260" s="36" t="s">
        <v>16852</v>
      </c>
      <c r="L1260" s="36" t="s">
        <v>16853</v>
      </c>
      <c r="M1260" s="36" t="s">
        <v>16854</v>
      </c>
      <c r="N1260" s="36" t="s">
        <v>16855</v>
      </c>
      <c r="O1260" s="36" t="s">
        <v>16856</v>
      </c>
      <c r="P1260" s="36" t="s">
        <v>16857</v>
      </c>
    </row>
    <row r="1261" spans="1:16">
      <c r="A1261" s="139">
        <v>1260</v>
      </c>
      <c r="B1261" s="36" t="s">
        <v>16858</v>
      </c>
      <c r="C1261" s="36" t="s">
        <v>16859</v>
      </c>
      <c r="D1261" s="36" t="s">
        <v>16860</v>
      </c>
      <c r="E1261" s="36" t="s">
        <v>16861</v>
      </c>
      <c r="F1261" s="36" t="s">
        <v>16862</v>
      </c>
      <c r="G1261" s="36" t="s">
        <v>16863</v>
      </c>
      <c r="H1261" s="36" t="s">
        <v>16864</v>
      </c>
      <c r="I1261" s="36" t="s">
        <v>16865</v>
      </c>
      <c r="J1261" s="36" t="s">
        <v>16866</v>
      </c>
      <c r="K1261" s="36" t="s">
        <v>16867</v>
      </c>
      <c r="L1261" s="36" t="s">
        <v>16868</v>
      </c>
      <c r="M1261" s="36" t="s">
        <v>16869</v>
      </c>
      <c r="N1261" s="36" t="s">
        <v>16870</v>
      </c>
      <c r="O1261" s="36" t="s">
        <v>16871</v>
      </c>
      <c r="P1261" s="36" t="s">
        <v>16858</v>
      </c>
    </row>
    <row r="1262" spans="1:16">
      <c r="A1262" s="139">
        <v>1261</v>
      </c>
      <c r="B1262" s="36" t="s">
        <v>16872</v>
      </c>
      <c r="C1262" s="36" t="s">
        <v>16873</v>
      </c>
      <c r="D1262" s="36" t="s">
        <v>16874</v>
      </c>
      <c r="E1262" s="36" t="s">
        <v>16875</v>
      </c>
      <c r="F1262" s="36" t="s">
        <v>16876</v>
      </c>
      <c r="G1262" s="36" t="s">
        <v>16877</v>
      </c>
      <c r="H1262" s="36" t="s">
        <v>16878</v>
      </c>
      <c r="I1262" s="36" t="s">
        <v>16879</v>
      </c>
      <c r="J1262" s="36" t="s">
        <v>16880</v>
      </c>
      <c r="K1262" s="36" t="s">
        <v>16881</v>
      </c>
      <c r="L1262" s="36" t="s">
        <v>16882</v>
      </c>
      <c r="M1262" s="36" t="s">
        <v>16883</v>
      </c>
      <c r="N1262" s="36" t="s">
        <v>16884</v>
      </c>
      <c r="O1262" s="36" t="s">
        <v>16885</v>
      </c>
      <c r="P1262" s="36" t="s">
        <v>16872</v>
      </c>
    </row>
    <row r="1263" spans="1:16">
      <c r="A1263" s="139">
        <v>1262</v>
      </c>
      <c r="B1263" s="36" t="s">
        <v>5678</v>
      </c>
      <c r="C1263" s="36" t="s">
        <v>5679</v>
      </c>
      <c r="D1263" s="36" t="s">
        <v>5680</v>
      </c>
      <c r="E1263" s="36" t="s">
        <v>5681</v>
      </c>
      <c r="F1263" s="36" t="s">
        <v>16886</v>
      </c>
      <c r="G1263" s="36" t="s">
        <v>5683</v>
      </c>
      <c r="H1263" s="36" t="s">
        <v>5684</v>
      </c>
      <c r="I1263" s="36" t="s">
        <v>5685</v>
      </c>
      <c r="J1263" s="36" t="s">
        <v>5686</v>
      </c>
      <c r="K1263" s="36" t="s">
        <v>5687</v>
      </c>
      <c r="L1263" s="36" t="s">
        <v>5688</v>
      </c>
      <c r="M1263" s="36" t="s">
        <v>5689</v>
      </c>
      <c r="N1263" s="36" t="s">
        <v>5690</v>
      </c>
      <c r="O1263" s="36" t="s">
        <v>5691</v>
      </c>
      <c r="P1263" s="36" t="s">
        <v>5678</v>
      </c>
    </row>
    <row r="1264" spans="1:16">
      <c r="A1264" s="139">
        <v>1263</v>
      </c>
      <c r="B1264" s="36" t="s">
        <v>12812</v>
      </c>
      <c r="C1264" s="36" t="s">
        <v>16887</v>
      </c>
      <c r="D1264" s="36" t="s">
        <v>12814</v>
      </c>
      <c r="E1264" s="36" t="s">
        <v>12815</v>
      </c>
      <c r="F1264" s="36" t="s">
        <v>16888</v>
      </c>
      <c r="G1264" s="36" t="s">
        <v>12817</v>
      </c>
      <c r="H1264" s="36" t="s">
        <v>12818</v>
      </c>
      <c r="I1264" s="36" t="s">
        <v>12819</v>
      </c>
      <c r="J1264" s="36" t="s">
        <v>12820</v>
      </c>
      <c r="K1264" s="36" t="s">
        <v>12821</v>
      </c>
      <c r="L1264" s="36" t="s">
        <v>12822</v>
      </c>
      <c r="M1264" s="36" t="s">
        <v>12823</v>
      </c>
      <c r="N1264" s="36" t="s">
        <v>12824</v>
      </c>
      <c r="O1264" s="36" t="s">
        <v>12825</v>
      </c>
      <c r="P1264" s="36" t="s">
        <v>12812</v>
      </c>
    </row>
    <row r="1265" spans="1:16">
      <c r="A1265" s="139">
        <v>1264</v>
      </c>
      <c r="B1265" s="36" t="s">
        <v>16889</v>
      </c>
      <c r="C1265" s="36" t="s">
        <v>16890</v>
      </c>
      <c r="D1265" s="36" t="s">
        <v>16891</v>
      </c>
      <c r="E1265" s="36" t="s">
        <v>16892</v>
      </c>
      <c r="F1265" s="36" t="s">
        <v>16893</v>
      </c>
      <c r="G1265" s="36" t="s">
        <v>16894</v>
      </c>
      <c r="H1265" s="36" t="s">
        <v>16895</v>
      </c>
      <c r="I1265" s="36" t="s">
        <v>16896</v>
      </c>
      <c r="J1265" s="36" t="s">
        <v>16897</v>
      </c>
      <c r="K1265" s="36" t="s">
        <v>16898</v>
      </c>
      <c r="L1265" s="36" t="s">
        <v>16899</v>
      </c>
      <c r="M1265" s="36" t="s">
        <v>16900</v>
      </c>
      <c r="N1265" s="36" t="s">
        <v>16901</v>
      </c>
      <c r="O1265" s="36" t="s">
        <v>16902</v>
      </c>
      <c r="P1265" s="36" t="s">
        <v>16889</v>
      </c>
    </row>
    <row r="1266" spans="1:16">
      <c r="A1266" s="139">
        <v>1265</v>
      </c>
      <c r="B1266" s="36" t="s">
        <v>16903</v>
      </c>
      <c r="C1266" s="36" t="s">
        <v>16904</v>
      </c>
      <c r="D1266" s="36" t="s">
        <v>16905</v>
      </c>
      <c r="E1266" s="36" t="s">
        <v>16906</v>
      </c>
      <c r="F1266" s="36" t="s">
        <v>16907</v>
      </c>
      <c r="G1266" s="36" t="s">
        <v>16908</v>
      </c>
      <c r="H1266" s="36" t="s">
        <v>16909</v>
      </c>
      <c r="I1266" s="36" t="s">
        <v>16910</v>
      </c>
      <c r="J1266" s="36" t="s">
        <v>16911</v>
      </c>
      <c r="K1266" s="36" t="s">
        <v>16912</v>
      </c>
      <c r="L1266" s="36" t="s">
        <v>16913</v>
      </c>
      <c r="M1266" s="36" t="s">
        <v>16914</v>
      </c>
      <c r="N1266" s="36" t="s">
        <v>16915</v>
      </c>
      <c r="O1266" s="36" t="s">
        <v>16916</v>
      </c>
      <c r="P1266" s="36" t="s">
        <v>16903</v>
      </c>
    </row>
    <row r="1267" spans="1:16">
      <c r="A1267" s="139">
        <v>1266</v>
      </c>
      <c r="B1267" s="36" t="s">
        <v>16917</v>
      </c>
      <c r="C1267" s="36" t="s">
        <v>16918</v>
      </c>
      <c r="D1267" s="36" t="s">
        <v>16919</v>
      </c>
      <c r="E1267" s="36" t="s">
        <v>16920</v>
      </c>
      <c r="F1267" s="36" t="s">
        <v>16921</v>
      </c>
      <c r="G1267" s="36" t="s">
        <v>16922</v>
      </c>
      <c r="H1267" s="36" t="s">
        <v>16923</v>
      </c>
      <c r="I1267" s="36" t="s">
        <v>16924</v>
      </c>
      <c r="J1267" s="36" t="s">
        <v>16925</v>
      </c>
      <c r="K1267" s="36" t="s">
        <v>16926</v>
      </c>
      <c r="L1267" s="36" t="s">
        <v>16927</v>
      </c>
      <c r="M1267" s="36" t="s">
        <v>16928</v>
      </c>
      <c r="N1267" s="36" t="s">
        <v>16929</v>
      </c>
      <c r="O1267" s="36" t="s">
        <v>16930</v>
      </c>
      <c r="P1267" s="36" t="s">
        <v>16917</v>
      </c>
    </row>
    <row r="1268" spans="1:16">
      <c r="A1268" s="139">
        <v>1267</v>
      </c>
      <c r="B1268" s="36" t="s">
        <v>16931</v>
      </c>
      <c r="C1268" s="36" t="s">
        <v>16932</v>
      </c>
      <c r="D1268" s="36" t="s">
        <v>16933</v>
      </c>
      <c r="E1268" s="36" t="s">
        <v>16934</v>
      </c>
      <c r="F1268" s="36" t="s">
        <v>16935</v>
      </c>
      <c r="G1268" s="36" t="s">
        <v>16936</v>
      </c>
      <c r="H1268" s="36" t="s">
        <v>16937</v>
      </c>
      <c r="I1268" s="36" t="s">
        <v>16938</v>
      </c>
      <c r="J1268" s="36" t="s">
        <v>16939</v>
      </c>
      <c r="K1268" s="36" t="s">
        <v>16940</v>
      </c>
      <c r="L1268" s="36" t="s">
        <v>16941</v>
      </c>
      <c r="M1268" s="36" t="s">
        <v>16942</v>
      </c>
      <c r="N1268" s="36" t="s">
        <v>16943</v>
      </c>
      <c r="O1268" s="36" t="s">
        <v>16944</v>
      </c>
      <c r="P1268" s="36" t="s">
        <v>16931</v>
      </c>
    </row>
    <row r="1269" spans="1:16">
      <c r="A1269" s="139">
        <v>1268</v>
      </c>
      <c r="B1269" s="36" t="s">
        <v>16945</v>
      </c>
      <c r="C1269" s="36" t="s">
        <v>16946</v>
      </c>
      <c r="D1269" s="36" t="s">
        <v>16947</v>
      </c>
      <c r="E1269" s="36" t="s">
        <v>16948</v>
      </c>
      <c r="F1269" s="36" t="s">
        <v>16949</v>
      </c>
      <c r="G1269" s="36" t="s">
        <v>4779</v>
      </c>
      <c r="H1269" s="36" t="s">
        <v>4780</v>
      </c>
      <c r="I1269" s="36" t="s">
        <v>16950</v>
      </c>
      <c r="J1269" s="36" t="s">
        <v>16951</v>
      </c>
      <c r="K1269" s="36" t="s">
        <v>16952</v>
      </c>
      <c r="L1269" s="36" t="s">
        <v>16953</v>
      </c>
      <c r="M1269" s="36" t="s">
        <v>16954</v>
      </c>
      <c r="N1269" s="36" t="s">
        <v>4786</v>
      </c>
      <c r="O1269" s="36" t="s">
        <v>16955</v>
      </c>
      <c r="P1269" s="36" t="s">
        <v>16945</v>
      </c>
    </row>
    <row r="1270" spans="1:16">
      <c r="A1270" s="139">
        <v>1269</v>
      </c>
      <c r="B1270" s="36" t="s">
        <v>16956</v>
      </c>
      <c r="C1270" s="36" t="s">
        <v>16957</v>
      </c>
      <c r="D1270" s="36" t="s">
        <v>16958</v>
      </c>
      <c r="E1270" s="36" t="s">
        <v>16959</v>
      </c>
      <c r="F1270" s="36" t="s">
        <v>16960</v>
      </c>
      <c r="G1270" s="36" t="s">
        <v>16961</v>
      </c>
      <c r="H1270" s="36" t="s">
        <v>16962</v>
      </c>
      <c r="I1270" s="36" t="s">
        <v>16963</v>
      </c>
      <c r="J1270" s="36" t="s">
        <v>16964</v>
      </c>
      <c r="K1270" s="36" t="s">
        <v>16965</v>
      </c>
      <c r="L1270" s="36" t="s">
        <v>16966</v>
      </c>
      <c r="M1270" s="36" t="s">
        <v>16967</v>
      </c>
      <c r="N1270" s="36" t="s">
        <v>16968</v>
      </c>
      <c r="O1270" s="36" t="s">
        <v>16969</v>
      </c>
      <c r="P1270" s="36" t="s">
        <v>16970</v>
      </c>
    </row>
    <row r="1271" spans="1:16">
      <c r="A1271" s="139">
        <v>1270</v>
      </c>
      <c r="B1271" s="36" t="s">
        <v>16971</v>
      </c>
      <c r="C1271" s="36" t="s">
        <v>14044</v>
      </c>
      <c r="D1271" s="36" t="s">
        <v>16972</v>
      </c>
      <c r="E1271" s="36" t="s">
        <v>16973</v>
      </c>
      <c r="F1271" s="36" t="s">
        <v>16974</v>
      </c>
      <c r="G1271" s="36" t="s">
        <v>16975</v>
      </c>
      <c r="H1271" s="36" t="s">
        <v>16976</v>
      </c>
      <c r="I1271" s="36" t="s">
        <v>16977</v>
      </c>
      <c r="J1271" s="36" t="s">
        <v>16978</v>
      </c>
      <c r="K1271" s="36" t="s">
        <v>16979</v>
      </c>
      <c r="L1271" s="36" t="s">
        <v>16980</v>
      </c>
      <c r="M1271" s="36" t="s">
        <v>16981</v>
      </c>
      <c r="N1271" s="36" t="s">
        <v>16982</v>
      </c>
      <c r="O1271" s="36" t="s">
        <v>16983</v>
      </c>
      <c r="P1271" s="36" t="s">
        <v>16971</v>
      </c>
    </row>
    <row r="1272" spans="1:16">
      <c r="A1272" s="139">
        <v>1271</v>
      </c>
      <c r="B1272" s="36" t="s">
        <v>15415</v>
      </c>
      <c r="C1272" s="36" t="s">
        <v>15416</v>
      </c>
      <c r="D1272" s="36" t="s">
        <v>15417</v>
      </c>
      <c r="E1272" s="36" t="s">
        <v>15418</v>
      </c>
      <c r="F1272" s="36" t="s">
        <v>16984</v>
      </c>
      <c r="G1272" s="36" t="s">
        <v>15420</v>
      </c>
      <c r="H1272" s="36" t="s">
        <v>15421</v>
      </c>
      <c r="I1272" s="36" t="s">
        <v>15422</v>
      </c>
      <c r="J1272" s="36" t="s">
        <v>15423</v>
      </c>
      <c r="K1272" s="36" t="s">
        <v>15424</v>
      </c>
      <c r="L1272" s="36" t="s">
        <v>15425</v>
      </c>
      <c r="M1272" s="36" t="s">
        <v>15426</v>
      </c>
      <c r="N1272" s="36" t="s">
        <v>15427</v>
      </c>
      <c r="O1272" s="36" t="s">
        <v>15428</v>
      </c>
      <c r="P1272" s="36" t="s">
        <v>15415</v>
      </c>
    </row>
    <row r="1273" spans="1:16">
      <c r="A1273" s="139">
        <v>1272</v>
      </c>
      <c r="B1273" s="36" t="s">
        <v>16985</v>
      </c>
      <c r="C1273" s="36" t="s">
        <v>16986</v>
      </c>
      <c r="D1273" s="36" t="s">
        <v>16987</v>
      </c>
      <c r="E1273" s="36" t="s">
        <v>16988</v>
      </c>
      <c r="F1273" s="36" t="s">
        <v>16989</v>
      </c>
      <c r="G1273" s="36" t="s">
        <v>16990</v>
      </c>
      <c r="H1273" s="36" t="s">
        <v>16991</v>
      </c>
      <c r="I1273" s="36" t="s">
        <v>16992</v>
      </c>
      <c r="J1273" s="36" t="s">
        <v>16993</v>
      </c>
      <c r="K1273" s="36" t="s">
        <v>16994</v>
      </c>
      <c r="L1273" s="36" t="s">
        <v>16995</v>
      </c>
      <c r="M1273" s="36" t="s">
        <v>14109</v>
      </c>
      <c r="N1273" s="36" t="s">
        <v>16996</v>
      </c>
      <c r="O1273" s="36" t="s">
        <v>16997</v>
      </c>
      <c r="P1273" s="36" t="s">
        <v>16985</v>
      </c>
    </row>
    <row r="1274" spans="1:16">
      <c r="A1274" s="139">
        <v>1273</v>
      </c>
      <c r="B1274" s="36" t="s">
        <v>16998</v>
      </c>
      <c r="C1274" s="36" t="s">
        <v>16999</v>
      </c>
      <c r="D1274" s="36" t="s">
        <v>17000</v>
      </c>
      <c r="E1274" s="36" t="s">
        <v>17001</v>
      </c>
      <c r="F1274" s="36" t="s">
        <v>17002</v>
      </c>
      <c r="G1274" s="36" t="s">
        <v>17003</v>
      </c>
      <c r="H1274" s="36" t="s">
        <v>17004</v>
      </c>
      <c r="I1274" s="36" t="s">
        <v>17005</v>
      </c>
      <c r="J1274" s="36" t="s">
        <v>17006</v>
      </c>
      <c r="K1274" s="36" t="s">
        <v>17007</v>
      </c>
      <c r="L1274" s="36" t="s">
        <v>17008</v>
      </c>
      <c r="M1274" s="36" t="s">
        <v>17009</v>
      </c>
      <c r="N1274" s="36" t="s">
        <v>17009</v>
      </c>
      <c r="O1274" s="36" t="s">
        <v>17010</v>
      </c>
      <c r="P1274" s="36" t="s">
        <v>16998</v>
      </c>
    </row>
    <row r="1275" spans="1:16">
      <c r="A1275" s="139">
        <v>1274</v>
      </c>
      <c r="B1275" s="36" t="s">
        <v>17011</v>
      </c>
      <c r="C1275" s="36" t="s">
        <v>17012</v>
      </c>
      <c r="D1275" s="36" t="s">
        <v>17013</v>
      </c>
      <c r="E1275" s="36" t="s">
        <v>17014</v>
      </c>
      <c r="F1275" s="36" t="s">
        <v>17015</v>
      </c>
      <c r="G1275" s="36" t="s">
        <v>17016</v>
      </c>
      <c r="H1275" s="36" t="s">
        <v>17017</v>
      </c>
      <c r="I1275" s="36" t="s">
        <v>17018</v>
      </c>
      <c r="J1275" s="36" t="s">
        <v>17019</v>
      </c>
      <c r="K1275" s="36" t="s">
        <v>17020</v>
      </c>
      <c r="L1275" s="36" t="s">
        <v>17021</v>
      </c>
      <c r="M1275" s="36" t="s">
        <v>17022</v>
      </c>
      <c r="N1275" s="36" t="s">
        <v>17022</v>
      </c>
      <c r="O1275" s="36" t="s">
        <v>17023</v>
      </c>
      <c r="P1275" s="36" t="s">
        <v>17011</v>
      </c>
    </row>
    <row r="1276" spans="1:16" ht="14.4">
      <c r="A1276" s="139">
        <v>1275</v>
      </c>
      <c r="B1276" s="36" t="s">
        <v>17024</v>
      </c>
      <c r="C1276" s="36" t="s">
        <v>4649</v>
      </c>
      <c r="D1276" s="36" t="s">
        <v>17025</v>
      </c>
      <c r="E1276" s="36" t="s">
        <v>17026</v>
      </c>
      <c r="F1276" s="36" t="s">
        <v>4652</v>
      </c>
      <c r="G1276" s="36" t="s">
        <v>17027</v>
      </c>
      <c r="H1276" s="36" t="s">
        <v>17028</v>
      </c>
      <c r="I1276" s="36" t="s">
        <v>17029</v>
      </c>
      <c r="J1276" s="36" t="s">
        <v>17030</v>
      </c>
      <c r="K1276" s="36" t="s">
        <v>17031</v>
      </c>
      <c r="L1276" s="36" t="s">
        <v>17032</v>
      </c>
      <c r="M1276" s="36" t="s">
        <v>17033</v>
      </c>
      <c r="N1276" s="36" t="s">
        <v>17034</v>
      </c>
      <c r="O1276" s="36" t="s">
        <v>17035</v>
      </c>
      <c r="P1276" s="36" t="s">
        <v>17024</v>
      </c>
    </row>
    <row r="1277" spans="1:16">
      <c r="A1277" s="139">
        <v>1276</v>
      </c>
      <c r="B1277" s="36" t="s">
        <v>17036</v>
      </c>
      <c r="C1277" s="36" t="s">
        <v>4929</v>
      </c>
      <c r="D1277" s="36" t="s">
        <v>17037</v>
      </c>
      <c r="E1277" s="36" t="s">
        <v>17038</v>
      </c>
      <c r="F1277" s="36" t="s">
        <v>4932</v>
      </c>
      <c r="G1277" s="36" t="s">
        <v>17039</v>
      </c>
      <c r="H1277" s="36" t="s">
        <v>17040</v>
      </c>
      <c r="I1277" s="36" t="s">
        <v>17041</v>
      </c>
      <c r="J1277" s="36" t="s">
        <v>17042</v>
      </c>
      <c r="K1277" s="36" t="s">
        <v>17043</v>
      </c>
      <c r="L1277" s="36" t="s">
        <v>17044</v>
      </c>
      <c r="M1277" s="36" t="s">
        <v>17045</v>
      </c>
      <c r="N1277" s="36" t="s">
        <v>17046</v>
      </c>
      <c r="O1277" s="36" t="s">
        <v>17047</v>
      </c>
      <c r="P1277" s="36" t="s">
        <v>17036</v>
      </c>
    </row>
    <row r="1278" spans="1:16">
      <c r="A1278" s="139">
        <v>1277</v>
      </c>
      <c r="B1278" s="36" t="s">
        <v>17048</v>
      </c>
      <c r="C1278" s="36" t="s">
        <v>17049</v>
      </c>
      <c r="D1278" s="36" t="s">
        <v>17050</v>
      </c>
      <c r="E1278" s="36" t="s">
        <v>17051</v>
      </c>
      <c r="F1278" s="36" t="s">
        <v>17052</v>
      </c>
      <c r="G1278" s="36" t="s">
        <v>17053</v>
      </c>
      <c r="H1278" s="36" t="s">
        <v>17054</v>
      </c>
      <c r="I1278" s="36" t="s">
        <v>17055</v>
      </c>
      <c r="J1278" s="36" t="s">
        <v>17056</v>
      </c>
      <c r="K1278" s="36" t="s">
        <v>17057</v>
      </c>
      <c r="L1278" s="36" t="s">
        <v>17058</v>
      </c>
      <c r="M1278" s="36" t="s">
        <v>17059</v>
      </c>
      <c r="N1278" s="36" t="s">
        <v>17060</v>
      </c>
      <c r="O1278" s="36" t="s">
        <v>17061</v>
      </c>
      <c r="P1278" s="36" t="s">
        <v>17048</v>
      </c>
    </row>
    <row r="1279" spans="1:16">
      <c r="A1279" s="139">
        <v>1278</v>
      </c>
      <c r="B1279" s="36" t="s">
        <v>17062</v>
      </c>
      <c r="C1279" s="36" t="s">
        <v>17063</v>
      </c>
      <c r="D1279" s="36" t="s">
        <v>17064</v>
      </c>
      <c r="E1279" s="36" t="s">
        <v>17065</v>
      </c>
      <c r="F1279" s="36" t="s">
        <v>17066</v>
      </c>
      <c r="G1279" s="36" t="s">
        <v>17067</v>
      </c>
      <c r="H1279" s="36" t="s">
        <v>17068</v>
      </c>
      <c r="I1279" s="36" t="s">
        <v>17069</v>
      </c>
      <c r="J1279" s="36" t="s">
        <v>17070</v>
      </c>
      <c r="K1279" s="36" t="s">
        <v>17071</v>
      </c>
      <c r="L1279" s="36" t="s">
        <v>17072</v>
      </c>
      <c r="M1279" s="36" t="s">
        <v>17073</v>
      </c>
      <c r="N1279" s="36" t="s">
        <v>17074</v>
      </c>
      <c r="O1279" s="36" t="s">
        <v>17075</v>
      </c>
      <c r="P1279" s="36" t="s">
        <v>17062</v>
      </c>
    </row>
    <row r="1280" spans="1:16">
      <c r="A1280" s="139">
        <v>1279</v>
      </c>
      <c r="B1280" s="36" t="s">
        <v>17076</v>
      </c>
      <c r="C1280" s="36" t="s">
        <v>17077</v>
      </c>
      <c r="D1280" s="36" t="s">
        <v>17078</v>
      </c>
      <c r="E1280" s="36" t="s">
        <v>17079</v>
      </c>
      <c r="F1280" s="36" t="s">
        <v>17080</v>
      </c>
      <c r="G1280" s="36" t="s">
        <v>17081</v>
      </c>
      <c r="H1280" s="36" t="s">
        <v>17082</v>
      </c>
      <c r="I1280" s="36" t="s">
        <v>17083</v>
      </c>
      <c r="J1280" s="36" t="s">
        <v>17084</v>
      </c>
      <c r="K1280" s="36" t="s">
        <v>17085</v>
      </c>
      <c r="L1280" s="36" t="s">
        <v>17086</v>
      </c>
      <c r="M1280" s="36" t="s">
        <v>17087</v>
      </c>
      <c r="N1280" s="36" t="s">
        <v>17088</v>
      </c>
      <c r="O1280" s="36" t="s">
        <v>17089</v>
      </c>
      <c r="P1280" s="36" t="s">
        <v>17076</v>
      </c>
    </row>
    <row r="1281" spans="1:16">
      <c r="A1281" s="139">
        <v>1280</v>
      </c>
      <c r="B1281" s="36" t="s">
        <v>6419</v>
      </c>
      <c r="C1281" s="36" t="s">
        <v>17090</v>
      </c>
      <c r="D1281" s="36" t="s">
        <v>6421</v>
      </c>
      <c r="E1281" s="36" t="s">
        <v>6422</v>
      </c>
      <c r="F1281" s="36" t="s">
        <v>17091</v>
      </c>
      <c r="G1281" s="36" t="s">
        <v>6424</v>
      </c>
      <c r="H1281" s="36" t="s">
        <v>6425</v>
      </c>
      <c r="I1281" s="36" t="s">
        <v>6426</v>
      </c>
      <c r="J1281" s="36" t="s">
        <v>6427</v>
      </c>
      <c r="K1281" s="36" t="s">
        <v>6428</v>
      </c>
      <c r="L1281" s="36" t="s">
        <v>6429</v>
      </c>
      <c r="M1281" s="36" t="s">
        <v>6430</v>
      </c>
      <c r="N1281" s="36" t="s">
        <v>6431</v>
      </c>
      <c r="O1281" s="36" t="s">
        <v>6432</v>
      </c>
      <c r="P1281" s="36" t="s">
        <v>6419</v>
      </c>
    </row>
    <row r="1282" spans="1:16">
      <c r="A1282" s="139">
        <v>1281</v>
      </c>
      <c r="B1282" s="36" t="s">
        <v>15499</v>
      </c>
      <c r="C1282" s="36" t="s">
        <v>15500</v>
      </c>
      <c r="D1282" s="36" t="s">
        <v>15501</v>
      </c>
      <c r="E1282" s="36" t="s">
        <v>17092</v>
      </c>
      <c r="F1282" s="36" t="s">
        <v>17093</v>
      </c>
      <c r="G1282" s="36" t="s">
        <v>17094</v>
      </c>
      <c r="H1282" s="36" t="s">
        <v>15505</v>
      </c>
      <c r="I1282" s="36" t="s">
        <v>15506</v>
      </c>
      <c r="J1282" s="36" t="s">
        <v>15507</v>
      </c>
      <c r="K1282" s="36" t="s">
        <v>15508</v>
      </c>
      <c r="L1282" s="36" t="s">
        <v>15509</v>
      </c>
      <c r="M1282" s="36" t="s">
        <v>15510</v>
      </c>
      <c r="N1282" s="36" t="s">
        <v>15511</v>
      </c>
      <c r="O1282" s="36" t="s">
        <v>15512</v>
      </c>
      <c r="P1282" s="36" t="s">
        <v>15499</v>
      </c>
    </row>
    <row r="1283" spans="1:16">
      <c r="A1283" s="139">
        <v>1282</v>
      </c>
      <c r="B1283" s="36" t="s">
        <v>17095</v>
      </c>
      <c r="C1283" s="36" t="s">
        <v>17096</v>
      </c>
      <c r="D1283" s="36" t="s">
        <v>17097</v>
      </c>
      <c r="E1283" s="36" t="s">
        <v>17098</v>
      </c>
      <c r="F1283" s="36" t="s">
        <v>17099</v>
      </c>
      <c r="G1283" s="36" t="s">
        <v>17100</v>
      </c>
      <c r="H1283" s="36" t="s">
        <v>17101</v>
      </c>
      <c r="I1283" s="36" t="s">
        <v>17102</v>
      </c>
      <c r="J1283" s="36" t="s">
        <v>17103</v>
      </c>
      <c r="K1283" s="36" t="s">
        <v>17104</v>
      </c>
      <c r="L1283" s="36" t="s">
        <v>17105</v>
      </c>
      <c r="M1283" s="36" t="s">
        <v>17106</v>
      </c>
      <c r="N1283" s="36" t="s">
        <v>17107</v>
      </c>
      <c r="O1283" s="36" t="s">
        <v>17108</v>
      </c>
      <c r="P1283" s="36" t="s">
        <v>17095</v>
      </c>
    </row>
    <row r="1284" spans="1:16">
      <c r="A1284" s="139">
        <v>1283</v>
      </c>
      <c r="B1284" s="36" t="s">
        <v>17109</v>
      </c>
      <c r="C1284" s="36" t="s">
        <v>4273</v>
      </c>
      <c r="D1284" s="36" t="s">
        <v>17110</v>
      </c>
      <c r="E1284" s="36" t="s">
        <v>17111</v>
      </c>
      <c r="F1284" s="36" t="s">
        <v>17112</v>
      </c>
      <c r="G1284" s="36" t="s">
        <v>17113</v>
      </c>
      <c r="H1284" s="36" t="s">
        <v>17114</v>
      </c>
      <c r="I1284" s="36" t="s">
        <v>17115</v>
      </c>
      <c r="J1284" s="36" t="s">
        <v>17116</v>
      </c>
      <c r="K1284" s="36" t="s">
        <v>17117</v>
      </c>
      <c r="L1284" s="36" t="s">
        <v>17118</v>
      </c>
      <c r="M1284" s="36" t="s">
        <v>17119</v>
      </c>
      <c r="N1284" s="36" t="s">
        <v>17120</v>
      </c>
      <c r="O1284" s="36" t="s">
        <v>17121</v>
      </c>
      <c r="P1284" s="36" t="s">
        <v>17109</v>
      </c>
    </row>
    <row r="1285" spans="1:16">
      <c r="A1285" s="139">
        <v>1284</v>
      </c>
      <c r="B1285" s="36" t="s">
        <v>17122</v>
      </c>
      <c r="C1285" s="36" t="s">
        <v>17123</v>
      </c>
      <c r="D1285" s="36" t="s">
        <v>17124</v>
      </c>
      <c r="E1285" s="36" t="s">
        <v>17125</v>
      </c>
      <c r="F1285" s="36" t="s">
        <v>17126</v>
      </c>
      <c r="G1285" s="36" t="s">
        <v>17127</v>
      </c>
      <c r="H1285" s="36" t="s">
        <v>17128</v>
      </c>
      <c r="I1285" s="36" t="s">
        <v>17129</v>
      </c>
      <c r="J1285" s="36" t="s">
        <v>17130</v>
      </c>
      <c r="K1285" s="36" t="s">
        <v>17131</v>
      </c>
      <c r="L1285" s="36" t="s">
        <v>17132</v>
      </c>
      <c r="M1285" s="36" t="s">
        <v>17133</v>
      </c>
      <c r="N1285" s="36" t="s">
        <v>17134</v>
      </c>
      <c r="O1285" s="36" t="s">
        <v>17135</v>
      </c>
      <c r="P1285" s="36" t="s">
        <v>17122</v>
      </c>
    </row>
    <row r="1286" spans="1:16">
      <c r="A1286" s="139">
        <v>1285</v>
      </c>
      <c r="B1286" s="36" t="s">
        <v>17136</v>
      </c>
      <c r="C1286" s="36" t="s">
        <v>17137</v>
      </c>
      <c r="D1286" s="36" t="s">
        <v>17138</v>
      </c>
      <c r="E1286" s="36" t="s">
        <v>17139</v>
      </c>
      <c r="F1286" s="36" t="s">
        <v>17140</v>
      </c>
      <c r="G1286" s="36" t="s">
        <v>17141</v>
      </c>
      <c r="H1286" s="36" t="s">
        <v>17142</v>
      </c>
      <c r="I1286" s="36" t="s">
        <v>17143</v>
      </c>
      <c r="J1286" s="36" t="s">
        <v>17144</v>
      </c>
      <c r="K1286" s="36" t="s">
        <v>17145</v>
      </c>
      <c r="L1286" s="36" t="s">
        <v>17146</v>
      </c>
      <c r="M1286" s="36" t="s">
        <v>17147</v>
      </c>
      <c r="N1286" s="36" t="s">
        <v>17148</v>
      </c>
      <c r="O1286" s="36" t="s">
        <v>17149</v>
      </c>
      <c r="P1286" s="36" t="s">
        <v>17136</v>
      </c>
    </row>
    <row r="1287" spans="1:16">
      <c r="A1287" s="139">
        <v>1286</v>
      </c>
      <c r="B1287" s="36" t="s">
        <v>17150</v>
      </c>
      <c r="C1287" s="36" t="s">
        <v>13693</v>
      </c>
      <c r="D1287" s="36" t="s">
        <v>13694</v>
      </c>
      <c r="E1287" s="36" t="s">
        <v>17151</v>
      </c>
      <c r="F1287" s="36" t="s">
        <v>17152</v>
      </c>
      <c r="G1287" s="36" t="s">
        <v>17153</v>
      </c>
      <c r="H1287" s="36" t="s">
        <v>17154</v>
      </c>
      <c r="I1287" s="36" t="s">
        <v>17155</v>
      </c>
      <c r="J1287" s="36" t="s">
        <v>17156</v>
      </c>
      <c r="K1287" s="36" t="s">
        <v>17157</v>
      </c>
      <c r="L1287" s="36" t="s">
        <v>17158</v>
      </c>
      <c r="M1287" s="36" t="s">
        <v>13703</v>
      </c>
      <c r="N1287" s="36" t="s">
        <v>17159</v>
      </c>
      <c r="O1287" s="36" t="s">
        <v>17160</v>
      </c>
      <c r="P1287" s="36" t="s">
        <v>17150</v>
      </c>
    </row>
    <row r="1288" spans="1:16">
      <c r="A1288" s="139">
        <v>1287</v>
      </c>
      <c r="B1288" s="36" t="s">
        <v>17161</v>
      </c>
      <c r="C1288" s="36" t="s">
        <v>17162</v>
      </c>
      <c r="D1288" s="36" t="s">
        <v>17163</v>
      </c>
      <c r="E1288" s="36" t="s">
        <v>17164</v>
      </c>
      <c r="F1288" s="36" t="s">
        <v>17165</v>
      </c>
      <c r="G1288" s="36" t="s">
        <v>17166</v>
      </c>
      <c r="H1288" s="36" t="s">
        <v>17167</v>
      </c>
      <c r="I1288" s="36" t="s">
        <v>17168</v>
      </c>
      <c r="J1288" s="36" t="s">
        <v>17169</v>
      </c>
      <c r="K1288" s="36" t="s">
        <v>17170</v>
      </c>
      <c r="L1288" s="36" t="s">
        <v>17171</v>
      </c>
      <c r="M1288" s="36" t="s">
        <v>17172</v>
      </c>
      <c r="N1288" s="36" t="s">
        <v>17173</v>
      </c>
      <c r="O1288" s="36" t="s">
        <v>17174</v>
      </c>
      <c r="P1288" s="36" t="s">
        <v>17175</v>
      </c>
    </row>
    <row r="1289" spans="1:16">
      <c r="A1289" s="139">
        <v>1288</v>
      </c>
      <c r="B1289" s="36" t="s">
        <v>17176</v>
      </c>
      <c r="C1289" s="36" t="s">
        <v>5892</v>
      </c>
      <c r="D1289" s="36" t="s">
        <v>17177</v>
      </c>
      <c r="E1289" s="36" t="s">
        <v>17178</v>
      </c>
      <c r="F1289" s="36" t="s">
        <v>17179</v>
      </c>
      <c r="G1289" s="36" t="s">
        <v>5896</v>
      </c>
      <c r="H1289" s="36" t="s">
        <v>5897</v>
      </c>
      <c r="I1289" s="36" t="s">
        <v>5898</v>
      </c>
      <c r="J1289" s="36" t="s">
        <v>17180</v>
      </c>
      <c r="K1289" s="36" t="s">
        <v>17181</v>
      </c>
      <c r="L1289" s="36" t="s">
        <v>5901</v>
      </c>
      <c r="M1289" s="36" t="s">
        <v>17182</v>
      </c>
      <c r="N1289" s="36" t="s">
        <v>17183</v>
      </c>
      <c r="O1289" s="36" t="s">
        <v>5904</v>
      </c>
      <c r="P1289" s="36" t="s">
        <v>17176</v>
      </c>
    </row>
    <row r="1290" spans="1:16">
      <c r="A1290" s="139">
        <v>1289</v>
      </c>
      <c r="B1290" s="36" t="s">
        <v>17184</v>
      </c>
      <c r="C1290" s="36" t="s">
        <v>5878</v>
      </c>
      <c r="D1290" s="36" t="s">
        <v>17185</v>
      </c>
      <c r="E1290" s="36" t="s">
        <v>17186</v>
      </c>
      <c r="F1290" s="36" t="s">
        <v>17187</v>
      </c>
      <c r="G1290" s="36" t="s">
        <v>5882</v>
      </c>
      <c r="H1290" s="36" t="s">
        <v>17188</v>
      </c>
      <c r="I1290" s="36" t="s">
        <v>5884</v>
      </c>
      <c r="J1290" s="36" t="s">
        <v>17189</v>
      </c>
      <c r="K1290" s="36" t="s">
        <v>5886</v>
      </c>
      <c r="L1290" s="36" t="s">
        <v>5887</v>
      </c>
      <c r="M1290" s="36" t="s">
        <v>17190</v>
      </c>
      <c r="N1290" s="36" t="s">
        <v>17191</v>
      </c>
      <c r="O1290" s="36" t="s">
        <v>17192</v>
      </c>
      <c r="P1290" s="36" t="s">
        <v>17184</v>
      </c>
    </row>
    <row r="1291" spans="1:16">
      <c r="A1291" s="139">
        <v>1290</v>
      </c>
      <c r="B1291" s="36" t="s">
        <v>17193</v>
      </c>
      <c r="C1291" s="36" t="s">
        <v>17194</v>
      </c>
      <c r="D1291" s="36" t="s">
        <v>17195</v>
      </c>
      <c r="E1291" s="36" t="s">
        <v>17196</v>
      </c>
      <c r="F1291" s="36" t="s">
        <v>17197</v>
      </c>
      <c r="G1291" s="36" t="s">
        <v>17198</v>
      </c>
      <c r="H1291" s="36" t="s">
        <v>17199</v>
      </c>
      <c r="I1291" s="36" t="s">
        <v>17200</v>
      </c>
      <c r="J1291" s="36" t="s">
        <v>17201</v>
      </c>
      <c r="K1291" s="36" t="s">
        <v>17202</v>
      </c>
      <c r="L1291" s="36" t="s">
        <v>17203</v>
      </c>
      <c r="M1291" s="36" t="s">
        <v>17204</v>
      </c>
      <c r="N1291" s="36" t="s">
        <v>17205</v>
      </c>
      <c r="O1291" s="36" t="s">
        <v>17206</v>
      </c>
      <c r="P1291" s="36" t="s">
        <v>17193</v>
      </c>
    </row>
    <row r="1292" spans="1:16">
      <c r="A1292" s="139">
        <v>1291</v>
      </c>
      <c r="B1292" s="36" t="s">
        <v>17207</v>
      </c>
      <c r="C1292" s="36" t="s">
        <v>17208</v>
      </c>
      <c r="D1292" s="36" t="s">
        <v>17209</v>
      </c>
      <c r="E1292" s="36" t="s">
        <v>17210</v>
      </c>
      <c r="F1292" s="36" t="s">
        <v>17211</v>
      </c>
      <c r="G1292" s="36" t="s">
        <v>17212</v>
      </c>
      <c r="H1292" s="36" t="s">
        <v>17213</v>
      </c>
      <c r="I1292" s="36" t="s">
        <v>17214</v>
      </c>
      <c r="J1292" s="36" t="s">
        <v>17215</v>
      </c>
      <c r="K1292" s="36" t="s">
        <v>17216</v>
      </c>
      <c r="L1292" s="36" t="s">
        <v>17217</v>
      </c>
      <c r="M1292" s="36" t="s">
        <v>17218</v>
      </c>
      <c r="N1292" s="36" t="s">
        <v>17219</v>
      </c>
      <c r="O1292" s="36" t="s">
        <v>17220</v>
      </c>
      <c r="P1292" s="36" t="s">
        <v>17207</v>
      </c>
    </row>
    <row r="1293" spans="1:16">
      <c r="A1293" s="139">
        <v>1292</v>
      </c>
      <c r="B1293" s="36" t="s">
        <v>17221</v>
      </c>
      <c r="C1293" s="36" t="s">
        <v>17222</v>
      </c>
      <c r="D1293" s="36" t="s">
        <v>17223</v>
      </c>
      <c r="E1293" s="36" t="s">
        <v>17224</v>
      </c>
      <c r="F1293" s="36" t="s">
        <v>17225</v>
      </c>
      <c r="G1293" s="36" t="s">
        <v>17226</v>
      </c>
      <c r="H1293" s="36" t="s">
        <v>17227</v>
      </c>
      <c r="I1293" s="36" t="s">
        <v>17228</v>
      </c>
      <c r="J1293" s="36" t="s">
        <v>17229</v>
      </c>
      <c r="K1293" s="36" t="s">
        <v>17230</v>
      </c>
      <c r="L1293" s="36" t="s">
        <v>17231</v>
      </c>
      <c r="M1293" s="36" t="s">
        <v>17232</v>
      </c>
      <c r="N1293" s="36" t="s">
        <v>17233</v>
      </c>
      <c r="O1293" s="36" t="s">
        <v>17234</v>
      </c>
      <c r="P1293" s="36" t="s">
        <v>17221</v>
      </c>
    </row>
    <row r="1294" spans="1:16">
      <c r="A1294" s="139">
        <v>1293</v>
      </c>
      <c r="B1294" s="36" t="s">
        <v>17235</v>
      </c>
      <c r="C1294" s="36" t="s">
        <v>17236</v>
      </c>
      <c r="D1294" s="36" t="s">
        <v>17237</v>
      </c>
      <c r="E1294" s="36" t="s">
        <v>17238</v>
      </c>
      <c r="F1294" s="36" t="s">
        <v>17239</v>
      </c>
      <c r="G1294" s="36" t="s">
        <v>17240</v>
      </c>
      <c r="H1294" s="36" t="s">
        <v>17241</v>
      </c>
      <c r="I1294" s="36" t="s">
        <v>17242</v>
      </c>
      <c r="J1294" s="36" t="s">
        <v>17243</v>
      </c>
      <c r="K1294" s="36" t="s">
        <v>17244</v>
      </c>
      <c r="L1294" s="36" t="s">
        <v>17245</v>
      </c>
      <c r="M1294" s="36" t="s">
        <v>17246</v>
      </c>
      <c r="N1294" s="36" t="s">
        <v>17247</v>
      </c>
      <c r="O1294" s="36" t="s">
        <v>17248</v>
      </c>
      <c r="P1294" s="36" t="s">
        <v>17235</v>
      </c>
    </row>
    <row r="1295" spans="1:16">
      <c r="A1295" s="139">
        <v>1294</v>
      </c>
      <c r="B1295" s="36" t="s">
        <v>17249</v>
      </c>
      <c r="C1295" s="36" t="s">
        <v>17250</v>
      </c>
      <c r="D1295" s="36" t="s">
        <v>17251</v>
      </c>
      <c r="E1295" s="36" t="s">
        <v>17252</v>
      </c>
      <c r="F1295" s="36" t="s">
        <v>17253</v>
      </c>
      <c r="G1295" s="36" t="s">
        <v>17254</v>
      </c>
      <c r="H1295" s="36" t="s">
        <v>17255</v>
      </c>
      <c r="I1295" s="36" t="s">
        <v>17256</v>
      </c>
      <c r="J1295" s="36" t="s">
        <v>17257</v>
      </c>
      <c r="K1295" s="36" t="s">
        <v>17258</v>
      </c>
      <c r="L1295" s="36" t="s">
        <v>17259</v>
      </c>
      <c r="M1295" s="36" t="s">
        <v>17260</v>
      </c>
      <c r="N1295" s="36" t="s">
        <v>17261</v>
      </c>
      <c r="O1295" s="36" t="s">
        <v>17262</v>
      </c>
      <c r="P1295" s="36" t="s">
        <v>17249</v>
      </c>
    </row>
    <row r="1296" spans="1:16">
      <c r="A1296" s="139">
        <v>1295</v>
      </c>
      <c r="B1296" s="36" t="s">
        <v>9027</v>
      </c>
      <c r="C1296" s="36" t="s">
        <v>17263</v>
      </c>
      <c r="D1296" s="36" t="s">
        <v>17264</v>
      </c>
      <c r="E1296" s="36" t="s">
        <v>9030</v>
      </c>
      <c r="F1296" s="36" t="s">
        <v>17265</v>
      </c>
      <c r="G1296" s="36" t="s">
        <v>17266</v>
      </c>
      <c r="H1296" s="36" t="s">
        <v>17267</v>
      </c>
      <c r="I1296" s="36" t="s">
        <v>17268</v>
      </c>
      <c r="J1296" s="36" t="s">
        <v>17269</v>
      </c>
      <c r="K1296" s="36" t="s">
        <v>17270</v>
      </c>
      <c r="L1296" s="36" t="s">
        <v>17271</v>
      </c>
      <c r="M1296" s="36" t="s">
        <v>17272</v>
      </c>
      <c r="N1296" s="36" t="s">
        <v>17273</v>
      </c>
      <c r="O1296" s="36" t="s">
        <v>17270</v>
      </c>
      <c r="P1296" s="36" t="s">
        <v>9027</v>
      </c>
    </row>
    <row r="1297" spans="1:16">
      <c r="A1297" s="139">
        <v>1296</v>
      </c>
      <c r="B1297" s="36" t="s">
        <v>17274</v>
      </c>
      <c r="C1297" s="36" t="s">
        <v>17275</v>
      </c>
      <c r="D1297" s="36" t="s">
        <v>17276</v>
      </c>
      <c r="E1297" s="36" t="s">
        <v>17277</v>
      </c>
      <c r="F1297" s="36" t="s">
        <v>17278</v>
      </c>
      <c r="G1297" s="36" t="s">
        <v>17279</v>
      </c>
      <c r="H1297" s="36" t="s">
        <v>17280</v>
      </c>
      <c r="I1297" s="36" t="s">
        <v>17281</v>
      </c>
      <c r="J1297" s="36" t="s">
        <v>17282</v>
      </c>
      <c r="K1297" s="36" t="s">
        <v>17283</v>
      </c>
      <c r="L1297" s="36" t="s">
        <v>17284</v>
      </c>
      <c r="M1297" s="36" t="s">
        <v>17285</v>
      </c>
      <c r="N1297" s="36" t="s">
        <v>17286</v>
      </c>
      <c r="O1297" s="36" t="s">
        <v>17287</v>
      </c>
      <c r="P1297" s="36" t="s">
        <v>17274</v>
      </c>
    </row>
    <row r="1298" spans="1:16">
      <c r="A1298" s="139">
        <v>1297</v>
      </c>
      <c r="B1298" s="36" t="s">
        <v>17288</v>
      </c>
      <c r="C1298" s="36" t="s">
        <v>17289</v>
      </c>
      <c r="D1298" s="36" t="s">
        <v>17290</v>
      </c>
      <c r="E1298" s="36" t="s">
        <v>17291</v>
      </c>
      <c r="F1298" s="36" t="s">
        <v>17292</v>
      </c>
      <c r="G1298" s="36" t="s">
        <v>17293</v>
      </c>
      <c r="H1298" s="36" t="s">
        <v>17294</v>
      </c>
      <c r="I1298" s="36" t="s">
        <v>17295</v>
      </c>
      <c r="J1298" s="36" t="s">
        <v>17296</v>
      </c>
      <c r="K1298" s="36" t="s">
        <v>17297</v>
      </c>
      <c r="L1298" s="36" t="s">
        <v>17298</v>
      </c>
      <c r="M1298" s="36" t="s">
        <v>17299</v>
      </c>
      <c r="N1298" s="36" t="s">
        <v>17300</v>
      </c>
      <c r="O1298" s="36" t="s">
        <v>17301</v>
      </c>
      <c r="P1298" s="36" t="s">
        <v>17288</v>
      </c>
    </row>
    <row r="1299" spans="1:16">
      <c r="A1299" s="139">
        <v>1298</v>
      </c>
      <c r="B1299" s="36" t="s">
        <v>17302</v>
      </c>
      <c r="C1299" s="36" t="s">
        <v>17303</v>
      </c>
      <c r="D1299" s="36" t="s">
        <v>17304</v>
      </c>
      <c r="E1299" s="36" t="s">
        <v>17305</v>
      </c>
      <c r="F1299" s="36" t="s">
        <v>17306</v>
      </c>
      <c r="G1299" s="36" t="s">
        <v>17307</v>
      </c>
      <c r="H1299" s="36" t="s">
        <v>17308</v>
      </c>
      <c r="I1299" s="36" t="s">
        <v>17309</v>
      </c>
      <c r="J1299" s="36" t="s">
        <v>17310</v>
      </c>
      <c r="K1299" s="36" t="s">
        <v>17311</v>
      </c>
      <c r="L1299" s="36" t="s">
        <v>17312</v>
      </c>
      <c r="M1299" s="36" t="s">
        <v>17313</v>
      </c>
      <c r="N1299" s="36" t="s">
        <v>17314</v>
      </c>
      <c r="O1299" s="36" t="s">
        <v>17311</v>
      </c>
      <c r="P1299" s="36" t="s">
        <v>17302</v>
      </c>
    </row>
    <row r="1300" spans="1:16" ht="14.4">
      <c r="A1300" s="139">
        <v>1299</v>
      </c>
      <c r="B1300" s="36" t="s">
        <v>17315</v>
      </c>
      <c r="C1300" s="36" t="s">
        <v>17316</v>
      </c>
      <c r="D1300" s="36" t="s">
        <v>17317</v>
      </c>
      <c r="E1300" s="36" t="s">
        <v>17318</v>
      </c>
      <c r="F1300" s="36" t="s">
        <v>17319</v>
      </c>
      <c r="G1300" s="36" t="s">
        <v>17320</v>
      </c>
      <c r="H1300" s="36" t="s">
        <v>17321</v>
      </c>
      <c r="I1300" s="36" t="s">
        <v>17322</v>
      </c>
      <c r="J1300" s="36" t="s">
        <v>17323</v>
      </c>
      <c r="K1300" s="36" t="s">
        <v>17324</v>
      </c>
      <c r="L1300" s="36" t="s">
        <v>17325</v>
      </c>
      <c r="M1300" s="36" t="s">
        <v>17326</v>
      </c>
      <c r="N1300" s="36" t="s">
        <v>17327</v>
      </c>
      <c r="O1300" s="36" t="s">
        <v>17328</v>
      </c>
      <c r="P1300" s="36" t="s">
        <v>17315</v>
      </c>
    </row>
    <row r="1301" spans="1:16" ht="13.95" customHeight="1">
      <c r="A1301" s="139">
        <v>1300</v>
      </c>
      <c r="B1301" s="36" t="s">
        <v>17329</v>
      </c>
      <c r="C1301" s="36" t="s">
        <v>17330</v>
      </c>
      <c r="D1301" s="36" t="s">
        <v>17331</v>
      </c>
      <c r="E1301" s="36" t="s">
        <v>17332</v>
      </c>
      <c r="F1301" s="36" t="s">
        <v>17333</v>
      </c>
      <c r="G1301" s="36" t="s">
        <v>17334</v>
      </c>
      <c r="H1301" s="36" t="s">
        <v>17335</v>
      </c>
      <c r="I1301" s="36" t="s">
        <v>17336</v>
      </c>
      <c r="J1301" s="36" t="s">
        <v>17337</v>
      </c>
      <c r="K1301" s="36" t="s">
        <v>17338</v>
      </c>
      <c r="L1301" s="36" t="s">
        <v>17339</v>
      </c>
      <c r="M1301" s="36" t="s">
        <v>17340</v>
      </c>
      <c r="N1301" s="36" t="s">
        <v>17341</v>
      </c>
      <c r="O1301" s="36" t="s">
        <v>17342</v>
      </c>
      <c r="P1301" s="36" t="s">
        <v>17329</v>
      </c>
    </row>
    <row r="1302" spans="1:16">
      <c r="A1302" s="139">
        <v>1301</v>
      </c>
      <c r="B1302" s="36" t="s">
        <v>17343</v>
      </c>
      <c r="C1302" s="36" t="s">
        <v>17344</v>
      </c>
      <c r="D1302" s="36" t="s">
        <v>17345</v>
      </c>
      <c r="E1302" s="36" t="s">
        <v>17346</v>
      </c>
      <c r="F1302" s="36" t="s">
        <v>17346</v>
      </c>
      <c r="G1302" s="36" t="s">
        <v>17346</v>
      </c>
      <c r="H1302" s="36" t="s">
        <v>17346</v>
      </c>
      <c r="I1302" s="36" t="s">
        <v>17346</v>
      </c>
      <c r="J1302" s="36" t="s">
        <v>17346</v>
      </c>
      <c r="K1302" s="36" t="s">
        <v>17346</v>
      </c>
      <c r="L1302" s="36" t="s">
        <v>17346</v>
      </c>
      <c r="M1302" s="36" t="s">
        <v>17346</v>
      </c>
      <c r="N1302" s="36" t="s">
        <v>17346</v>
      </c>
      <c r="O1302" s="36" t="s">
        <v>17346</v>
      </c>
      <c r="P1302" s="36" t="s">
        <v>17346</v>
      </c>
    </row>
    <row r="1303" spans="1:16">
      <c r="A1303" s="139">
        <v>1302</v>
      </c>
      <c r="B1303" s="36" t="s">
        <v>17347</v>
      </c>
      <c r="C1303" s="36" t="s">
        <v>17348</v>
      </c>
      <c r="D1303" s="36" t="s">
        <v>17349</v>
      </c>
      <c r="E1303" s="36" t="s">
        <v>17350</v>
      </c>
      <c r="F1303" s="36" t="s">
        <v>17351</v>
      </c>
      <c r="G1303" s="36" t="s">
        <v>17352</v>
      </c>
      <c r="H1303" s="36" t="s">
        <v>17353</v>
      </c>
      <c r="I1303" s="36" t="s">
        <v>17354</v>
      </c>
      <c r="J1303" s="36" t="s">
        <v>17355</v>
      </c>
      <c r="K1303" s="36" t="s">
        <v>17356</v>
      </c>
      <c r="L1303" s="36" t="s">
        <v>17357</v>
      </c>
      <c r="M1303" s="36" t="s">
        <v>17358</v>
      </c>
      <c r="N1303" s="36" t="s">
        <v>17359</v>
      </c>
      <c r="O1303" s="36" t="s">
        <v>17360</v>
      </c>
      <c r="P1303" s="36" t="s">
        <v>17347</v>
      </c>
    </row>
    <row r="1304" spans="1:16">
      <c r="A1304" s="139">
        <v>1303</v>
      </c>
      <c r="B1304" s="36" t="s">
        <v>17361</v>
      </c>
      <c r="C1304" s="36" t="s">
        <v>17362</v>
      </c>
      <c r="D1304" s="36" t="s">
        <v>17363</v>
      </c>
      <c r="E1304" s="36" t="s">
        <v>17364</v>
      </c>
      <c r="F1304" s="36" t="s">
        <v>17365</v>
      </c>
      <c r="G1304" s="36" t="s">
        <v>17366</v>
      </c>
      <c r="H1304" s="36" t="s">
        <v>17367</v>
      </c>
      <c r="I1304" s="36" t="s">
        <v>17368</v>
      </c>
      <c r="J1304" s="36" t="s">
        <v>17369</v>
      </c>
      <c r="K1304" s="36" t="s">
        <v>17370</v>
      </c>
      <c r="L1304" s="36" t="s">
        <v>17371</v>
      </c>
      <c r="M1304" s="36" t="s">
        <v>17372</v>
      </c>
      <c r="N1304" s="36" t="s">
        <v>17373</v>
      </c>
      <c r="O1304" s="36" t="s">
        <v>17374</v>
      </c>
      <c r="P1304" s="36" t="s">
        <v>17361</v>
      </c>
    </row>
    <row r="1305" spans="1:16">
      <c r="A1305" s="139">
        <v>1304</v>
      </c>
      <c r="B1305" s="36" t="s">
        <v>17375</v>
      </c>
      <c r="C1305" s="36" t="s">
        <v>17376</v>
      </c>
      <c r="D1305" s="36" t="s">
        <v>17377</v>
      </c>
      <c r="E1305" s="36" t="s">
        <v>17378</v>
      </c>
      <c r="F1305" s="36" t="s">
        <v>17379</v>
      </c>
      <c r="G1305" s="36" t="s">
        <v>17380</v>
      </c>
      <c r="H1305" s="36" t="s">
        <v>17381</v>
      </c>
      <c r="I1305" s="36" t="s">
        <v>17382</v>
      </c>
      <c r="J1305" s="36" t="s">
        <v>17383</v>
      </c>
      <c r="K1305" s="36" t="s">
        <v>17384</v>
      </c>
      <c r="L1305" s="36" t="s">
        <v>17385</v>
      </c>
      <c r="M1305" s="36" t="s">
        <v>17386</v>
      </c>
      <c r="N1305" s="36" t="s">
        <v>17387</v>
      </c>
      <c r="O1305" s="36" t="s">
        <v>17388</v>
      </c>
      <c r="P1305" s="36" t="s">
        <v>17375</v>
      </c>
    </row>
    <row r="1306" spans="1:16" ht="16.2">
      <c r="A1306" s="139">
        <v>1305</v>
      </c>
      <c r="B1306" s="36" t="s">
        <v>17389</v>
      </c>
      <c r="C1306" s="36" t="s">
        <v>17390</v>
      </c>
      <c r="D1306" s="36" t="s">
        <v>17391</v>
      </c>
      <c r="E1306" s="36" t="s">
        <v>17392</v>
      </c>
      <c r="F1306" s="36" t="s">
        <v>17393</v>
      </c>
      <c r="G1306" s="36" t="s">
        <v>17394</v>
      </c>
      <c r="H1306" s="36" t="s">
        <v>17395</v>
      </c>
      <c r="I1306" s="36" t="s">
        <v>17396</v>
      </c>
      <c r="J1306" s="36" t="s">
        <v>17397</v>
      </c>
      <c r="K1306" s="36" t="s">
        <v>17398</v>
      </c>
      <c r="L1306" s="36" t="s">
        <v>17399</v>
      </c>
      <c r="M1306" s="36" t="s">
        <v>17400</v>
      </c>
      <c r="N1306" s="36" t="s">
        <v>17401</v>
      </c>
      <c r="O1306" s="36" t="s">
        <v>17402</v>
      </c>
      <c r="P1306" s="36" t="s">
        <v>17389</v>
      </c>
    </row>
    <row r="1307" spans="1:16" ht="16.2">
      <c r="A1307" s="139">
        <v>1306</v>
      </c>
      <c r="B1307" s="36" t="s">
        <v>17403</v>
      </c>
      <c r="C1307" s="36" t="s">
        <v>17404</v>
      </c>
      <c r="D1307" s="36" t="s">
        <v>17405</v>
      </c>
      <c r="E1307" s="36" t="s">
        <v>17406</v>
      </c>
      <c r="F1307" s="36" t="s">
        <v>17407</v>
      </c>
      <c r="G1307" s="36" t="s">
        <v>17408</v>
      </c>
      <c r="H1307" s="36" t="s">
        <v>17409</v>
      </c>
      <c r="I1307" s="36" t="s">
        <v>17410</v>
      </c>
      <c r="J1307" s="36" t="s">
        <v>17411</v>
      </c>
      <c r="K1307" s="36" t="s">
        <v>17412</v>
      </c>
      <c r="L1307" s="36" t="s">
        <v>17413</v>
      </c>
      <c r="M1307" s="36" t="s">
        <v>17414</v>
      </c>
      <c r="N1307" s="36" t="s">
        <v>17415</v>
      </c>
      <c r="O1307" s="36" t="s">
        <v>17416</v>
      </c>
      <c r="P1307" s="36" t="s">
        <v>17403</v>
      </c>
    </row>
    <row r="1308" spans="1:16" ht="16.2">
      <c r="A1308" s="139">
        <v>1307</v>
      </c>
      <c r="B1308" s="36" t="s">
        <v>17417</v>
      </c>
      <c r="C1308" s="36" t="s">
        <v>17418</v>
      </c>
      <c r="D1308" s="36" t="s">
        <v>17419</v>
      </c>
      <c r="E1308" s="36" t="s">
        <v>17420</v>
      </c>
      <c r="F1308" s="36" t="s">
        <v>17421</v>
      </c>
      <c r="G1308" s="36" t="s">
        <v>17422</v>
      </c>
      <c r="H1308" s="36" t="s">
        <v>17423</v>
      </c>
      <c r="I1308" s="36" t="s">
        <v>17424</v>
      </c>
      <c r="J1308" s="36" t="s">
        <v>17425</v>
      </c>
      <c r="K1308" s="36" t="s">
        <v>17426</v>
      </c>
      <c r="L1308" s="36" t="s">
        <v>17427</v>
      </c>
      <c r="M1308" s="36" t="s">
        <v>17428</v>
      </c>
      <c r="N1308" s="36" t="s">
        <v>17429</v>
      </c>
      <c r="O1308" s="36" t="s">
        <v>17430</v>
      </c>
      <c r="P1308" s="36" t="s">
        <v>17417</v>
      </c>
    </row>
    <row r="1309" spans="1:16">
      <c r="A1309" s="139">
        <v>1308</v>
      </c>
      <c r="B1309" s="36" t="s">
        <v>17431</v>
      </c>
      <c r="C1309" s="36" t="s">
        <v>17432</v>
      </c>
      <c r="D1309" s="36" t="s">
        <v>17433</v>
      </c>
      <c r="E1309" s="36" t="s">
        <v>17434</v>
      </c>
      <c r="F1309" s="36" t="s">
        <v>17434</v>
      </c>
      <c r="G1309" s="36" t="s">
        <v>17434</v>
      </c>
      <c r="H1309" s="36" t="s">
        <v>17434</v>
      </c>
      <c r="I1309" s="36" t="s">
        <v>17434</v>
      </c>
      <c r="J1309" s="36" t="s">
        <v>17434</v>
      </c>
      <c r="K1309" s="36" t="s">
        <v>17434</v>
      </c>
      <c r="L1309" s="36" t="s">
        <v>17434</v>
      </c>
      <c r="M1309" s="36" t="s">
        <v>17434</v>
      </c>
      <c r="N1309" s="36" t="s">
        <v>17434</v>
      </c>
      <c r="O1309" s="36" t="s">
        <v>17434</v>
      </c>
      <c r="P1309" s="36" t="s">
        <v>17435</v>
      </c>
    </row>
    <row r="1310" spans="1:16">
      <c r="A1310" s="139">
        <v>1309</v>
      </c>
      <c r="B1310" s="36" t="s">
        <v>17436</v>
      </c>
      <c r="C1310" s="36" t="s">
        <v>17437</v>
      </c>
      <c r="D1310" s="36" t="s">
        <v>17438</v>
      </c>
      <c r="E1310" s="36" t="s">
        <v>17439</v>
      </c>
      <c r="F1310" s="36" t="s">
        <v>17440</v>
      </c>
      <c r="G1310" s="36" t="s">
        <v>17441</v>
      </c>
      <c r="H1310" s="36" t="s">
        <v>17442</v>
      </c>
      <c r="I1310" s="36" t="s">
        <v>17443</v>
      </c>
      <c r="J1310" s="36" t="s">
        <v>17444</v>
      </c>
      <c r="K1310" s="36" t="s">
        <v>17445</v>
      </c>
      <c r="L1310" s="36" t="s">
        <v>17446</v>
      </c>
      <c r="M1310" s="36" t="s">
        <v>17447</v>
      </c>
      <c r="N1310" s="36" t="s">
        <v>17448</v>
      </c>
      <c r="O1310" s="36" t="s">
        <v>17449</v>
      </c>
      <c r="P1310" s="36" t="s">
        <v>17436</v>
      </c>
    </row>
    <row r="1311" spans="1:16">
      <c r="A1311" s="139">
        <v>1310</v>
      </c>
      <c r="B1311" s="36" t="s">
        <v>17450</v>
      </c>
      <c r="C1311" s="36" t="s">
        <v>17451</v>
      </c>
      <c r="D1311" s="36" t="s">
        <v>17452</v>
      </c>
      <c r="E1311" s="36" t="s">
        <v>17453</v>
      </c>
      <c r="F1311" s="36" t="s">
        <v>17454</v>
      </c>
      <c r="G1311" s="36" t="s">
        <v>17455</v>
      </c>
      <c r="H1311" s="36" t="s">
        <v>17456</v>
      </c>
      <c r="I1311" s="36" t="s">
        <v>17457</v>
      </c>
      <c r="J1311" s="36" t="s">
        <v>17458</v>
      </c>
      <c r="K1311" s="36" t="s">
        <v>17459</v>
      </c>
      <c r="L1311" s="36" t="s">
        <v>17460</v>
      </c>
      <c r="M1311" s="36" t="s">
        <v>17461</v>
      </c>
      <c r="N1311" s="36" t="s">
        <v>17462</v>
      </c>
      <c r="O1311" s="36" t="s">
        <v>17463</v>
      </c>
      <c r="P1311" s="36" t="s">
        <v>17450</v>
      </c>
    </row>
    <row r="1312" spans="1:16">
      <c r="A1312" s="139">
        <v>1311</v>
      </c>
      <c r="B1312" s="36" t="s">
        <v>17464</v>
      </c>
      <c r="C1312" s="36" t="s">
        <v>17465</v>
      </c>
      <c r="D1312" s="36" t="s">
        <v>17466</v>
      </c>
      <c r="E1312" s="36" t="s">
        <v>17467</v>
      </c>
      <c r="F1312" s="36" t="s">
        <v>17468</v>
      </c>
      <c r="G1312" s="36" t="s">
        <v>17469</v>
      </c>
      <c r="H1312" s="36" t="s">
        <v>17470</v>
      </c>
      <c r="I1312" s="36" t="s">
        <v>17471</v>
      </c>
      <c r="J1312" s="36" t="s">
        <v>17472</v>
      </c>
      <c r="K1312" s="36" t="s">
        <v>17473</v>
      </c>
      <c r="L1312" s="36" t="s">
        <v>17474</v>
      </c>
      <c r="M1312" s="36" t="s">
        <v>17475</v>
      </c>
      <c r="N1312" s="36" t="s">
        <v>17476</v>
      </c>
      <c r="O1312" s="36" t="s">
        <v>17477</v>
      </c>
      <c r="P1312" s="36" t="s">
        <v>17464</v>
      </c>
    </row>
    <row r="1313" spans="1:16">
      <c r="A1313" s="139">
        <v>1312</v>
      </c>
      <c r="B1313" s="36" t="s">
        <v>17478</v>
      </c>
      <c r="C1313" s="36" t="s">
        <v>17479</v>
      </c>
      <c r="D1313" s="36" t="s">
        <v>17480</v>
      </c>
      <c r="E1313" s="36" t="s">
        <v>17481</v>
      </c>
      <c r="F1313" s="36" t="s">
        <v>17482</v>
      </c>
      <c r="G1313" s="36" t="s">
        <v>17483</v>
      </c>
      <c r="H1313" s="36" t="s">
        <v>17484</v>
      </c>
      <c r="I1313" s="36" t="s">
        <v>17485</v>
      </c>
      <c r="J1313" s="36" t="s">
        <v>17486</v>
      </c>
      <c r="K1313" s="36" t="s">
        <v>17487</v>
      </c>
      <c r="L1313" s="36" t="s">
        <v>17488</v>
      </c>
      <c r="M1313" s="36" t="s">
        <v>17489</v>
      </c>
      <c r="N1313" s="36" t="s">
        <v>17490</v>
      </c>
      <c r="O1313" s="36" t="s">
        <v>17491</v>
      </c>
      <c r="P1313" s="36" t="s">
        <v>17478</v>
      </c>
    </row>
    <row r="1314" spans="1:16">
      <c r="A1314" s="139">
        <v>1313</v>
      </c>
      <c r="B1314" s="36" t="s">
        <v>17492</v>
      </c>
      <c r="C1314" s="36" t="s">
        <v>17493</v>
      </c>
      <c r="D1314" s="36" t="s">
        <v>17494</v>
      </c>
      <c r="E1314" s="36" t="s">
        <v>17495</v>
      </c>
      <c r="F1314" s="36" t="s">
        <v>17496</v>
      </c>
      <c r="G1314" s="36" t="s">
        <v>17497</v>
      </c>
      <c r="H1314" s="36" t="s">
        <v>17498</v>
      </c>
      <c r="I1314" s="36" t="s">
        <v>17499</v>
      </c>
      <c r="J1314" s="36" t="s">
        <v>17500</v>
      </c>
      <c r="K1314" s="36" t="s">
        <v>17501</v>
      </c>
      <c r="L1314" s="36" t="s">
        <v>17502</v>
      </c>
      <c r="M1314" s="36" t="s">
        <v>17503</v>
      </c>
      <c r="N1314" s="36" t="s">
        <v>17504</v>
      </c>
      <c r="O1314" s="36" t="s">
        <v>17505</v>
      </c>
      <c r="P1314" s="36" t="s">
        <v>17492</v>
      </c>
    </row>
    <row r="1315" spans="1:16">
      <c r="A1315" s="139">
        <v>1314</v>
      </c>
      <c r="B1315" s="36" t="s">
        <v>17506</v>
      </c>
      <c r="C1315" s="36" t="s">
        <v>17507</v>
      </c>
      <c r="D1315" s="36" t="s">
        <v>17508</v>
      </c>
      <c r="E1315" s="36" t="s">
        <v>17509</v>
      </c>
      <c r="F1315" s="36" t="s">
        <v>17510</v>
      </c>
      <c r="G1315" s="36" t="s">
        <v>17511</v>
      </c>
      <c r="H1315" s="36" t="s">
        <v>17512</v>
      </c>
      <c r="I1315" s="36" t="s">
        <v>17513</v>
      </c>
      <c r="J1315" s="36" t="s">
        <v>17514</v>
      </c>
      <c r="K1315" s="36" t="s">
        <v>17515</v>
      </c>
      <c r="L1315" s="36" t="s">
        <v>17516</v>
      </c>
      <c r="M1315" s="36" t="s">
        <v>17517</v>
      </c>
      <c r="N1315" s="36" t="s">
        <v>17518</v>
      </c>
      <c r="O1315" s="36" t="s">
        <v>17519</v>
      </c>
      <c r="P1315" s="36" t="s">
        <v>17506</v>
      </c>
    </row>
    <row r="1316" spans="1:16">
      <c r="A1316" s="139">
        <v>1315</v>
      </c>
      <c r="B1316" s="36" t="s">
        <v>17520</v>
      </c>
      <c r="C1316" s="36" t="s">
        <v>17521</v>
      </c>
      <c r="D1316" s="36" t="s">
        <v>17522</v>
      </c>
      <c r="E1316" s="36" t="s">
        <v>17523</v>
      </c>
      <c r="F1316" s="36" t="s">
        <v>17524</v>
      </c>
      <c r="G1316" s="36" t="s">
        <v>17525</v>
      </c>
      <c r="H1316" s="36" t="s">
        <v>17526</v>
      </c>
      <c r="I1316" s="36" t="s">
        <v>17527</v>
      </c>
      <c r="J1316" s="36" t="s">
        <v>17528</v>
      </c>
      <c r="K1316" s="36" t="s">
        <v>17529</v>
      </c>
      <c r="L1316" s="36" t="s">
        <v>17530</v>
      </c>
      <c r="M1316" s="36" t="s">
        <v>17531</v>
      </c>
      <c r="N1316" s="36" t="s">
        <v>17532</v>
      </c>
      <c r="O1316" s="36" t="s">
        <v>17533</v>
      </c>
      <c r="P1316" s="36" t="s">
        <v>17520</v>
      </c>
    </row>
    <row r="1317" spans="1:16">
      <c r="A1317" s="139">
        <v>1316</v>
      </c>
      <c r="B1317" s="36" t="s">
        <v>17534</v>
      </c>
      <c r="C1317" s="36" t="s">
        <v>17535</v>
      </c>
      <c r="D1317" s="36" t="s">
        <v>17536</v>
      </c>
      <c r="E1317" s="36" t="s">
        <v>17537</v>
      </c>
      <c r="F1317" s="36" t="s">
        <v>17538</v>
      </c>
      <c r="G1317" s="36" t="s">
        <v>17539</v>
      </c>
      <c r="H1317" s="36" t="s">
        <v>17540</v>
      </c>
      <c r="I1317" s="36" t="s">
        <v>17541</v>
      </c>
      <c r="J1317" s="36" t="s">
        <v>17542</v>
      </c>
      <c r="K1317" s="36" t="s">
        <v>17543</v>
      </c>
      <c r="L1317" s="36" t="s">
        <v>17544</v>
      </c>
      <c r="M1317" s="36" t="s">
        <v>17545</v>
      </c>
      <c r="N1317" s="36" t="s">
        <v>17546</v>
      </c>
      <c r="O1317" s="36" t="s">
        <v>17547</v>
      </c>
      <c r="P1317" s="36" t="s">
        <v>17534</v>
      </c>
    </row>
    <row r="1318" spans="1:16">
      <c r="A1318" s="139">
        <v>1317</v>
      </c>
      <c r="B1318" s="36" t="s">
        <v>17548</v>
      </c>
      <c r="C1318" s="36" t="s">
        <v>17549</v>
      </c>
      <c r="D1318" s="36" t="s">
        <v>17549</v>
      </c>
      <c r="E1318" s="36" t="s">
        <v>17549</v>
      </c>
      <c r="F1318" s="36" t="s">
        <v>17549</v>
      </c>
      <c r="G1318" s="36" t="s">
        <v>17549</v>
      </c>
      <c r="H1318" s="36" t="s">
        <v>17549</v>
      </c>
      <c r="I1318" s="36" t="s">
        <v>17549</v>
      </c>
      <c r="J1318" s="36" t="s">
        <v>17549</v>
      </c>
      <c r="K1318" s="36" t="s">
        <v>17549</v>
      </c>
      <c r="L1318" s="36" t="s">
        <v>17549</v>
      </c>
      <c r="M1318" s="36" t="s">
        <v>17549</v>
      </c>
      <c r="N1318" s="36" t="s">
        <v>17549</v>
      </c>
      <c r="O1318" s="36" t="s">
        <v>17549</v>
      </c>
      <c r="P1318" s="36" t="s">
        <v>17549</v>
      </c>
    </row>
    <row r="1319" spans="1:16">
      <c r="A1319" s="139">
        <v>1318</v>
      </c>
      <c r="B1319" s="36" t="s">
        <v>17550</v>
      </c>
      <c r="C1319" s="36" t="s">
        <v>17551</v>
      </c>
      <c r="D1319" s="36" t="s">
        <v>17552</v>
      </c>
      <c r="E1319" s="36" t="s">
        <v>17553</v>
      </c>
      <c r="F1319" s="36" t="s">
        <v>17554</v>
      </c>
      <c r="G1319" s="36" t="s">
        <v>17555</v>
      </c>
      <c r="H1319" s="36" t="s">
        <v>17556</v>
      </c>
      <c r="I1319" s="36" t="s">
        <v>17557</v>
      </c>
      <c r="J1319" s="36" t="s">
        <v>17558</v>
      </c>
      <c r="K1319" s="36" t="s">
        <v>17559</v>
      </c>
      <c r="L1319" s="36" t="s">
        <v>17560</v>
      </c>
      <c r="M1319" s="36" t="s">
        <v>17561</v>
      </c>
      <c r="N1319" s="36" t="s">
        <v>17562</v>
      </c>
      <c r="O1319" s="36" t="s">
        <v>17563</v>
      </c>
      <c r="P1319" s="36" t="s">
        <v>17550</v>
      </c>
    </row>
    <row r="1320" spans="1:16">
      <c r="A1320" s="139">
        <v>1319</v>
      </c>
      <c r="B1320" s="36" t="s">
        <v>17564</v>
      </c>
      <c r="C1320" s="36" t="s">
        <v>17565</v>
      </c>
      <c r="D1320" s="36" t="s">
        <v>17566</v>
      </c>
      <c r="E1320" s="36" t="s">
        <v>17567</v>
      </c>
      <c r="F1320" s="36" t="s">
        <v>17568</v>
      </c>
      <c r="G1320" s="36" t="s">
        <v>17569</v>
      </c>
      <c r="H1320" s="36" t="s">
        <v>17570</v>
      </c>
      <c r="I1320" s="36" t="s">
        <v>17571</v>
      </c>
      <c r="J1320" s="36" t="s">
        <v>17572</v>
      </c>
      <c r="K1320" s="36" t="s">
        <v>17573</v>
      </c>
      <c r="L1320" s="36" t="s">
        <v>17574</v>
      </c>
      <c r="M1320" s="36" t="s">
        <v>17575</v>
      </c>
      <c r="N1320" s="36" t="s">
        <v>17576</v>
      </c>
      <c r="O1320" s="36" t="s">
        <v>17577</v>
      </c>
      <c r="P1320" s="36" t="s">
        <v>17564</v>
      </c>
    </row>
    <row r="1321" spans="1:16">
      <c r="A1321" s="139">
        <v>1320</v>
      </c>
      <c r="B1321" s="36" t="s">
        <v>17578</v>
      </c>
      <c r="C1321" s="36" t="s">
        <v>17579</v>
      </c>
      <c r="D1321" s="36" t="s">
        <v>17580</v>
      </c>
      <c r="E1321" s="36" t="s">
        <v>17581</v>
      </c>
      <c r="F1321" s="36" t="s">
        <v>17582</v>
      </c>
      <c r="G1321" s="36" t="s">
        <v>17583</v>
      </c>
      <c r="H1321" s="36" t="s">
        <v>17584</v>
      </c>
      <c r="I1321" s="36" t="s">
        <v>17585</v>
      </c>
      <c r="J1321" s="36" t="s">
        <v>17586</v>
      </c>
      <c r="K1321" s="36" t="s">
        <v>17587</v>
      </c>
      <c r="L1321" s="36" t="s">
        <v>17588</v>
      </c>
      <c r="M1321" s="36" t="s">
        <v>17589</v>
      </c>
      <c r="N1321" s="36" t="s">
        <v>17590</v>
      </c>
      <c r="O1321" s="36" t="s">
        <v>17591</v>
      </c>
      <c r="P1321" s="36" t="s">
        <v>17578</v>
      </c>
    </row>
    <row r="1322" spans="1:16">
      <c r="A1322" s="139">
        <v>1321</v>
      </c>
      <c r="B1322" s="36" t="s">
        <v>17592</v>
      </c>
      <c r="C1322" s="36" t="s">
        <v>17593</v>
      </c>
      <c r="D1322" s="36" t="s">
        <v>17594</v>
      </c>
      <c r="E1322" s="36" t="s">
        <v>17595</v>
      </c>
      <c r="F1322" s="36" t="s">
        <v>17596</v>
      </c>
      <c r="G1322" s="36" t="s">
        <v>17597</v>
      </c>
      <c r="H1322" s="36" t="s">
        <v>17598</v>
      </c>
      <c r="I1322" s="36" t="s">
        <v>17599</v>
      </c>
      <c r="J1322" s="36" t="s">
        <v>17600</v>
      </c>
      <c r="K1322" s="36" t="s">
        <v>17601</v>
      </c>
      <c r="L1322" s="36" t="s">
        <v>17602</v>
      </c>
      <c r="M1322" s="36" t="s">
        <v>17603</v>
      </c>
      <c r="N1322" s="36" t="s">
        <v>17604</v>
      </c>
      <c r="O1322" s="36" t="s">
        <v>17605</v>
      </c>
      <c r="P1322" s="36" t="s">
        <v>17592</v>
      </c>
    </row>
    <row r="1323" spans="1:16">
      <c r="A1323" s="139">
        <v>1322</v>
      </c>
      <c r="B1323" s="36" t="s">
        <v>17606</v>
      </c>
      <c r="C1323" s="36" t="s">
        <v>17607</v>
      </c>
      <c r="D1323" s="36" t="s">
        <v>17608</v>
      </c>
      <c r="E1323" s="36" t="s">
        <v>17609</v>
      </c>
      <c r="F1323" s="36" t="s">
        <v>17610</v>
      </c>
      <c r="G1323" s="36" t="s">
        <v>17611</v>
      </c>
      <c r="H1323" s="36" t="s">
        <v>17612</v>
      </c>
      <c r="I1323" s="36" t="s">
        <v>17613</v>
      </c>
      <c r="J1323" s="36" t="s">
        <v>17614</v>
      </c>
      <c r="K1323" s="36" t="s">
        <v>17615</v>
      </c>
      <c r="L1323" s="36" t="s">
        <v>17616</v>
      </c>
      <c r="M1323" s="36" t="s">
        <v>17617</v>
      </c>
      <c r="N1323" s="36" t="s">
        <v>17618</v>
      </c>
      <c r="O1323" s="36" t="s">
        <v>17619</v>
      </c>
      <c r="P1323" s="36" t="s">
        <v>17606</v>
      </c>
    </row>
    <row r="1324" spans="1:16">
      <c r="A1324" s="139">
        <v>1323</v>
      </c>
      <c r="B1324" s="36" t="s">
        <v>17620</v>
      </c>
      <c r="C1324" s="36" t="s">
        <v>17621</v>
      </c>
      <c r="D1324" s="36" t="s">
        <v>17622</v>
      </c>
      <c r="E1324" s="36" t="s">
        <v>17623</v>
      </c>
      <c r="F1324" s="36" t="s">
        <v>17624</v>
      </c>
      <c r="G1324" s="36" t="s">
        <v>17625</v>
      </c>
      <c r="H1324" s="36" t="s">
        <v>17626</v>
      </c>
      <c r="I1324" s="36" t="s">
        <v>17627</v>
      </c>
      <c r="J1324" s="36" t="s">
        <v>17628</v>
      </c>
      <c r="K1324" s="36" t="s">
        <v>17629</v>
      </c>
      <c r="L1324" s="36" t="s">
        <v>17630</v>
      </c>
      <c r="M1324" s="36" t="s">
        <v>17631</v>
      </c>
      <c r="N1324" s="36" t="s">
        <v>17632</v>
      </c>
      <c r="O1324" s="36" t="s">
        <v>17633</v>
      </c>
      <c r="P1324" s="36" t="s">
        <v>17620</v>
      </c>
    </row>
    <row r="1325" spans="1:16">
      <c r="A1325" s="139">
        <v>1324</v>
      </c>
      <c r="B1325" s="36" t="s">
        <v>17634</v>
      </c>
      <c r="C1325" s="36" t="s">
        <v>17635</v>
      </c>
      <c r="D1325" s="36" t="s">
        <v>17635</v>
      </c>
      <c r="E1325" s="36" t="s">
        <v>17635</v>
      </c>
      <c r="F1325" s="36" t="s">
        <v>17635</v>
      </c>
      <c r="G1325" s="36" t="s">
        <v>17635</v>
      </c>
      <c r="H1325" s="36" t="s">
        <v>17635</v>
      </c>
      <c r="I1325" s="36" t="s">
        <v>17635</v>
      </c>
      <c r="J1325" s="36" t="s">
        <v>17635</v>
      </c>
      <c r="K1325" s="36" t="s">
        <v>17635</v>
      </c>
      <c r="L1325" s="36" t="s">
        <v>17635</v>
      </c>
      <c r="M1325" s="36" t="s">
        <v>17635</v>
      </c>
      <c r="N1325" s="36" t="s">
        <v>17635</v>
      </c>
      <c r="O1325" s="36" t="s">
        <v>17635</v>
      </c>
      <c r="P1325" s="36" t="s">
        <v>17635</v>
      </c>
    </row>
    <row r="1326" spans="1:16">
      <c r="A1326" s="139">
        <v>1325</v>
      </c>
      <c r="B1326" s="36" t="s">
        <v>17636</v>
      </c>
      <c r="C1326" s="36" t="s">
        <v>17637</v>
      </c>
      <c r="D1326" s="36" t="s">
        <v>17638</v>
      </c>
      <c r="E1326" s="36" t="s">
        <v>17639</v>
      </c>
      <c r="F1326" s="36" t="s">
        <v>17640</v>
      </c>
      <c r="G1326" s="36" t="s">
        <v>17641</v>
      </c>
      <c r="H1326" s="36" t="s">
        <v>17642</v>
      </c>
      <c r="I1326" s="36" t="s">
        <v>17643</v>
      </c>
      <c r="J1326" s="36" t="s">
        <v>17644</v>
      </c>
      <c r="K1326" s="36" t="s">
        <v>17645</v>
      </c>
      <c r="L1326" s="36" t="s">
        <v>17646</v>
      </c>
      <c r="M1326" s="36" t="s">
        <v>17647</v>
      </c>
      <c r="N1326" s="36" t="s">
        <v>17648</v>
      </c>
      <c r="O1326" s="36" t="s">
        <v>17649</v>
      </c>
      <c r="P1326" s="36" t="s">
        <v>17636</v>
      </c>
    </row>
    <row r="1327" spans="1:16">
      <c r="A1327" s="139">
        <v>1326</v>
      </c>
      <c r="B1327" s="36" t="s">
        <v>17650</v>
      </c>
      <c r="C1327" s="36" t="s">
        <v>17651</v>
      </c>
      <c r="D1327" s="36" t="s">
        <v>17652</v>
      </c>
      <c r="E1327" s="36" t="s">
        <v>17653</v>
      </c>
      <c r="F1327" s="36" t="s">
        <v>17654</v>
      </c>
      <c r="G1327" s="36" t="s">
        <v>17655</v>
      </c>
      <c r="H1327" s="36" t="s">
        <v>17656</v>
      </c>
      <c r="I1327" s="36" t="s">
        <v>17657</v>
      </c>
      <c r="J1327" s="36" t="s">
        <v>17658</v>
      </c>
      <c r="K1327" s="36" t="s">
        <v>17659</v>
      </c>
      <c r="L1327" s="36" t="s">
        <v>17660</v>
      </c>
      <c r="M1327" s="36" t="s">
        <v>17661</v>
      </c>
      <c r="N1327" s="36" t="s">
        <v>17662</v>
      </c>
      <c r="O1327" s="36" t="s">
        <v>17663</v>
      </c>
      <c r="P1327" s="36" t="s">
        <v>17650</v>
      </c>
    </row>
    <row r="1328" spans="1:16">
      <c r="A1328" s="139">
        <v>1327</v>
      </c>
      <c r="B1328" s="36" t="s">
        <v>17664</v>
      </c>
      <c r="C1328" s="36" t="s">
        <v>17665</v>
      </c>
      <c r="D1328" s="36" t="s">
        <v>17666</v>
      </c>
      <c r="E1328" s="36" t="s">
        <v>17667</v>
      </c>
      <c r="F1328" s="36" t="s">
        <v>17668</v>
      </c>
      <c r="G1328" s="36" t="s">
        <v>17669</v>
      </c>
      <c r="H1328" s="36" t="s">
        <v>17670</v>
      </c>
      <c r="I1328" s="36" t="s">
        <v>17671</v>
      </c>
      <c r="J1328" s="36" t="s">
        <v>17672</v>
      </c>
      <c r="K1328" s="36" t="s">
        <v>17673</v>
      </c>
      <c r="L1328" s="36" t="s">
        <v>17674</v>
      </c>
      <c r="M1328" s="36" t="s">
        <v>17675</v>
      </c>
      <c r="N1328" s="36" t="s">
        <v>17676</v>
      </c>
      <c r="O1328" s="36" t="s">
        <v>17677</v>
      </c>
      <c r="P1328" s="36" t="s">
        <v>17664</v>
      </c>
    </row>
    <row r="1329" spans="1:16">
      <c r="A1329" s="139">
        <v>1328</v>
      </c>
      <c r="B1329" s="36" t="s">
        <v>17678</v>
      </c>
      <c r="C1329" s="36" t="s">
        <v>17679</v>
      </c>
      <c r="D1329" s="36" t="s">
        <v>17680</v>
      </c>
      <c r="E1329" s="36" t="s">
        <v>17681</v>
      </c>
      <c r="F1329" s="36" t="s">
        <v>17682</v>
      </c>
      <c r="G1329" s="36" t="s">
        <v>17683</v>
      </c>
      <c r="H1329" s="36" t="s">
        <v>17684</v>
      </c>
      <c r="I1329" s="36" t="s">
        <v>17685</v>
      </c>
      <c r="J1329" s="36" t="s">
        <v>17686</v>
      </c>
      <c r="K1329" s="36" t="s">
        <v>17687</v>
      </c>
      <c r="L1329" s="36" t="s">
        <v>17688</v>
      </c>
      <c r="M1329" s="36" t="s">
        <v>17689</v>
      </c>
      <c r="N1329" s="36" t="s">
        <v>17690</v>
      </c>
      <c r="O1329" s="36" t="s">
        <v>17691</v>
      </c>
      <c r="P1329" s="36" t="s">
        <v>17678</v>
      </c>
    </row>
    <row r="1330" spans="1:16">
      <c r="A1330" s="139">
        <v>1329</v>
      </c>
      <c r="B1330" s="36" t="s">
        <v>17692</v>
      </c>
      <c r="C1330" s="36" t="s">
        <v>17693</v>
      </c>
      <c r="D1330" s="36" t="s">
        <v>17694</v>
      </c>
      <c r="E1330" s="36" t="s">
        <v>17695</v>
      </c>
      <c r="F1330" s="36" t="s">
        <v>17696</v>
      </c>
      <c r="G1330" s="36" t="s">
        <v>17697</v>
      </c>
      <c r="H1330" s="36" t="s">
        <v>17698</v>
      </c>
      <c r="I1330" s="36" t="s">
        <v>17699</v>
      </c>
      <c r="J1330" s="36" t="s">
        <v>17700</v>
      </c>
      <c r="K1330" s="36" t="s">
        <v>17701</v>
      </c>
      <c r="L1330" s="36" t="s">
        <v>17702</v>
      </c>
      <c r="M1330" s="36" t="s">
        <v>17703</v>
      </c>
      <c r="N1330" s="36" t="s">
        <v>17704</v>
      </c>
      <c r="O1330" s="36" t="s">
        <v>17705</v>
      </c>
      <c r="P1330" s="36" t="s">
        <v>17692</v>
      </c>
    </row>
    <row r="1331" spans="1:16">
      <c r="A1331" s="139">
        <v>1330</v>
      </c>
      <c r="B1331" s="36" t="s">
        <v>17706</v>
      </c>
      <c r="C1331" s="36" t="s">
        <v>17707</v>
      </c>
      <c r="D1331" s="36" t="s">
        <v>17708</v>
      </c>
      <c r="E1331" s="36" t="s">
        <v>17709</v>
      </c>
      <c r="F1331" s="36" t="s">
        <v>17710</v>
      </c>
      <c r="G1331" s="36" t="s">
        <v>17711</v>
      </c>
      <c r="H1331" s="36" t="s">
        <v>17712</v>
      </c>
      <c r="I1331" s="36" t="s">
        <v>17713</v>
      </c>
      <c r="J1331" s="36" t="s">
        <v>17714</v>
      </c>
      <c r="K1331" s="36" t="s">
        <v>17715</v>
      </c>
      <c r="L1331" s="36" t="s">
        <v>17716</v>
      </c>
      <c r="M1331" s="36" t="s">
        <v>17717</v>
      </c>
      <c r="N1331" s="36" t="s">
        <v>17718</v>
      </c>
      <c r="O1331" s="36" t="s">
        <v>17719</v>
      </c>
      <c r="P1331" s="36" t="s">
        <v>17706</v>
      </c>
    </row>
    <row r="1332" spans="1:16">
      <c r="A1332" s="139">
        <v>1331</v>
      </c>
      <c r="B1332" s="36" t="s">
        <v>17720</v>
      </c>
      <c r="C1332" s="36" t="s">
        <v>17721</v>
      </c>
      <c r="D1332" s="36" t="s">
        <v>17721</v>
      </c>
      <c r="E1332" s="36" t="s">
        <v>17721</v>
      </c>
      <c r="F1332" s="36" t="s">
        <v>17721</v>
      </c>
      <c r="G1332" s="36" t="s">
        <v>17721</v>
      </c>
      <c r="H1332" s="36" t="s">
        <v>17721</v>
      </c>
      <c r="I1332" s="36" t="s">
        <v>17721</v>
      </c>
      <c r="J1332" s="36" t="s">
        <v>17721</v>
      </c>
      <c r="K1332" s="36" t="s">
        <v>17721</v>
      </c>
      <c r="L1332" s="36" t="s">
        <v>17721</v>
      </c>
      <c r="M1332" s="36" t="s">
        <v>17721</v>
      </c>
      <c r="N1332" s="36" t="s">
        <v>17721</v>
      </c>
      <c r="O1332" s="36" t="s">
        <v>17721</v>
      </c>
      <c r="P1332" s="36" t="s">
        <v>17720</v>
      </c>
    </row>
    <row r="1333" spans="1:16">
      <c r="A1333" s="139">
        <v>1332</v>
      </c>
      <c r="B1333" s="36" t="s">
        <v>17722</v>
      </c>
      <c r="C1333" s="36" t="s">
        <v>17723</v>
      </c>
      <c r="D1333" s="36" t="s">
        <v>17724</v>
      </c>
      <c r="E1333" s="36" t="s">
        <v>17725</v>
      </c>
      <c r="F1333" s="36" t="s">
        <v>17726</v>
      </c>
      <c r="G1333" s="36" t="s">
        <v>17727</v>
      </c>
      <c r="H1333" s="36" t="s">
        <v>17728</v>
      </c>
      <c r="I1333" s="36" t="s">
        <v>17729</v>
      </c>
      <c r="J1333" s="36" t="s">
        <v>17730</v>
      </c>
      <c r="K1333" s="36" t="s">
        <v>17731</v>
      </c>
      <c r="L1333" s="36" t="s">
        <v>17732</v>
      </c>
      <c r="M1333" s="36" t="s">
        <v>17733</v>
      </c>
      <c r="N1333" s="36" t="s">
        <v>17734</v>
      </c>
      <c r="O1333" s="36" t="s">
        <v>17735</v>
      </c>
      <c r="P1333" s="36" t="s">
        <v>17722</v>
      </c>
    </row>
    <row r="1334" spans="1:16">
      <c r="A1334" s="139">
        <v>1333</v>
      </c>
      <c r="B1334" s="36" t="s">
        <v>17736</v>
      </c>
      <c r="C1334" s="36" t="s">
        <v>17737</v>
      </c>
      <c r="D1334" s="36" t="s">
        <v>17738</v>
      </c>
      <c r="E1334" s="36" t="s">
        <v>17739</v>
      </c>
      <c r="F1334" s="36" t="s">
        <v>17740</v>
      </c>
      <c r="G1334" s="36" t="s">
        <v>17741</v>
      </c>
      <c r="H1334" s="36" t="s">
        <v>17742</v>
      </c>
      <c r="I1334" s="36" t="s">
        <v>17743</v>
      </c>
      <c r="J1334" s="36" t="s">
        <v>17744</v>
      </c>
      <c r="K1334" s="36" t="s">
        <v>17745</v>
      </c>
      <c r="L1334" s="36" t="s">
        <v>17746</v>
      </c>
      <c r="M1334" s="36" t="s">
        <v>17747</v>
      </c>
      <c r="N1334" s="36" t="s">
        <v>17748</v>
      </c>
      <c r="O1334" s="36" t="s">
        <v>17749</v>
      </c>
      <c r="P1334" s="36" t="s">
        <v>17736</v>
      </c>
    </row>
    <row r="1335" spans="1:16">
      <c r="A1335" s="139">
        <v>1334</v>
      </c>
      <c r="B1335" s="36" t="s">
        <v>17750</v>
      </c>
      <c r="C1335" s="36" t="s">
        <v>17751</v>
      </c>
      <c r="D1335" s="36" t="s">
        <v>17752</v>
      </c>
      <c r="E1335" s="36" t="s">
        <v>17753</v>
      </c>
      <c r="F1335" s="36" t="s">
        <v>17754</v>
      </c>
      <c r="G1335" s="36" t="s">
        <v>17755</v>
      </c>
      <c r="H1335" s="36" t="s">
        <v>17756</v>
      </c>
      <c r="I1335" s="36" t="s">
        <v>17757</v>
      </c>
      <c r="J1335" s="36" t="s">
        <v>17758</v>
      </c>
      <c r="K1335" s="36" t="s">
        <v>17759</v>
      </c>
      <c r="L1335" s="36" t="s">
        <v>17760</v>
      </c>
      <c r="M1335" s="36" t="s">
        <v>17761</v>
      </c>
      <c r="N1335" s="36" t="s">
        <v>17762</v>
      </c>
      <c r="O1335" s="36" t="s">
        <v>17763</v>
      </c>
      <c r="P1335" s="36" t="s">
        <v>17750</v>
      </c>
    </row>
    <row r="1336" spans="1:16">
      <c r="A1336" s="139">
        <v>1335</v>
      </c>
      <c r="B1336" s="36" t="s">
        <v>17764</v>
      </c>
      <c r="C1336" s="36" t="s">
        <v>17765</v>
      </c>
      <c r="D1336" s="36" t="s">
        <v>17766</v>
      </c>
      <c r="E1336" s="36" t="s">
        <v>17767</v>
      </c>
      <c r="F1336" s="36" t="s">
        <v>17768</v>
      </c>
      <c r="G1336" s="36" t="s">
        <v>17769</v>
      </c>
      <c r="H1336" s="36" t="s">
        <v>17770</v>
      </c>
      <c r="I1336" s="36" t="s">
        <v>17771</v>
      </c>
      <c r="J1336" s="36" t="s">
        <v>17772</v>
      </c>
      <c r="K1336" s="36" t="s">
        <v>17773</v>
      </c>
      <c r="L1336" s="36" t="s">
        <v>17774</v>
      </c>
      <c r="M1336" s="36" t="s">
        <v>17775</v>
      </c>
      <c r="N1336" s="36" t="s">
        <v>17776</v>
      </c>
      <c r="O1336" s="36" t="s">
        <v>17777</v>
      </c>
      <c r="P1336" s="36" t="s">
        <v>17764</v>
      </c>
    </row>
    <row r="1337" spans="1:16">
      <c r="A1337" s="139">
        <v>1336</v>
      </c>
      <c r="B1337" s="36" t="s">
        <v>17778</v>
      </c>
      <c r="C1337" s="36" t="s">
        <v>17779</v>
      </c>
      <c r="D1337" s="36" t="s">
        <v>17780</v>
      </c>
      <c r="E1337" s="36" t="s">
        <v>17781</v>
      </c>
      <c r="F1337" s="36" t="s">
        <v>17782</v>
      </c>
      <c r="G1337" s="36" t="s">
        <v>17783</v>
      </c>
      <c r="H1337" s="36" t="s">
        <v>17784</v>
      </c>
      <c r="I1337" s="36" t="s">
        <v>17785</v>
      </c>
      <c r="J1337" s="36" t="s">
        <v>17786</v>
      </c>
      <c r="K1337" s="36" t="s">
        <v>17787</v>
      </c>
      <c r="L1337" s="36" t="s">
        <v>17788</v>
      </c>
      <c r="M1337" s="36" t="s">
        <v>17789</v>
      </c>
      <c r="N1337" s="36" t="s">
        <v>17790</v>
      </c>
      <c r="O1337" s="36" t="s">
        <v>17791</v>
      </c>
      <c r="P1337" s="36" t="s">
        <v>17778</v>
      </c>
    </row>
    <row r="1338" spans="1:16">
      <c r="A1338" s="139">
        <v>1337</v>
      </c>
      <c r="B1338" s="36" t="s">
        <v>17792</v>
      </c>
      <c r="C1338" s="36" t="s">
        <v>17793</v>
      </c>
      <c r="D1338" s="36" t="s">
        <v>17794</v>
      </c>
      <c r="E1338" s="36" t="s">
        <v>17795</v>
      </c>
      <c r="F1338" s="36" t="s">
        <v>17796</v>
      </c>
      <c r="G1338" s="36" t="s">
        <v>17797</v>
      </c>
      <c r="H1338" s="36" t="s">
        <v>17798</v>
      </c>
      <c r="I1338" s="36" t="s">
        <v>17799</v>
      </c>
      <c r="J1338" s="36" t="s">
        <v>17800</v>
      </c>
      <c r="K1338" s="36" t="s">
        <v>17801</v>
      </c>
      <c r="L1338" s="36" t="s">
        <v>17802</v>
      </c>
      <c r="M1338" s="36" t="s">
        <v>17803</v>
      </c>
      <c r="N1338" s="36" t="s">
        <v>17804</v>
      </c>
      <c r="O1338" s="36" t="s">
        <v>17805</v>
      </c>
      <c r="P1338" s="36" t="s">
        <v>17792</v>
      </c>
    </row>
    <row r="1339" spans="1:16">
      <c r="A1339" s="139">
        <v>1338</v>
      </c>
      <c r="B1339" s="36" t="s">
        <v>17806</v>
      </c>
      <c r="C1339" s="36" t="s">
        <v>17807</v>
      </c>
      <c r="D1339" s="36" t="s">
        <v>17808</v>
      </c>
      <c r="E1339" s="36" t="s">
        <v>17809</v>
      </c>
      <c r="F1339" s="36" t="s">
        <v>17810</v>
      </c>
      <c r="G1339" s="36" t="s">
        <v>17811</v>
      </c>
      <c r="H1339" s="36" t="s">
        <v>17812</v>
      </c>
      <c r="I1339" s="36" t="s">
        <v>17813</v>
      </c>
      <c r="J1339" s="36" t="s">
        <v>17814</v>
      </c>
      <c r="K1339" s="36" t="s">
        <v>17815</v>
      </c>
      <c r="L1339" s="36" t="s">
        <v>17816</v>
      </c>
      <c r="M1339" s="36" t="s">
        <v>17817</v>
      </c>
      <c r="N1339" s="36" t="s">
        <v>17818</v>
      </c>
      <c r="O1339" s="36" t="s">
        <v>17819</v>
      </c>
      <c r="P1339" s="36" t="s">
        <v>17806</v>
      </c>
    </row>
    <row r="1340" spans="1:16">
      <c r="A1340" s="139">
        <v>1339</v>
      </c>
      <c r="B1340" s="36" t="s">
        <v>17820</v>
      </c>
      <c r="C1340" s="36" t="s">
        <v>17821</v>
      </c>
      <c r="D1340" s="36" t="s">
        <v>17822</v>
      </c>
      <c r="E1340" s="36" t="s">
        <v>17823</v>
      </c>
      <c r="F1340" s="36" t="s">
        <v>17824</v>
      </c>
      <c r="G1340" s="36" t="s">
        <v>3681</v>
      </c>
      <c r="H1340" s="36" t="s">
        <v>17825</v>
      </c>
      <c r="I1340" s="36" t="s">
        <v>17826</v>
      </c>
      <c r="J1340" s="36" t="s">
        <v>3687</v>
      </c>
      <c r="K1340" s="36" t="s">
        <v>17827</v>
      </c>
      <c r="L1340" s="36" t="s">
        <v>17828</v>
      </c>
      <c r="M1340" s="36" t="s">
        <v>14885</v>
      </c>
      <c r="N1340" s="36" t="s">
        <v>3687</v>
      </c>
      <c r="O1340" s="36" t="s">
        <v>17829</v>
      </c>
      <c r="P1340" s="36" t="s">
        <v>17820</v>
      </c>
    </row>
    <row r="1341" spans="1:16">
      <c r="A1341" s="139">
        <v>1340</v>
      </c>
      <c r="B1341" s="36" t="s">
        <v>17830</v>
      </c>
      <c r="C1341" s="36" t="s">
        <v>17831</v>
      </c>
      <c r="D1341" s="36" t="s">
        <v>17832</v>
      </c>
      <c r="E1341" s="36" t="s">
        <v>17833</v>
      </c>
      <c r="F1341" s="36" t="s">
        <v>17834</v>
      </c>
      <c r="G1341" s="36" t="s">
        <v>17835</v>
      </c>
      <c r="H1341" s="36" t="s">
        <v>17836</v>
      </c>
      <c r="I1341" s="36" t="s">
        <v>17837</v>
      </c>
      <c r="J1341" s="36" t="s">
        <v>17838</v>
      </c>
      <c r="K1341" s="36" t="s">
        <v>17839</v>
      </c>
      <c r="L1341" s="36" t="s">
        <v>17840</v>
      </c>
      <c r="M1341" s="36" t="s">
        <v>17841</v>
      </c>
      <c r="N1341" s="36" t="s">
        <v>17842</v>
      </c>
      <c r="O1341" s="36" t="s">
        <v>17843</v>
      </c>
      <c r="P1341" s="36" t="s">
        <v>17830</v>
      </c>
    </row>
    <row r="1342" spans="1:16">
      <c r="A1342" s="139">
        <v>1341</v>
      </c>
      <c r="B1342" s="36" t="s">
        <v>17844</v>
      </c>
      <c r="C1342" s="36" t="s">
        <v>17845</v>
      </c>
      <c r="D1342" s="36" t="s">
        <v>17846</v>
      </c>
      <c r="E1342" s="36" t="s">
        <v>17847</v>
      </c>
      <c r="F1342" s="36" t="s">
        <v>17844</v>
      </c>
      <c r="G1342" s="36" t="s">
        <v>17848</v>
      </c>
      <c r="H1342" s="36" t="s">
        <v>17849</v>
      </c>
      <c r="I1342" s="36" t="s">
        <v>17850</v>
      </c>
      <c r="J1342" s="36" t="s">
        <v>17851</v>
      </c>
      <c r="K1342" s="36" t="s">
        <v>17852</v>
      </c>
      <c r="L1342" s="36" t="s">
        <v>17853</v>
      </c>
      <c r="M1342" s="36" t="s">
        <v>17854</v>
      </c>
      <c r="N1342" s="36" t="s">
        <v>17854</v>
      </c>
      <c r="O1342" s="36" t="s">
        <v>17855</v>
      </c>
      <c r="P1342" s="36" t="s">
        <v>17844</v>
      </c>
    </row>
    <row r="1343" spans="1:16">
      <c r="A1343" s="139">
        <v>1342</v>
      </c>
      <c r="B1343" s="36" t="s">
        <v>17856</v>
      </c>
      <c r="C1343" s="36" t="s">
        <v>17857</v>
      </c>
      <c r="D1343" s="36" t="s">
        <v>17858</v>
      </c>
      <c r="E1343" s="36" t="s">
        <v>17859</v>
      </c>
      <c r="F1343" s="36" t="s">
        <v>17860</v>
      </c>
      <c r="G1343" s="36" t="s">
        <v>17861</v>
      </c>
      <c r="H1343" s="36" t="s">
        <v>17862</v>
      </c>
      <c r="I1343" s="36" t="s">
        <v>17863</v>
      </c>
      <c r="J1343" s="36" t="s">
        <v>17864</v>
      </c>
      <c r="K1343" s="36" t="s">
        <v>17865</v>
      </c>
      <c r="L1343" s="36" t="s">
        <v>17866</v>
      </c>
      <c r="M1343" s="36" t="s">
        <v>17867</v>
      </c>
      <c r="N1343" s="36" t="s">
        <v>17868</v>
      </c>
      <c r="O1343" s="36" t="s">
        <v>17869</v>
      </c>
      <c r="P1343" s="36" t="s">
        <v>17856</v>
      </c>
    </row>
    <row r="1344" spans="1:16">
      <c r="A1344" s="139">
        <v>1343</v>
      </c>
      <c r="B1344" s="36" t="s">
        <v>17870</v>
      </c>
      <c r="C1344" s="36" t="s">
        <v>17871</v>
      </c>
      <c r="D1344" s="36" t="s">
        <v>17872</v>
      </c>
      <c r="E1344" s="36" t="s">
        <v>17873</v>
      </c>
      <c r="F1344" s="36" t="s">
        <v>17874</v>
      </c>
      <c r="G1344" s="36" t="s">
        <v>17875</v>
      </c>
      <c r="H1344" s="36" t="s">
        <v>17876</v>
      </c>
      <c r="I1344" s="36" t="s">
        <v>17877</v>
      </c>
      <c r="J1344" s="36" t="s">
        <v>17878</v>
      </c>
      <c r="K1344" s="36" t="s">
        <v>17879</v>
      </c>
      <c r="L1344" s="36" t="s">
        <v>17880</v>
      </c>
      <c r="M1344" s="36" t="s">
        <v>17881</v>
      </c>
      <c r="N1344" s="36" t="s">
        <v>17882</v>
      </c>
      <c r="O1344" s="36" t="s">
        <v>17883</v>
      </c>
      <c r="P1344" s="36" t="s">
        <v>17870</v>
      </c>
    </row>
    <row r="1345" spans="1:16">
      <c r="A1345" s="139">
        <v>1344</v>
      </c>
      <c r="B1345" s="36" t="s">
        <v>17884</v>
      </c>
      <c r="C1345" s="36" t="s">
        <v>17885</v>
      </c>
      <c r="D1345" s="36" t="s">
        <v>17886</v>
      </c>
      <c r="E1345" s="36" t="s">
        <v>17887</v>
      </c>
      <c r="F1345" s="36" t="s">
        <v>17888</v>
      </c>
      <c r="G1345" s="36" t="s">
        <v>17889</v>
      </c>
      <c r="H1345" s="36" t="s">
        <v>17884</v>
      </c>
      <c r="I1345" s="36" t="s">
        <v>17890</v>
      </c>
      <c r="J1345" s="36" t="s">
        <v>17884</v>
      </c>
      <c r="K1345" s="36" t="s">
        <v>17891</v>
      </c>
      <c r="L1345" s="36" t="s">
        <v>17892</v>
      </c>
      <c r="M1345" s="36" t="s">
        <v>17884</v>
      </c>
      <c r="N1345" s="36" t="s">
        <v>17893</v>
      </c>
      <c r="O1345" s="36" t="s">
        <v>17894</v>
      </c>
      <c r="P1345" s="36" t="s">
        <v>17884</v>
      </c>
    </row>
    <row r="1346" spans="1:16">
      <c r="A1346" s="139">
        <v>1345</v>
      </c>
      <c r="B1346" s="36" t="s">
        <v>17895</v>
      </c>
      <c r="C1346" s="36" t="s">
        <v>17896</v>
      </c>
      <c r="D1346" s="36" t="s">
        <v>17897</v>
      </c>
      <c r="E1346" s="36" t="s">
        <v>17898</v>
      </c>
      <c r="F1346" s="36" t="s">
        <v>17899</v>
      </c>
      <c r="G1346" s="36" t="s">
        <v>17900</v>
      </c>
      <c r="H1346" s="36" t="s">
        <v>17895</v>
      </c>
      <c r="I1346" s="36" t="s">
        <v>17901</v>
      </c>
      <c r="J1346" s="36" t="s">
        <v>17895</v>
      </c>
      <c r="K1346" s="36" t="s">
        <v>17902</v>
      </c>
      <c r="L1346" s="36" t="s">
        <v>17903</v>
      </c>
      <c r="M1346" s="36" t="s">
        <v>17895</v>
      </c>
      <c r="N1346" s="36" t="s">
        <v>17904</v>
      </c>
      <c r="O1346" s="36" t="s">
        <v>17905</v>
      </c>
      <c r="P1346" s="36" t="s">
        <v>17895</v>
      </c>
    </row>
    <row r="1347" spans="1:16">
      <c r="A1347" s="139">
        <v>1346</v>
      </c>
      <c r="B1347" s="36" t="s">
        <v>17906</v>
      </c>
      <c r="C1347" s="36" t="s">
        <v>17907</v>
      </c>
      <c r="D1347" s="36" t="s">
        <v>17908</v>
      </c>
      <c r="E1347" s="36" t="s">
        <v>17909</v>
      </c>
      <c r="F1347" s="36" t="s">
        <v>17910</v>
      </c>
      <c r="G1347" s="36" t="s">
        <v>17911</v>
      </c>
      <c r="H1347" s="36" t="s">
        <v>17912</v>
      </c>
      <c r="I1347" s="36" t="s">
        <v>17913</v>
      </c>
      <c r="J1347" s="36" t="s">
        <v>17914</v>
      </c>
      <c r="K1347" s="36" t="s">
        <v>17915</v>
      </c>
      <c r="L1347" s="36" t="s">
        <v>17916</v>
      </c>
      <c r="M1347" s="36" t="s">
        <v>17917</v>
      </c>
      <c r="N1347" s="36" t="s">
        <v>17918</v>
      </c>
      <c r="O1347" s="36" t="s">
        <v>17919</v>
      </c>
      <c r="P1347" s="36" t="s">
        <v>17906</v>
      </c>
    </row>
    <row r="1348" spans="1:16">
      <c r="A1348" s="139">
        <v>1347</v>
      </c>
      <c r="B1348" s="36" t="s">
        <v>17920</v>
      </c>
      <c r="C1348" s="36" t="s">
        <v>4327</v>
      </c>
      <c r="D1348" s="36" t="s">
        <v>4328</v>
      </c>
      <c r="E1348" s="36" t="s">
        <v>17921</v>
      </c>
      <c r="F1348" s="36" t="s">
        <v>4330</v>
      </c>
      <c r="G1348" s="36" t="s">
        <v>17922</v>
      </c>
      <c r="H1348" s="36" t="s">
        <v>17923</v>
      </c>
      <c r="I1348" s="36" t="s">
        <v>17924</v>
      </c>
      <c r="J1348" s="36" t="s">
        <v>17925</v>
      </c>
      <c r="K1348" s="36" t="s">
        <v>17926</v>
      </c>
      <c r="L1348" s="36" t="s">
        <v>17927</v>
      </c>
      <c r="M1348" s="36" t="s">
        <v>17928</v>
      </c>
      <c r="N1348" s="36" t="s">
        <v>17929</v>
      </c>
      <c r="O1348" s="36" t="s">
        <v>4339</v>
      </c>
      <c r="P1348" s="36" t="s">
        <v>17920</v>
      </c>
    </row>
    <row r="1349" spans="1:16">
      <c r="A1349" s="139">
        <v>1348</v>
      </c>
      <c r="B1349" s="36" t="s">
        <v>17930</v>
      </c>
      <c r="C1349" s="36" t="s">
        <v>17931</v>
      </c>
      <c r="D1349" s="36" t="s">
        <v>17932</v>
      </c>
      <c r="E1349" s="36" t="s">
        <v>17933</v>
      </c>
      <c r="F1349" s="36" t="s">
        <v>17934</v>
      </c>
      <c r="G1349" s="36" t="s">
        <v>17935</v>
      </c>
      <c r="H1349" s="36" t="s">
        <v>17936</v>
      </c>
      <c r="I1349" s="36" t="s">
        <v>17937</v>
      </c>
      <c r="J1349" s="36" t="s">
        <v>17938</v>
      </c>
      <c r="K1349" s="36" t="s">
        <v>17939</v>
      </c>
      <c r="L1349" s="36" t="s">
        <v>17940</v>
      </c>
      <c r="M1349" s="36" t="s">
        <v>5504</v>
      </c>
      <c r="N1349" s="36" t="s">
        <v>17941</v>
      </c>
      <c r="O1349" s="36" t="s">
        <v>17942</v>
      </c>
      <c r="P1349" s="36" t="s">
        <v>17930</v>
      </c>
    </row>
    <row r="1350" spans="1:16">
      <c r="A1350" s="139">
        <v>1349</v>
      </c>
      <c r="B1350" s="36" t="s">
        <v>17943</v>
      </c>
      <c r="C1350" s="36" t="s">
        <v>17944</v>
      </c>
      <c r="D1350" s="36" t="s">
        <v>17945</v>
      </c>
      <c r="E1350" s="36" t="s">
        <v>17946</v>
      </c>
      <c r="F1350" s="36" t="s">
        <v>17947</v>
      </c>
      <c r="G1350" s="36" t="s">
        <v>17948</v>
      </c>
      <c r="H1350" s="36" t="s">
        <v>17949</v>
      </c>
      <c r="I1350" s="36" t="s">
        <v>17950</v>
      </c>
      <c r="J1350" s="36" t="s">
        <v>17951</v>
      </c>
      <c r="K1350" s="36" t="s">
        <v>17952</v>
      </c>
      <c r="L1350" s="36" t="s">
        <v>17953</v>
      </c>
      <c r="M1350" s="36" t="s">
        <v>17954</v>
      </c>
      <c r="N1350" s="36" t="s">
        <v>17955</v>
      </c>
      <c r="O1350" s="36" t="s">
        <v>17956</v>
      </c>
      <c r="P1350" s="36" t="s">
        <v>17943</v>
      </c>
    </row>
    <row r="1351" spans="1:16">
      <c r="A1351" s="139">
        <v>1350</v>
      </c>
      <c r="B1351" s="36" t="s">
        <v>17957</v>
      </c>
      <c r="C1351" s="36" t="s">
        <v>17958</v>
      </c>
      <c r="D1351" s="36" t="s">
        <v>17959</v>
      </c>
      <c r="E1351" s="36" t="s">
        <v>17960</v>
      </c>
      <c r="F1351" s="36" t="s">
        <v>17961</v>
      </c>
      <c r="G1351" s="36" t="s">
        <v>17962</v>
      </c>
      <c r="H1351" s="36" t="s">
        <v>17963</v>
      </c>
      <c r="I1351" s="36" t="s">
        <v>17964</v>
      </c>
      <c r="J1351" s="36" t="s">
        <v>17965</v>
      </c>
      <c r="K1351" s="36" t="s">
        <v>17966</v>
      </c>
      <c r="L1351" s="36" t="s">
        <v>17967</v>
      </c>
      <c r="M1351" s="36" t="s">
        <v>17968</v>
      </c>
      <c r="N1351" s="36" t="s">
        <v>17969</v>
      </c>
      <c r="O1351" s="36" t="s">
        <v>17970</v>
      </c>
      <c r="P1351" s="36" t="s">
        <v>17957</v>
      </c>
    </row>
    <row r="1352" spans="1:16">
      <c r="A1352" s="139">
        <v>1351</v>
      </c>
      <c r="B1352" s="36" t="s">
        <v>17971</v>
      </c>
      <c r="C1352" s="36" t="s">
        <v>17972</v>
      </c>
      <c r="D1352" s="36" t="s">
        <v>17973</v>
      </c>
      <c r="E1352" s="36" t="s">
        <v>17974</v>
      </c>
      <c r="F1352" s="36" t="s">
        <v>17975</v>
      </c>
      <c r="G1352" s="36" t="s">
        <v>17976</v>
      </c>
      <c r="H1352" s="36" t="s">
        <v>17977</v>
      </c>
      <c r="I1352" s="36" t="s">
        <v>17978</v>
      </c>
      <c r="J1352" s="36" t="s">
        <v>17979</v>
      </c>
      <c r="K1352" s="36" t="s">
        <v>17980</v>
      </c>
      <c r="L1352" s="36" t="s">
        <v>17981</v>
      </c>
      <c r="M1352" s="36" t="s">
        <v>17982</v>
      </c>
      <c r="N1352" s="36" t="s">
        <v>17983</v>
      </c>
      <c r="O1352" s="36" t="s">
        <v>17984</v>
      </c>
      <c r="P1352" s="36" t="s">
        <v>17971</v>
      </c>
    </row>
    <row r="1353" spans="1:16">
      <c r="A1353" s="139">
        <v>1352</v>
      </c>
      <c r="B1353" s="36" t="s">
        <v>17985</v>
      </c>
      <c r="C1353" s="36" t="s">
        <v>17986</v>
      </c>
      <c r="D1353" s="36" t="s">
        <v>17987</v>
      </c>
      <c r="E1353" s="36" t="s">
        <v>17988</v>
      </c>
      <c r="F1353" s="36" t="s">
        <v>17989</v>
      </c>
      <c r="G1353" s="36" t="s">
        <v>17990</v>
      </c>
      <c r="H1353" s="36" t="s">
        <v>17991</v>
      </c>
      <c r="I1353" s="36" t="s">
        <v>17992</v>
      </c>
      <c r="J1353" s="36" t="s">
        <v>17993</v>
      </c>
      <c r="K1353" s="36" t="s">
        <v>17994</v>
      </c>
      <c r="L1353" s="36" t="s">
        <v>17995</v>
      </c>
      <c r="M1353" s="36" t="s">
        <v>17996</v>
      </c>
      <c r="N1353" s="36" t="s">
        <v>17997</v>
      </c>
      <c r="O1353" s="36" t="s">
        <v>17998</v>
      </c>
      <c r="P1353" s="36" t="s">
        <v>17985</v>
      </c>
    </row>
    <row r="1354" spans="1:16">
      <c r="A1354" s="139">
        <v>1353</v>
      </c>
      <c r="B1354" s="36" t="s">
        <v>17999</v>
      </c>
      <c r="C1354" s="36" t="s">
        <v>18000</v>
      </c>
      <c r="D1354" s="36" t="s">
        <v>18001</v>
      </c>
      <c r="E1354" s="36" t="s">
        <v>18002</v>
      </c>
      <c r="F1354" s="36" t="s">
        <v>18003</v>
      </c>
      <c r="G1354" s="36" t="s">
        <v>18004</v>
      </c>
      <c r="H1354" s="36" t="s">
        <v>18005</v>
      </c>
      <c r="I1354" s="36" t="s">
        <v>18006</v>
      </c>
      <c r="J1354" s="36" t="s">
        <v>18007</v>
      </c>
      <c r="K1354" s="36" t="s">
        <v>18008</v>
      </c>
      <c r="L1354" s="36" t="s">
        <v>18009</v>
      </c>
      <c r="M1354" s="36" t="s">
        <v>18010</v>
      </c>
      <c r="N1354" s="36" t="s">
        <v>18011</v>
      </c>
      <c r="O1354" s="36" t="s">
        <v>18012</v>
      </c>
      <c r="P1354" s="36" t="s">
        <v>17999</v>
      </c>
    </row>
    <row r="1355" spans="1:16">
      <c r="A1355" s="139">
        <v>1354</v>
      </c>
      <c r="B1355" s="36" t="s">
        <v>18013</v>
      </c>
      <c r="C1355" s="36" t="s">
        <v>18014</v>
      </c>
      <c r="D1355" s="36" t="s">
        <v>18015</v>
      </c>
      <c r="E1355" s="36" t="s">
        <v>18016</v>
      </c>
      <c r="F1355" s="36" t="s">
        <v>18017</v>
      </c>
      <c r="G1355" s="36" t="s">
        <v>18018</v>
      </c>
      <c r="H1355" s="36" t="s">
        <v>18019</v>
      </c>
      <c r="I1355" s="36" t="s">
        <v>18020</v>
      </c>
      <c r="J1355" s="36" t="s">
        <v>18021</v>
      </c>
      <c r="K1355" s="36" t="s">
        <v>18022</v>
      </c>
      <c r="L1355" s="36" t="s">
        <v>18023</v>
      </c>
      <c r="M1355" s="36" t="s">
        <v>18024</v>
      </c>
      <c r="N1355" s="36" t="s">
        <v>18025</v>
      </c>
      <c r="O1355" s="36" t="s">
        <v>18026</v>
      </c>
      <c r="P1355" s="36" t="s">
        <v>18013</v>
      </c>
    </row>
    <row r="1356" spans="1:16">
      <c r="A1356" s="139">
        <v>1355</v>
      </c>
      <c r="B1356" s="36" t="s">
        <v>18027</v>
      </c>
      <c r="C1356" s="36" t="s">
        <v>18028</v>
      </c>
      <c r="D1356" s="36" t="s">
        <v>18029</v>
      </c>
      <c r="E1356" s="36" t="s">
        <v>18030</v>
      </c>
      <c r="F1356" s="36" t="s">
        <v>18031</v>
      </c>
      <c r="G1356" s="36" t="s">
        <v>18032</v>
      </c>
      <c r="H1356" s="36" t="s">
        <v>18033</v>
      </c>
      <c r="I1356" s="36" t="s">
        <v>18034</v>
      </c>
      <c r="J1356" s="36" t="s">
        <v>18035</v>
      </c>
      <c r="K1356" s="36" t="s">
        <v>18036</v>
      </c>
      <c r="L1356" s="36" t="s">
        <v>18037</v>
      </c>
      <c r="M1356" s="36" t="s">
        <v>18038</v>
      </c>
      <c r="N1356" s="36" t="s">
        <v>18039</v>
      </c>
      <c r="O1356" s="36" t="s">
        <v>18040</v>
      </c>
      <c r="P1356" s="36" t="s">
        <v>18027</v>
      </c>
    </row>
    <row r="1357" spans="1:16">
      <c r="A1357" s="139">
        <v>1356</v>
      </c>
      <c r="B1357" s="36" t="s">
        <v>18041</v>
      </c>
      <c r="C1357" s="36" t="s">
        <v>18042</v>
      </c>
      <c r="D1357" s="36" t="s">
        <v>18043</v>
      </c>
      <c r="E1357" s="36" t="s">
        <v>18044</v>
      </c>
      <c r="F1357" s="36" t="s">
        <v>18045</v>
      </c>
      <c r="G1357" s="36" t="s">
        <v>18046</v>
      </c>
      <c r="H1357" s="36" t="s">
        <v>18047</v>
      </c>
      <c r="I1357" s="36" t="s">
        <v>18048</v>
      </c>
      <c r="J1357" s="36" t="s">
        <v>18049</v>
      </c>
      <c r="K1357" s="36" t="s">
        <v>18050</v>
      </c>
      <c r="L1357" s="36" t="s">
        <v>18051</v>
      </c>
      <c r="M1357" s="36" t="s">
        <v>18052</v>
      </c>
      <c r="N1357" s="36" t="s">
        <v>18053</v>
      </c>
      <c r="O1357" s="36" t="s">
        <v>18054</v>
      </c>
      <c r="P1357" s="36" t="s">
        <v>18041</v>
      </c>
    </row>
    <row r="1358" spans="1:16">
      <c r="A1358" s="139">
        <v>1357</v>
      </c>
      <c r="B1358" s="36" t="s">
        <v>18055</v>
      </c>
      <c r="C1358" s="36" t="s">
        <v>18056</v>
      </c>
      <c r="D1358" s="36" t="s">
        <v>18057</v>
      </c>
      <c r="E1358" s="36" t="s">
        <v>18058</v>
      </c>
      <c r="F1358" s="36" t="s">
        <v>18059</v>
      </c>
      <c r="G1358" s="36" t="s">
        <v>18060</v>
      </c>
      <c r="H1358" s="36" t="s">
        <v>18061</v>
      </c>
      <c r="I1358" s="36" t="s">
        <v>18062</v>
      </c>
      <c r="J1358" s="36" t="s">
        <v>18063</v>
      </c>
      <c r="K1358" s="36" t="s">
        <v>18064</v>
      </c>
      <c r="L1358" s="36" t="s">
        <v>18065</v>
      </c>
      <c r="M1358" s="36" t="s">
        <v>18066</v>
      </c>
      <c r="N1358" s="36" t="s">
        <v>18067</v>
      </c>
      <c r="O1358" s="36" t="s">
        <v>18068</v>
      </c>
      <c r="P1358" s="36" t="s">
        <v>18055</v>
      </c>
    </row>
    <row r="1359" spans="1:16">
      <c r="A1359" s="139">
        <v>1358</v>
      </c>
      <c r="B1359" s="36" t="s">
        <v>18069</v>
      </c>
      <c r="C1359" s="36" t="s">
        <v>18070</v>
      </c>
      <c r="D1359" s="36" t="s">
        <v>18071</v>
      </c>
      <c r="E1359" s="36" t="s">
        <v>18072</v>
      </c>
      <c r="F1359" s="36" t="s">
        <v>18073</v>
      </c>
      <c r="G1359" s="36" t="s">
        <v>18074</v>
      </c>
      <c r="H1359" s="36" t="s">
        <v>18075</v>
      </c>
      <c r="I1359" s="36" t="s">
        <v>18073</v>
      </c>
      <c r="J1359" s="36" t="s">
        <v>18076</v>
      </c>
      <c r="K1359" s="36" t="s">
        <v>18077</v>
      </c>
      <c r="L1359" s="36" t="s">
        <v>18078</v>
      </c>
      <c r="M1359" s="36" t="s">
        <v>18079</v>
      </c>
      <c r="N1359" s="36" t="s">
        <v>18080</v>
      </c>
      <c r="O1359" s="36" t="s">
        <v>18081</v>
      </c>
      <c r="P1359" s="36" t="s">
        <v>18069</v>
      </c>
    </row>
    <row r="1360" spans="1:16">
      <c r="A1360" s="139">
        <v>1359</v>
      </c>
      <c r="B1360" s="36" t="s">
        <v>18082</v>
      </c>
      <c r="C1360" s="36" t="s">
        <v>11223</v>
      </c>
      <c r="D1360" s="36" t="s">
        <v>11224</v>
      </c>
      <c r="E1360" s="36" t="s">
        <v>18083</v>
      </c>
      <c r="F1360" s="36" t="s">
        <v>11226</v>
      </c>
      <c r="G1360" s="36" t="s">
        <v>18084</v>
      </c>
      <c r="H1360" s="36" t="s">
        <v>18085</v>
      </c>
      <c r="I1360" s="36" t="s">
        <v>18086</v>
      </c>
      <c r="J1360" s="36" t="s">
        <v>18087</v>
      </c>
      <c r="K1360" s="36" t="s">
        <v>18088</v>
      </c>
      <c r="L1360" s="36" t="s">
        <v>18089</v>
      </c>
      <c r="M1360" s="36" t="s">
        <v>18090</v>
      </c>
      <c r="N1360" s="36" t="s">
        <v>18091</v>
      </c>
      <c r="O1360" s="36" t="s">
        <v>18092</v>
      </c>
      <c r="P1360" s="36" t="s">
        <v>18082</v>
      </c>
    </row>
    <row r="1361" spans="1:16">
      <c r="A1361" s="139">
        <v>1360</v>
      </c>
      <c r="B1361" s="36" t="s">
        <v>18093</v>
      </c>
      <c r="C1361" s="36" t="s">
        <v>18094</v>
      </c>
      <c r="D1361" s="36" t="s">
        <v>18095</v>
      </c>
      <c r="E1361" s="36" t="s">
        <v>18096</v>
      </c>
      <c r="F1361" s="36" t="s">
        <v>18097</v>
      </c>
      <c r="G1361" s="36" t="s">
        <v>18098</v>
      </c>
      <c r="H1361" s="36" t="s">
        <v>18099</v>
      </c>
      <c r="I1361" s="36" t="s">
        <v>18100</v>
      </c>
      <c r="J1361" s="36" t="s">
        <v>18101</v>
      </c>
      <c r="K1361" s="36" t="s">
        <v>18102</v>
      </c>
      <c r="L1361" s="36" t="s">
        <v>18103</v>
      </c>
      <c r="M1361" s="36" t="s">
        <v>18104</v>
      </c>
      <c r="N1361" s="36" t="s">
        <v>18105</v>
      </c>
      <c r="O1361" s="36" t="s">
        <v>18106</v>
      </c>
      <c r="P1361" s="36" t="s">
        <v>18093</v>
      </c>
    </row>
    <row r="1362" spans="1:16">
      <c r="A1362" s="139">
        <v>1361</v>
      </c>
      <c r="B1362" s="36" t="s">
        <v>18107</v>
      </c>
      <c r="C1362" s="36" t="s">
        <v>18108</v>
      </c>
      <c r="D1362" s="36" t="s">
        <v>18109</v>
      </c>
      <c r="E1362" s="36" t="s">
        <v>18110</v>
      </c>
      <c r="F1362" s="36" t="s">
        <v>18111</v>
      </c>
      <c r="G1362" s="36" t="s">
        <v>18112</v>
      </c>
      <c r="H1362" s="36" t="s">
        <v>18113</v>
      </c>
      <c r="I1362" s="36" t="s">
        <v>18114</v>
      </c>
      <c r="J1362" s="36" t="s">
        <v>18115</v>
      </c>
      <c r="K1362" s="36" t="s">
        <v>18116</v>
      </c>
      <c r="L1362" s="36" t="s">
        <v>18117</v>
      </c>
      <c r="M1362" s="36" t="s">
        <v>18118</v>
      </c>
      <c r="N1362" s="36" t="s">
        <v>18119</v>
      </c>
      <c r="O1362" s="36" t="s">
        <v>18120</v>
      </c>
      <c r="P1362" s="36" t="s">
        <v>18107</v>
      </c>
    </row>
    <row r="1363" spans="1:16">
      <c r="A1363" s="139">
        <v>1362</v>
      </c>
      <c r="B1363" s="36" t="s">
        <v>18121</v>
      </c>
      <c r="C1363" s="36" t="s">
        <v>18122</v>
      </c>
      <c r="D1363" s="36" t="s">
        <v>18123</v>
      </c>
      <c r="E1363" s="36" t="s">
        <v>18124</v>
      </c>
      <c r="F1363" s="36" t="s">
        <v>18125</v>
      </c>
      <c r="G1363" s="36" t="s">
        <v>18126</v>
      </c>
      <c r="H1363" s="36" t="s">
        <v>18127</v>
      </c>
      <c r="I1363" s="36" t="s">
        <v>18128</v>
      </c>
      <c r="J1363" s="36" t="s">
        <v>18129</v>
      </c>
      <c r="K1363" s="36" t="s">
        <v>18130</v>
      </c>
      <c r="L1363" s="36" t="s">
        <v>18131</v>
      </c>
      <c r="M1363" s="36" t="s">
        <v>18132</v>
      </c>
      <c r="N1363" s="36" t="s">
        <v>18133</v>
      </c>
      <c r="O1363" s="36" t="s">
        <v>18134</v>
      </c>
      <c r="P1363" s="36" t="s">
        <v>18121</v>
      </c>
    </row>
    <row r="1364" spans="1:16">
      <c r="A1364" s="139">
        <v>1363</v>
      </c>
      <c r="B1364" s="36" t="s">
        <v>18135</v>
      </c>
      <c r="C1364" s="36" t="s">
        <v>18136</v>
      </c>
      <c r="D1364" s="36" t="s">
        <v>18137</v>
      </c>
      <c r="E1364" s="36" t="s">
        <v>18138</v>
      </c>
      <c r="F1364" s="36" t="s">
        <v>18139</v>
      </c>
      <c r="G1364" s="36" t="s">
        <v>18140</v>
      </c>
      <c r="H1364" s="36" t="s">
        <v>18141</v>
      </c>
      <c r="I1364" s="36" t="s">
        <v>18142</v>
      </c>
      <c r="J1364" s="36" t="s">
        <v>18143</v>
      </c>
      <c r="K1364" s="36" t="s">
        <v>18144</v>
      </c>
      <c r="L1364" s="36" t="s">
        <v>18145</v>
      </c>
      <c r="M1364" s="36" t="s">
        <v>18146</v>
      </c>
      <c r="N1364" s="36" t="s">
        <v>18147</v>
      </c>
      <c r="O1364" s="36" t="s">
        <v>18148</v>
      </c>
      <c r="P1364" s="36" t="s">
        <v>18135</v>
      </c>
    </row>
    <row r="1365" spans="1:16">
      <c r="A1365" s="139">
        <v>1364</v>
      </c>
      <c r="B1365" s="36" t="s">
        <v>18149</v>
      </c>
      <c r="C1365" s="36" t="s">
        <v>18150</v>
      </c>
      <c r="D1365" s="36" t="s">
        <v>18151</v>
      </c>
      <c r="E1365" s="36" t="s">
        <v>18152</v>
      </c>
      <c r="F1365" s="36" t="s">
        <v>18153</v>
      </c>
      <c r="G1365" s="36" t="s">
        <v>18154</v>
      </c>
      <c r="H1365" s="36" t="s">
        <v>18155</v>
      </c>
      <c r="I1365" s="36" t="s">
        <v>18156</v>
      </c>
      <c r="J1365" s="36" t="s">
        <v>18157</v>
      </c>
      <c r="K1365" s="36" t="s">
        <v>18158</v>
      </c>
      <c r="L1365" s="36" t="s">
        <v>18159</v>
      </c>
      <c r="M1365" s="36" t="s">
        <v>18160</v>
      </c>
      <c r="N1365" s="36" t="s">
        <v>18161</v>
      </c>
      <c r="O1365" s="36" t="s">
        <v>18162</v>
      </c>
      <c r="P1365" s="36" t="s">
        <v>18149</v>
      </c>
    </row>
    <row r="1366" spans="1:16">
      <c r="A1366" s="139">
        <v>1365</v>
      </c>
      <c r="B1366" s="36" t="s">
        <v>18163</v>
      </c>
      <c r="C1366" s="36" t="s">
        <v>18164</v>
      </c>
      <c r="D1366" s="36" t="s">
        <v>18165</v>
      </c>
      <c r="E1366" s="36" t="s">
        <v>18166</v>
      </c>
      <c r="F1366" s="36" t="s">
        <v>18167</v>
      </c>
      <c r="G1366" s="36" t="s">
        <v>18168</v>
      </c>
      <c r="H1366" s="36" t="s">
        <v>18169</v>
      </c>
      <c r="I1366" s="36" t="s">
        <v>18170</v>
      </c>
      <c r="J1366" s="36" t="s">
        <v>18171</v>
      </c>
      <c r="K1366" s="36" t="s">
        <v>18172</v>
      </c>
      <c r="L1366" s="36" t="s">
        <v>18173</v>
      </c>
      <c r="M1366" s="36" t="s">
        <v>18174</v>
      </c>
      <c r="N1366" s="36" t="s">
        <v>18175</v>
      </c>
      <c r="O1366" s="36" t="s">
        <v>18176</v>
      </c>
      <c r="P1366" s="36" t="s">
        <v>18163</v>
      </c>
    </row>
    <row r="1367" spans="1:16">
      <c r="A1367" s="139">
        <v>1366</v>
      </c>
      <c r="B1367" s="36" t="s">
        <v>18177</v>
      </c>
      <c r="C1367" s="36" t="s">
        <v>18178</v>
      </c>
      <c r="D1367" s="36" t="s">
        <v>18179</v>
      </c>
      <c r="E1367" s="36" t="s">
        <v>18180</v>
      </c>
      <c r="F1367" s="36" t="s">
        <v>18181</v>
      </c>
      <c r="G1367" s="36" t="s">
        <v>18182</v>
      </c>
      <c r="H1367" s="36" t="s">
        <v>18183</v>
      </c>
      <c r="I1367" s="36" t="s">
        <v>18184</v>
      </c>
      <c r="J1367" s="36" t="s">
        <v>18185</v>
      </c>
      <c r="K1367" s="36" t="s">
        <v>18186</v>
      </c>
      <c r="L1367" s="36" t="s">
        <v>18187</v>
      </c>
      <c r="M1367" s="36" t="s">
        <v>18188</v>
      </c>
      <c r="N1367" s="36" t="s">
        <v>18189</v>
      </c>
      <c r="O1367" s="36" t="s">
        <v>18190</v>
      </c>
      <c r="P1367" s="36" t="s">
        <v>18177</v>
      </c>
    </row>
    <row r="1368" spans="1:16">
      <c r="A1368" s="139">
        <v>1367</v>
      </c>
      <c r="B1368" s="36" t="s">
        <v>18191</v>
      </c>
      <c r="C1368" s="36" t="s">
        <v>18192</v>
      </c>
      <c r="D1368" s="36" t="s">
        <v>18193</v>
      </c>
      <c r="E1368" s="36" t="s">
        <v>18194</v>
      </c>
      <c r="F1368" s="36" t="s">
        <v>18195</v>
      </c>
      <c r="G1368" s="36" t="s">
        <v>18196</v>
      </c>
      <c r="H1368" s="36" t="s">
        <v>18197</v>
      </c>
      <c r="I1368" s="36" t="s">
        <v>18198</v>
      </c>
      <c r="J1368" s="36" t="s">
        <v>18199</v>
      </c>
      <c r="K1368" s="36" t="s">
        <v>18200</v>
      </c>
      <c r="L1368" s="36" t="s">
        <v>18201</v>
      </c>
      <c r="M1368" s="36" t="s">
        <v>18202</v>
      </c>
      <c r="N1368" s="36" t="s">
        <v>18203</v>
      </c>
      <c r="O1368" s="36" t="s">
        <v>18204</v>
      </c>
      <c r="P1368" s="36" t="s">
        <v>18191</v>
      </c>
    </row>
    <row r="1369" spans="1:16">
      <c r="A1369" s="139">
        <v>1368</v>
      </c>
      <c r="B1369" s="36" t="s">
        <v>18205</v>
      </c>
      <c r="C1369" s="36" t="s">
        <v>18206</v>
      </c>
      <c r="D1369" s="36" t="s">
        <v>18207</v>
      </c>
      <c r="E1369" s="36" t="s">
        <v>18208</v>
      </c>
      <c r="F1369" s="36" t="s">
        <v>18209</v>
      </c>
      <c r="G1369" s="36" t="s">
        <v>18210</v>
      </c>
      <c r="H1369" s="36" t="s">
        <v>18211</v>
      </c>
      <c r="I1369" s="36" t="s">
        <v>18212</v>
      </c>
      <c r="J1369" s="36" t="s">
        <v>18213</v>
      </c>
      <c r="K1369" s="36" t="s">
        <v>18214</v>
      </c>
      <c r="L1369" s="36" t="s">
        <v>18215</v>
      </c>
      <c r="M1369" s="36" t="s">
        <v>18216</v>
      </c>
      <c r="N1369" s="36" t="s">
        <v>18217</v>
      </c>
      <c r="O1369" s="36" t="s">
        <v>18218</v>
      </c>
      <c r="P1369" s="36" t="s">
        <v>18205</v>
      </c>
    </row>
    <row r="1370" spans="1:16">
      <c r="A1370" s="139">
        <v>1369</v>
      </c>
      <c r="B1370" s="36" t="s">
        <v>18219</v>
      </c>
      <c r="C1370" s="36" t="s">
        <v>18220</v>
      </c>
      <c r="D1370" s="36" t="s">
        <v>18221</v>
      </c>
      <c r="E1370" s="36" t="s">
        <v>18222</v>
      </c>
      <c r="F1370" s="36" t="s">
        <v>18223</v>
      </c>
      <c r="G1370" s="36" t="s">
        <v>18224</v>
      </c>
      <c r="H1370" s="36" t="s">
        <v>18225</v>
      </c>
      <c r="I1370" s="36" t="s">
        <v>18226</v>
      </c>
      <c r="J1370" s="36" t="s">
        <v>18227</v>
      </c>
      <c r="K1370" s="36" t="s">
        <v>18228</v>
      </c>
      <c r="L1370" s="36" t="s">
        <v>18229</v>
      </c>
      <c r="M1370" s="36" t="s">
        <v>18230</v>
      </c>
      <c r="N1370" s="36" t="s">
        <v>18231</v>
      </c>
      <c r="O1370" s="36" t="s">
        <v>18232</v>
      </c>
      <c r="P1370" s="36" t="s">
        <v>18219</v>
      </c>
    </row>
    <row r="1371" spans="1:16">
      <c r="A1371" s="139">
        <v>1370</v>
      </c>
      <c r="B1371" s="36" t="s">
        <v>18233</v>
      </c>
      <c r="C1371" s="36" t="s">
        <v>18234</v>
      </c>
      <c r="D1371" s="36" t="s">
        <v>18235</v>
      </c>
      <c r="E1371" s="36" t="s">
        <v>18236</v>
      </c>
      <c r="F1371" s="36" t="s">
        <v>18237</v>
      </c>
      <c r="G1371" s="36" t="s">
        <v>18238</v>
      </c>
      <c r="H1371" s="36" t="s">
        <v>18239</v>
      </c>
      <c r="I1371" s="36" t="s">
        <v>18240</v>
      </c>
      <c r="J1371" s="36" t="s">
        <v>18241</v>
      </c>
      <c r="K1371" s="36" t="s">
        <v>18242</v>
      </c>
      <c r="L1371" s="36" t="s">
        <v>18243</v>
      </c>
      <c r="M1371" s="36" t="s">
        <v>18244</v>
      </c>
      <c r="N1371" s="36" t="s">
        <v>18245</v>
      </c>
      <c r="O1371" s="36" t="s">
        <v>18246</v>
      </c>
      <c r="P1371" s="36" t="s">
        <v>18233</v>
      </c>
    </row>
    <row r="1372" spans="1:16">
      <c r="A1372" s="139">
        <v>1371</v>
      </c>
      <c r="B1372" s="36" t="s">
        <v>18247</v>
      </c>
      <c r="C1372" s="36" t="s">
        <v>18248</v>
      </c>
      <c r="D1372" s="36" t="s">
        <v>18249</v>
      </c>
      <c r="E1372" s="36" t="s">
        <v>18250</v>
      </c>
      <c r="F1372" s="36" t="s">
        <v>18251</v>
      </c>
      <c r="G1372" s="36" t="s">
        <v>18252</v>
      </c>
      <c r="H1372" s="36" t="s">
        <v>18253</v>
      </c>
      <c r="I1372" s="36" t="s">
        <v>18254</v>
      </c>
      <c r="J1372" s="36" t="s">
        <v>18255</v>
      </c>
      <c r="K1372" s="36" t="s">
        <v>18256</v>
      </c>
      <c r="L1372" s="36" t="s">
        <v>18257</v>
      </c>
      <c r="M1372" s="36" t="s">
        <v>18258</v>
      </c>
      <c r="N1372" s="36" t="s">
        <v>18259</v>
      </c>
      <c r="O1372" s="36" t="s">
        <v>18260</v>
      </c>
      <c r="P1372" s="36" t="s">
        <v>18247</v>
      </c>
    </row>
    <row r="1373" spans="1:16">
      <c r="A1373" s="139">
        <v>1372</v>
      </c>
      <c r="B1373" s="36" t="s">
        <v>18261</v>
      </c>
      <c r="C1373" s="36" t="s">
        <v>18262</v>
      </c>
      <c r="D1373" s="36" t="s">
        <v>18263</v>
      </c>
      <c r="E1373" s="36" t="s">
        <v>18264</v>
      </c>
      <c r="F1373" s="36" t="s">
        <v>18265</v>
      </c>
      <c r="G1373" s="36" t="s">
        <v>18266</v>
      </c>
      <c r="H1373" s="36" t="s">
        <v>18267</v>
      </c>
      <c r="I1373" s="36" t="s">
        <v>18268</v>
      </c>
      <c r="J1373" s="36" t="s">
        <v>18269</v>
      </c>
      <c r="K1373" s="36" t="s">
        <v>18270</v>
      </c>
      <c r="L1373" s="36" t="s">
        <v>18271</v>
      </c>
      <c r="M1373" s="36" t="s">
        <v>18272</v>
      </c>
      <c r="N1373" s="36" t="s">
        <v>18273</v>
      </c>
      <c r="O1373" s="36" t="s">
        <v>18274</v>
      </c>
      <c r="P1373" s="36" t="s">
        <v>18261</v>
      </c>
    </row>
    <row r="1374" spans="1:16">
      <c r="A1374" s="139">
        <v>1373</v>
      </c>
      <c r="B1374" s="36" t="s">
        <v>18275</v>
      </c>
      <c r="C1374" s="36" t="s">
        <v>18276</v>
      </c>
      <c r="D1374" s="36" t="s">
        <v>18277</v>
      </c>
      <c r="E1374" s="36" t="s">
        <v>18278</v>
      </c>
      <c r="F1374" s="36" t="s">
        <v>18279</v>
      </c>
      <c r="G1374" s="36" t="s">
        <v>18280</v>
      </c>
      <c r="H1374" s="36" t="s">
        <v>18281</v>
      </c>
      <c r="I1374" s="36" t="s">
        <v>18282</v>
      </c>
      <c r="J1374" s="36" t="s">
        <v>18283</v>
      </c>
      <c r="K1374" s="36" t="s">
        <v>18284</v>
      </c>
      <c r="L1374" s="36" t="s">
        <v>18285</v>
      </c>
      <c r="M1374" s="36" t="s">
        <v>18286</v>
      </c>
      <c r="N1374" s="36" t="s">
        <v>18287</v>
      </c>
      <c r="O1374" s="36" t="s">
        <v>18288</v>
      </c>
      <c r="P1374" s="36" t="s">
        <v>18275</v>
      </c>
    </row>
    <row r="1375" spans="1:16">
      <c r="A1375" s="139">
        <v>1374</v>
      </c>
      <c r="B1375" s="36" t="s">
        <v>18289</v>
      </c>
      <c r="C1375" s="36" t="s">
        <v>13396</v>
      </c>
      <c r="D1375" s="36" t="s">
        <v>7643</v>
      </c>
      <c r="E1375" s="36" t="s">
        <v>18290</v>
      </c>
      <c r="F1375" s="36" t="s">
        <v>18291</v>
      </c>
      <c r="G1375" s="36" t="s">
        <v>18292</v>
      </c>
      <c r="H1375" s="36" t="s">
        <v>18293</v>
      </c>
      <c r="I1375" s="36" t="s">
        <v>18294</v>
      </c>
      <c r="J1375" s="36" t="s">
        <v>18295</v>
      </c>
      <c r="K1375" s="36" t="s">
        <v>18296</v>
      </c>
      <c r="L1375" s="36" t="s">
        <v>18297</v>
      </c>
      <c r="M1375" s="36" t="s">
        <v>18298</v>
      </c>
      <c r="N1375" s="36" t="s">
        <v>18299</v>
      </c>
      <c r="O1375" s="36" t="s">
        <v>18300</v>
      </c>
      <c r="P1375" s="36" t="s">
        <v>18289</v>
      </c>
    </row>
    <row r="1376" spans="1:16">
      <c r="A1376" s="139">
        <v>1375</v>
      </c>
      <c r="B1376" s="36" t="s">
        <v>18301</v>
      </c>
      <c r="C1376" s="36" t="s">
        <v>18302</v>
      </c>
      <c r="D1376" s="36" t="s">
        <v>18303</v>
      </c>
      <c r="E1376" s="36" t="s">
        <v>18304</v>
      </c>
      <c r="F1376" s="36" t="s">
        <v>18305</v>
      </c>
      <c r="G1376" s="36" t="s">
        <v>18306</v>
      </c>
      <c r="H1376" s="36" t="s">
        <v>18307</v>
      </c>
      <c r="I1376" s="36" t="s">
        <v>18308</v>
      </c>
      <c r="J1376" s="36" t="s">
        <v>18309</v>
      </c>
      <c r="K1376" s="36" t="s">
        <v>18310</v>
      </c>
      <c r="L1376" s="36" t="s">
        <v>18311</v>
      </c>
      <c r="M1376" s="36" t="s">
        <v>6680</v>
      </c>
      <c r="N1376" s="36" t="s">
        <v>18312</v>
      </c>
      <c r="O1376" s="36" t="s">
        <v>18313</v>
      </c>
      <c r="P1376" s="36" t="s">
        <v>18301</v>
      </c>
    </row>
    <row r="1377" spans="1:16" ht="16.2">
      <c r="A1377" s="139">
        <v>1376</v>
      </c>
      <c r="B1377" s="36" t="s">
        <v>18314</v>
      </c>
      <c r="C1377" s="36" t="s">
        <v>18315</v>
      </c>
      <c r="D1377" s="36" t="s">
        <v>18316</v>
      </c>
      <c r="E1377" s="36" t="s">
        <v>18317</v>
      </c>
      <c r="F1377" s="36" t="s">
        <v>18318</v>
      </c>
      <c r="G1377" s="36" t="s">
        <v>18319</v>
      </c>
      <c r="H1377" s="36" t="s">
        <v>18320</v>
      </c>
      <c r="I1377" s="36" t="s">
        <v>18321</v>
      </c>
      <c r="J1377" s="36" t="s">
        <v>18322</v>
      </c>
      <c r="K1377" s="36" t="s">
        <v>18323</v>
      </c>
      <c r="L1377" s="36" t="s">
        <v>18324</v>
      </c>
      <c r="M1377" s="36" t="s">
        <v>18325</v>
      </c>
      <c r="N1377" s="36" t="s">
        <v>18326</v>
      </c>
      <c r="O1377" s="36" t="s">
        <v>18327</v>
      </c>
      <c r="P1377" s="36" t="s">
        <v>18314</v>
      </c>
    </row>
    <row r="1378" spans="1:16">
      <c r="A1378" s="139">
        <v>1377</v>
      </c>
      <c r="B1378" s="36" t="s">
        <v>18328</v>
      </c>
      <c r="C1378" s="36" t="s">
        <v>18329</v>
      </c>
      <c r="D1378" s="36" t="s">
        <v>18330</v>
      </c>
      <c r="E1378" s="36" t="s">
        <v>18331</v>
      </c>
      <c r="F1378" s="36" t="s">
        <v>18332</v>
      </c>
      <c r="G1378" s="36" t="s">
        <v>18333</v>
      </c>
      <c r="H1378" s="36" t="s">
        <v>18334</v>
      </c>
      <c r="I1378" s="36" t="s">
        <v>18335</v>
      </c>
      <c r="J1378" s="36" t="s">
        <v>18336</v>
      </c>
      <c r="K1378" s="36" t="s">
        <v>18337</v>
      </c>
      <c r="L1378" s="36" t="s">
        <v>18338</v>
      </c>
      <c r="M1378" s="36" t="s">
        <v>18339</v>
      </c>
      <c r="N1378" s="36" t="s">
        <v>18340</v>
      </c>
      <c r="O1378" s="36" t="s">
        <v>18341</v>
      </c>
      <c r="P1378" s="36" t="s">
        <v>18328</v>
      </c>
    </row>
    <row r="1379" spans="1:16">
      <c r="A1379" s="139">
        <v>1378</v>
      </c>
      <c r="B1379" s="36" t="s">
        <v>18342</v>
      </c>
      <c r="C1379" s="36" t="s">
        <v>18343</v>
      </c>
      <c r="D1379" s="36" t="s">
        <v>18344</v>
      </c>
      <c r="E1379" s="36" t="s">
        <v>18345</v>
      </c>
      <c r="F1379" s="36" t="s">
        <v>18346</v>
      </c>
      <c r="G1379" s="36" t="s">
        <v>18347</v>
      </c>
      <c r="H1379" s="36" t="s">
        <v>18348</v>
      </c>
      <c r="I1379" s="36" t="s">
        <v>18349</v>
      </c>
      <c r="J1379" s="36" t="s">
        <v>18350</v>
      </c>
      <c r="K1379" s="36" t="s">
        <v>18351</v>
      </c>
      <c r="L1379" s="36" t="s">
        <v>18352</v>
      </c>
      <c r="M1379" s="36" t="s">
        <v>18353</v>
      </c>
      <c r="N1379" s="36" t="s">
        <v>18354</v>
      </c>
      <c r="O1379" s="36" t="s">
        <v>18355</v>
      </c>
      <c r="P1379" s="36" t="s">
        <v>18342</v>
      </c>
    </row>
    <row r="1380" spans="1:16">
      <c r="A1380" s="139">
        <v>1379</v>
      </c>
      <c r="B1380" s="36" t="s">
        <v>18356</v>
      </c>
      <c r="C1380" s="36" t="s">
        <v>18357</v>
      </c>
      <c r="D1380" s="36" t="s">
        <v>15965</v>
      </c>
      <c r="E1380" s="36" t="s">
        <v>15966</v>
      </c>
      <c r="F1380" s="36" t="s">
        <v>18358</v>
      </c>
      <c r="G1380" s="36" t="s">
        <v>15968</v>
      </c>
      <c r="H1380" s="36" t="s">
        <v>15969</v>
      </c>
      <c r="I1380" s="36" t="s">
        <v>15970</v>
      </c>
      <c r="J1380" s="36" t="s">
        <v>15971</v>
      </c>
      <c r="K1380" s="36" t="s">
        <v>15972</v>
      </c>
      <c r="L1380" s="36" t="s">
        <v>15973</v>
      </c>
      <c r="M1380" s="36" t="s">
        <v>15974</v>
      </c>
      <c r="N1380" s="36" t="s">
        <v>15975</v>
      </c>
      <c r="O1380" s="36" t="s">
        <v>18359</v>
      </c>
      <c r="P1380" s="36" t="s">
        <v>18356</v>
      </c>
    </row>
    <row r="1381" spans="1:16">
      <c r="A1381" s="139">
        <v>1380</v>
      </c>
      <c r="B1381" s="36" t="s">
        <v>18360</v>
      </c>
      <c r="C1381" s="36" t="s">
        <v>15978</v>
      </c>
      <c r="D1381" s="36" t="s">
        <v>15979</v>
      </c>
      <c r="E1381" s="36" t="s">
        <v>15980</v>
      </c>
      <c r="F1381" s="36" t="s">
        <v>18361</v>
      </c>
      <c r="G1381" s="36" t="s">
        <v>18362</v>
      </c>
      <c r="H1381" s="36" t="s">
        <v>15983</v>
      </c>
      <c r="I1381" s="36" t="s">
        <v>15984</v>
      </c>
      <c r="J1381" s="36" t="s">
        <v>15985</v>
      </c>
      <c r="K1381" s="36" t="s">
        <v>15986</v>
      </c>
      <c r="L1381" s="36" t="s">
        <v>15987</v>
      </c>
      <c r="M1381" s="36" t="s">
        <v>15988</v>
      </c>
      <c r="N1381" s="36" t="s">
        <v>15989</v>
      </c>
      <c r="O1381" s="36" t="s">
        <v>18363</v>
      </c>
      <c r="P1381" s="36" t="s">
        <v>18360</v>
      </c>
    </row>
    <row r="1382" spans="1:16">
      <c r="A1382" s="139">
        <v>1381</v>
      </c>
      <c r="B1382" s="36" t="s">
        <v>18364</v>
      </c>
      <c r="C1382" s="36" t="s">
        <v>18365</v>
      </c>
      <c r="D1382" s="36" t="s">
        <v>18366</v>
      </c>
      <c r="E1382" s="36" t="s">
        <v>18367</v>
      </c>
      <c r="F1382" s="36" t="s">
        <v>18368</v>
      </c>
      <c r="G1382" s="36" t="s">
        <v>18369</v>
      </c>
      <c r="H1382" s="36" t="s">
        <v>18370</v>
      </c>
      <c r="I1382" s="36" t="s">
        <v>18371</v>
      </c>
      <c r="J1382" s="36" t="s">
        <v>18372</v>
      </c>
      <c r="K1382" s="36" t="s">
        <v>18373</v>
      </c>
      <c r="L1382" s="36" t="s">
        <v>18374</v>
      </c>
      <c r="M1382" s="36" t="s">
        <v>18375</v>
      </c>
      <c r="N1382" s="36" t="s">
        <v>18376</v>
      </c>
      <c r="O1382" s="36" t="s">
        <v>18377</v>
      </c>
      <c r="P1382" s="36" t="s">
        <v>18364</v>
      </c>
    </row>
    <row r="1383" spans="1:16">
      <c r="A1383" s="139">
        <v>1382</v>
      </c>
      <c r="B1383" s="36" t="s">
        <v>18378</v>
      </c>
      <c r="C1383" s="36" t="s">
        <v>18379</v>
      </c>
      <c r="D1383" s="36" t="s">
        <v>9284</v>
      </c>
      <c r="E1383" s="36" t="s">
        <v>9285</v>
      </c>
      <c r="F1383" s="36" t="s">
        <v>9286</v>
      </c>
      <c r="G1383" s="36" t="s">
        <v>9287</v>
      </c>
      <c r="H1383" s="36" t="s">
        <v>9288</v>
      </c>
      <c r="I1383" s="36" t="s">
        <v>18380</v>
      </c>
      <c r="J1383" s="36" t="s">
        <v>18381</v>
      </c>
      <c r="K1383" s="36" t="s">
        <v>18382</v>
      </c>
      <c r="L1383" s="36" t="s">
        <v>18383</v>
      </c>
      <c r="M1383" s="36" t="s">
        <v>18384</v>
      </c>
      <c r="N1383" s="36" t="s">
        <v>18385</v>
      </c>
      <c r="O1383" s="36" t="s">
        <v>18386</v>
      </c>
      <c r="P1383" s="36" t="s">
        <v>18378</v>
      </c>
    </row>
    <row r="1384" spans="1:16">
      <c r="A1384" s="139">
        <v>1383</v>
      </c>
      <c r="B1384" s="36" t="s">
        <v>18387</v>
      </c>
      <c r="C1384" s="36" t="s">
        <v>18388</v>
      </c>
      <c r="D1384" s="36" t="s">
        <v>18389</v>
      </c>
      <c r="E1384" s="36" t="s">
        <v>18390</v>
      </c>
      <c r="F1384" s="36" t="s">
        <v>18391</v>
      </c>
      <c r="G1384" s="36" t="s">
        <v>18392</v>
      </c>
      <c r="H1384" s="36" t="s">
        <v>18393</v>
      </c>
      <c r="I1384" s="36" t="s">
        <v>18394</v>
      </c>
      <c r="J1384" s="36" t="s">
        <v>18395</v>
      </c>
      <c r="K1384" s="36" t="s">
        <v>18396</v>
      </c>
      <c r="L1384" s="36" t="s">
        <v>18397</v>
      </c>
      <c r="M1384" s="36" t="s">
        <v>18398</v>
      </c>
      <c r="N1384" s="36" t="s">
        <v>18399</v>
      </c>
      <c r="O1384" s="36" t="s">
        <v>18400</v>
      </c>
      <c r="P1384" s="36" t="s">
        <v>18387</v>
      </c>
    </row>
    <row r="1385" spans="1:16">
      <c r="A1385" s="139">
        <v>1384</v>
      </c>
      <c r="B1385" s="36" t="s">
        <v>18401</v>
      </c>
      <c r="C1385" s="36" t="s">
        <v>18402</v>
      </c>
      <c r="D1385" s="36" t="s">
        <v>18403</v>
      </c>
      <c r="E1385" s="36" t="s">
        <v>18404</v>
      </c>
      <c r="F1385" s="36" t="s">
        <v>18405</v>
      </c>
      <c r="G1385" s="36" t="s">
        <v>18406</v>
      </c>
      <c r="H1385" s="36" t="s">
        <v>18407</v>
      </c>
      <c r="I1385" s="36" t="s">
        <v>18408</v>
      </c>
      <c r="J1385" s="36" t="s">
        <v>18409</v>
      </c>
      <c r="K1385" s="36" t="s">
        <v>18410</v>
      </c>
      <c r="L1385" s="36" t="s">
        <v>18411</v>
      </c>
      <c r="M1385" s="36" t="s">
        <v>18412</v>
      </c>
      <c r="N1385" s="36" t="s">
        <v>18413</v>
      </c>
      <c r="O1385" s="36" t="s">
        <v>18414</v>
      </c>
      <c r="P1385" s="36" t="s">
        <v>18401</v>
      </c>
    </row>
    <row r="1386" spans="1:16">
      <c r="A1386" s="139">
        <v>1385</v>
      </c>
      <c r="B1386" s="36" t="s">
        <v>18415</v>
      </c>
      <c r="C1386" s="36" t="s">
        <v>18416</v>
      </c>
      <c r="D1386" s="36" t="s">
        <v>18417</v>
      </c>
      <c r="E1386" s="36" t="s">
        <v>18418</v>
      </c>
      <c r="F1386" s="36" t="s">
        <v>18419</v>
      </c>
      <c r="G1386" s="36" t="s">
        <v>18420</v>
      </c>
      <c r="H1386" s="36" t="s">
        <v>18421</v>
      </c>
      <c r="I1386" s="36" t="s">
        <v>18422</v>
      </c>
      <c r="J1386" s="36" t="s">
        <v>18423</v>
      </c>
      <c r="K1386" s="36" t="s">
        <v>18424</v>
      </c>
      <c r="L1386" s="36" t="s">
        <v>18425</v>
      </c>
      <c r="M1386" s="36" t="s">
        <v>18426</v>
      </c>
      <c r="N1386" s="36" t="s">
        <v>18427</v>
      </c>
      <c r="O1386" s="36" t="s">
        <v>18428</v>
      </c>
      <c r="P1386" s="36" t="s">
        <v>18415</v>
      </c>
    </row>
    <row r="1387" spans="1:16">
      <c r="A1387" s="139">
        <v>1386</v>
      </c>
      <c r="B1387" s="36" t="s">
        <v>18429</v>
      </c>
      <c r="C1387" s="36" t="s">
        <v>18430</v>
      </c>
      <c r="D1387" s="36" t="s">
        <v>18431</v>
      </c>
      <c r="E1387" s="36" t="s">
        <v>18432</v>
      </c>
      <c r="F1387" s="36" t="s">
        <v>18433</v>
      </c>
      <c r="G1387" s="36" t="s">
        <v>18434</v>
      </c>
      <c r="H1387" s="36" t="s">
        <v>18435</v>
      </c>
      <c r="I1387" s="36" t="s">
        <v>18436</v>
      </c>
      <c r="J1387" s="36" t="s">
        <v>18437</v>
      </c>
      <c r="K1387" s="36" t="s">
        <v>18438</v>
      </c>
      <c r="L1387" s="36" t="s">
        <v>18439</v>
      </c>
      <c r="M1387" s="36" t="s">
        <v>18440</v>
      </c>
      <c r="N1387" s="36" t="s">
        <v>18441</v>
      </c>
      <c r="O1387" s="36" t="s">
        <v>18442</v>
      </c>
      <c r="P1387" s="36" t="s">
        <v>18429</v>
      </c>
    </row>
    <row r="1388" spans="1:16">
      <c r="A1388" s="139">
        <v>1387</v>
      </c>
      <c r="B1388" s="36" t="s">
        <v>18443</v>
      </c>
      <c r="C1388" s="36" t="s">
        <v>18444</v>
      </c>
      <c r="D1388" s="36" t="s">
        <v>18445</v>
      </c>
      <c r="E1388" s="36" t="s">
        <v>18446</v>
      </c>
      <c r="F1388" s="36" t="s">
        <v>18447</v>
      </c>
      <c r="G1388" s="36" t="s">
        <v>18448</v>
      </c>
      <c r="H1388" s="36" t="s">
        <v>18449</v>
      </c>
      <c r="I1388" s="36" t="s">
        <v>18450</v>
      </c>
      <c r="J1388" s="36" t="s">
        <v>18451</v>
      </c>
      <c r="K1388" s="36" t="s">
        <v>18450</v>
      </c>
      <c r="L1388" s="36" t="s">
        <v>18452</v>
      </c>
      <c r="M1388" s="36" t="s">
        <v>18453</v>
      </c>
      <c r="N1388" s="36" t="s">
        <v>18454</v>
      </c>
      <c r="O1388" s="36" t="s">
        <v>18455</v>
      </c>
      <c r="P1388" s="36" t="s">
        <v>18443</v>
      </c>
    </row>
    <row r="1389" spans="1:16">
      <c r="A1389" s="139">
        <v>1388</v>
      </c>
      <c r="B1389" s="36" t="s">
        <v>18456</v>
      </c>
      <c r="C1389" s="36" t="s">
        <v>18457</v>
      </c>
      <c r="D1389" s="36" t="s">
        <v>18458</v>
      </c>
      <c r="E1389" s="36" t="s">
        <v>18459</v>
      </c>
      <c r="F1389" s="36" t="s">
        <v>18460</v>
      </c>
      <c r="G1389" s="36" t="s">
        <v>18461</v>
      </c>
      <c r="H1389" s="36" t="s">
        <v>18462</v>
      </c>
      <c r="I1389" s="36" t="s">
        <v>18463</v>
      </c>
      <c r="J1389" s="36" t="s">
        <v>18464</v>
      </c>
      <c r="K1389" s="36" t="s">
        <v>18465</v>
      </c>
      <c r="L1389" s="36" t="s">
        <v>18466</v>
      </c>
      <c r="M1389" s="36" t="s">
        <v>18467</v>
      </c>
      <c r="N1389" s="36" t="s">
        <v>18468</v>
      </c>
      <c r="O1389" s="36" t="s">
        <v>18469</v>
      </c>
      <c r="P1389" s="36" t="s">
        <v>18456</v>
      </c>
    </row>
    <row r="1390" spans="1:16">
      <c r="A1390" s="139">
        <v>1389</v>
      </c>
      <c r="B1390" s="36" t="s">
        <v>18470</v>
      </c>
      <c r="C1390" s="36" t="s">
        <v>18471</v>
      </c>
      <c r="D1390" s="36" t="s">
        <v>18472</v>
      </c>
      <c r="E1390" s="36" t="s">
        <v>18473</v>
      </c>
      <c r="F1390" s="36" t="s">
        <v>18474</v>
      </c>
      <c r="G1390" s="36" t="s">
        <v>18475</v>
      </c>
      <c r="H1390" s="36" t="s">
        <v>18476</v>
      </c>
      <c r="I1390" s="36" t="s">
        <v>18477</v>
      </c>
      <c r="J1390" s="36" t="s">
        <v>18478</v>
      </c>
      <c r="K1390" s="36" t="s">
        <v>18479</v>
      </c>
      <c r="L1390" s="36" t="s">
        <v>18480</v>
      </c>
      <c r="M1390" s="36" t="s">
        <v>18481</v>
      </c>
      <c r="N1390" s="36" t="s">
        <v>18482</v>
      </c>
      <c r="O1390" s="36" t="s">
        <v>18483</v>
      </c>
      <c r="P1390" s="36" t="s">
        <v>18470</v>
      </c>
    </row>
    <row r="1391" spans="1:16">
      <c r="A1391" s="139">
        <v>1390</v>
      </c>
      <c r="B1391" s="36" t="s">
        <v>18484</v>
      </c>
      <c r="C1391" s="36" t="s">
        <v>18485</v>
      </c>
      <c r="D1391" s="36" t="s">
        <v>18486</v>
      </c>
      <c r="E1391" s="36" t="s">
        <v>18487</v>
      </c>
      <c r="F1391" s="36" t="s">
        <v>18488</v>
      </c>
      <c r="G1391" s="36" t="s">
        <v>18489</v>
      </c>
      <c r="H1391" s="36" t="s">
        <v>18490</v>
      </c>
      <c r="I1391" s="36" t="s">
        <v>18491</v>
      </c>
      <c r="J1391" s="36" t="s">
        <v>18492</v>
      </c>
      <c r="K1391" s="36" t="s">
        <v>18493</v>
      </c>
      <c r="L1391" s="36" t="s">
        <v>18494</v>
      </c>
      <c r="M1391" s="36" t="s">
        <v>18495</v>
      </c>
      <c r="N1391" s="36" t="s">
        <v>18496</v>
      </c>
      <c r="O1391" s="36" t="s">
        <v>18497</v>
      </c>
      <c r="P1391" s="36" t="s">
        <v>18484</v>
      </c>
    </row>
    <row r="1392" spans="1:16">
      <c r="A1392" s="139">
        <v>1391</v>
      </c>
      <c r="B1392" s="36" t="s">
        <v>18498</v>
      </c>
      <c r="C1392" s="36" t="s">
        <v>18499</v>
      </c>
      <c r="D1392" s="36" t="s">
        <v>18500</v>
      </c>
      <c r="E1392" s="36" t="s">
        <v>18498</v>
      </c>
      <c r="F1392" s="36" t="s">
        <v>18501</v>
      </c>
      <c r="G1392" s="36" t="s">
        <v>18502</v>
      </c>
      <c r="H1392" s="36" t="s">
        <v>18503</v>
      </c>
      <c r="I1392" s="36" t="s">
        <v>18504</v>
      </c>
      <c r="J1392" s="36" t="s">
        <v>18505</v>
      </c>
      <c r="K1392" s="36" t="s">
        <v>18506</v>
      </c>
      <c r="L1392" s="36" t="s">
        <v>18505</v>
      </c>
      <c r="M1392" s="36" t="s">
        <v>18505</v>
      </c>
      <c r="N1392" s="36" t="s">
        <v>18505</v>
      </c>
      <c r="O1392" s="36" t="s">
        <v>18507</v>
      </c>
      <c r="P1392" s="36" t="s">
        <v>18498</v>
      </c>
    </row>
    <row r="1393" spans="1:16">
      <c r="A1393" s="139">
        <v>1392</v>
      </c>
      <c r="B1393" s="36" t="s">
        <v>18508</v>
      </c>
      <c r="C1393" s="36" t="s">
        <v>18509</v>
      </c>
      <c r="D1393" s="36" t="s">
        <v>18510</v>
      </c>
      <c r="E1393" s="36" t="s">
        <v>18508</v>
      </c>
      <c r="F1393" s="36" t="s">
        <v>18511</v>
      </c>
      <c r="G1393" s="36" t="s">
        <v>18512</v>
      </c>
      <c r="H1393" s="36" t="s">
        <v>18513</v>
      </c>
      <c r="I1393" s="36" t="s">
        <v>18514</v>
      </c>
      <c r="J1393" s="36" t="s">
        <v>18515</v>
      </c>
      <c r="K1393" s="36" t="s">
        <v>18516</v>
      </c>
      <c r="L1393" s="36" t="s">
        <v>18515</v>
      </c>
      <c r="M1393" s="36" t="s">
        <v>18515</v>
      </c>
      <c r="N1393" s="36" t="s">
        <v>18515</v>
      </c>
      <c r="O1393" s="36" t="s">
        <v>18517</v>
      </c>
      <c r="P1393" s="36" t="s">
        <v>18508</v>
      </c>
    </row>
    <row r="1394" spans="1:16">
      <c r="A1394" s="139">
        <v>1393</v>
      </c>
      <c r="B1394" s="36" t="s">
        <v>18518</v>
      </c>
      <c r="C1394" s="36" t="s">
        <v>18519</v>
      </c>
      <c r="D1394" s="36" t="s">
        <v>18520</v>
      </c>
      <c r="E1394" s="36" t="s">
        <v>18518</v>
      </c>
      <c r="F1394" s="36" t="s">
        <v>18521</v>
      </c>
      <c r="G1394" s="36" t="s">
        <v>18522</v>
      </c>
      <c r="H1394" s="36" t="s">
        <v>18523</v>
      </c>
      <c r="I1394" s="36" t="s">
        <v>18524</v>
      </c>
      <c r="J1394" s="36" t="s">
        <v>18525</v>
      </c>
      <c r="K1394" s="36" t="s">
        <v>18526</v>
      </c>
      <c r="L1394" s="36" t="s">
        <v>18525</v>
      </c>
      <c r="M1394" s="36" t="s">
        <v>18525</v>
      </c>
      <c r="N1394" s="36" t="s">
        <v>18525</v>
      </c>
      <c r="O1394" s="36" t="s">
        <v>18527</v>
      </c>
      <c r="P1394" s="36" t="s">
        <v>18518</v>
      </c>
    </row>
    <row r="1395" spans="1:16">
      <c r="A1395" s="139">
        <v>1394</v>
      </c>
      <c r="B1395" s="36" t="s">
        <v>18528</v>
      </c>
      <c r="C1395" s="36" t="s">
        <v>18529</v>
      </c>
      <c r="D1395" s="36" t="s">
        <v>18530</v>
      </c>
      <c r="E1395" s="36" t="s">
        <v>18531</v>
      </c>
      <c r="F1395" s="36" t="s">
        <v>18532</v>
      </c>
      <c r="G1395" s="36" t="s">
        <v>18533</v>
      </c>
      <c r="H1395" s="36" t="s">
        <v>18534</v>
      </c>
      <c r="I1395" s="36" t="s">
        <v>18535</v>
      </c>
      <c r="J1395" s="36" t="s">
        <v>18536</v>
      </c>
      <c r="K1395" s="36" t="s">
        <v>18537</v>
      </c>
      <c r="L1395" s="36" t="s">
        <v>18538</v>
      </c>
      <c r="M1395" s="36" t="s">
        <v>18539</v>
      </c>
      <c r="N1395" s="36" t="s">
        <v>18540</v>
      </c>
      <c r="O1395" s="36" t="s">
        <v>18541</v>
      </c>
      <c r="P1395" s="36" t="s">
        <v>18528</v>
      </c>
    </row>
    <row r="1396" spans="1:16">
      <c r="A1396" s="139">
        <v>1395</v>
      </c>
      <c r="B1396" s="36" t="s">
        <v>14331</v>
      </c>
      <c r="C1396" s="36" t="s">
        <v>18542</v>
      </c>
      <c r="D1396" s="36" t="s">
        <v>14333</v>
      </c>
      <c r="E1396" s="36" t="s">
        <v>14334</v>
      </c>
      <c r="F1396" s="36" t="s">
        <v>18543</v>
      </c>
      <c r="G1396" s="36" t="s">
        <v>14336</v>
      </c>
      <c r="H1396" s="36" t="s">
        <v>14337</v>
      </c>
      <c r="I1396" s="36" t="s">
        <v>14338</v>
      </c>
      <c r="J1396" s="36" t="s">
        <v>14339</v>
      </c>
      <c r="K1396" s="36" t="s">
        <v>14340</v>
      </c>
      <c r="L1396" s="36" t="s">
        <v>14341</v>
      </c>
      <c r="M1396" s="36" t="s">
        <v>14342</v>
      </c>
      <c r="N1396" s="36" t="s">
        <v>14343</v>
      </c>
      <c r="O1396" s="36" t="s">
        <v>14344</v>
      </c>
      <c r="P1396" s="36" t="s">
        <v>14331</v>
      </c>
    </row>
    <row r="1397" spans="1:16">
      <c r="A1397" s="139">
        <v>1396</v>
      </c>
      <c r="B1397" s="36" t="s">
        <v>18544</v>
      </c>
      <c r="C1397" s="36" t="s">
        <v>18545</v>
      </c>
      <c r="D1397" s="36" t="s">
        <v>18546</v>
      </c>
      <c r="E1397" s="36" t="s">
        <v>18547</v>
      </c>
      <c r="F1397" s="36" t="s">
        <v>18548</v>
      </c>
      <c r="G1397" s="36" t="s">
        <v>18549</v>
      </c>
      <c r="H1397" s="36" t="s">
        <v>18550</v>
      </c>
      <c r="I1397" s="36" t="s">
        <v>18551</v>
      </c>
      <c r="J1397" s="36" t="s">
        <v>18552</v>
      </c>
      <c r="K1397" s="36" t="s">
        <v>18553</v>
      </c>
      <c r="L1397" s="36" t="s">
        <v>18554</v>
      </c>
      <c r="M1397" s="36" t="s">
        <v>18555</v>
      </c>
      <c r="N1397" s="36" t="s">
        <v>18556</v>
      </c>
      <c r="O1397" s="36" t="s">
        <v>18557</v>
      </c>
      <c r="P1397" s="36" t="s">
        <v>18544</v>
      </c>
    </row>
    <row r="1398" spans="1:16">
      <c r="A1398" s="139">
        <v>1397</v>
      </c>
      <c r="B1398" s="36" t="s">
        <v>18558</v>
      </c>
      <c r="C1398" s="36" t="s">
        <v>18559</v>
      </c>
      <c r="D1398" s="36" t="s">
        <v>18560</v>
      </c>
      <c r="E1398" s="36" t="s">
        <v>18561</v>
      </c>
      <c r="F1398" s="36" t="s">
        <v>18562</v>
      </c>
      <c r="G1398" s="36" t="s">
        <v>18563</v>
      </c>
      <c r="H1398" s="36" t="s">
        <v>18564</v>
      </c>
      <c r="I1398" s="36" t="s">
        <v>18565</v>
      </c>
      <c r="J1398" s="36" t="s">
        <v>18566</v>
      </c>
      <c r="K1398" s="36" t="s">
        <v>18567</v>
      </c>
      <c r="L1398" s="36" t="s">
        <v>18568</v>
      </c>
      <c r="M1398" s="36" t="s">
        <v>18569</v>
      </c>
      <c r="N1398" s="36" t="s">
        <v>18570</v>
      </c>
      <c r="O1398" s="36" t="s">
        <v>18571</v>
      </c>
      <c r="P1398" s="36" t="s">
        <v>18558</v>
      </c>
    </row>
    <row r="1399" spans="1:16">
      <c r="A1399" s="139">
        <v>1398</v>
      </c>
      <c r="B1399" s="36" t="s">
        <v>18572</v>
      </c>
      <c r="C1399" s="36" t="s">
        <v>18573</v>
      </c>
      <c r="D1399" s="36" t="s">
        <v>18574</v>
      </c>
      <c r="E1399" s="36" t="s">
        <v>18575</v>
      </c>
      <c r="F1399" s="36" t="s">
        <v>18576</v>
      </c>
      <c r="G1399" s="36" t="s">
        <v>18577</v>
      </c>
      <c r="H1399" s="36" t="s">
        <v>18578</v>
      </c>
      <c r="I1399" s="36" t="s">
        <v>18579</v>
      </c>
      <c r="J1399" s="36" t="s">
        <v>18580</v>
      </c>
      <c r="K1399" s="36" t="s">
        <v>18581</v>
      </c>
      <c r="L1399" s="36" t="s">
        <v>14397</v>
      </c>
      <c r="M1399" s="36" t="s">
        <v>18582</v>
      </c>
      <c r="N1399" s="36" t="s">
        <v>18583</v>
      </c>
      <c r="O1399" s="36" t="s">
        <v>18584</v>
      </c>
      <c r="P1399" s="36" t="s">
        <v>18572</v>
      </c>
    </row>
    <row r="1400" spans="1:16">
      <c r="A1400" s="139">
        <v>1399</v>
      </c>
      <c r="B1400" s="36" t="s">
        <v>18585</v>
      </c>
      <c r="C1400" s="36" t="s">
        <v>18586</v>
      </c>
      <c r="D1400" s="36" t="s">
        <v>18587</v>
      </c>
      <c r="E1400" s="36" t="s">
        <v>18588</v>
      </c>
      <c r="F1400" s="36" t="s">
        <v>18589</v>
      </c>
      <c r="G1400" s="36" t="s">
        <v>18590</v>
      </c>
      <c r="H1400" s="36" t="s">
        <v>18591</v>
      </c>
      <c r="I1400" s="36" t="s">
        <v>18589</v>
      </c>
      <c r="J1400" s="36" t="s">
        <v>18592</v>
      </c>
      <c r="K1400" s="36" t="s">
        <v>18593</v>
      </c>
      <c r="L1400" s="36" t="s">
        <v>18594</v>
      </c>
      <c r="M1400" s="36" t="s">
        <v>18595</v>
      </c>
      <c r="N1400" s="36" t="s">
        <v>18596</v>
      </c>
      <c r="O1400" s="36" t="s">
        <v>18597</v>
      </c>
      <c r="P1400" s="36" t="s">
        <v>18585</v>
      </c>
    </row>
    <row r="1401" spans="1:16">
      <c r="A1401" s="139">
        <v>1400</v>
      </c>
      <c r="B1401" s="36" t="s">
        <v>18598</v>
      </c>
      <c r="C1401" s="36" t="s">
        <v>18599</v>
      </c>
      <c r="D1401" s="36" t="s">
        <v>18600</v>
      </c>
      <c r="E1401" s="36" t="s">
        <v>18601</v>
      </c>
      <c r="F1401" s="36" t="s">
        <v>18602</v>
      </c>
      <c r="G1401" s="36" t="s">
        <v>18603</v>
      </c>
      <c r="H1401" s="36" t="s">
        <v>18604</v>
      </c>
      <c r="I1401" s="36" t="s">
        <v>18605</v>
      </c>
      <c r="J1401" s="36" t="s">
        <v>18606</v>
      </c>
      <c r="K1401" s="36" t="s">
        <v>18607</v>
      </c>
      <c r="L1401" s="36" t="s">
        <v>18608</v>
      </c>
      <c r="M1401" s="36" t="s">
        <v>18609</v>
      </c>
      <c r="N1401" s="36" t="s">
        <v>18610</v>
      </c>
      <c r="O1401" s="36" t="s">
        <v>18611</v>
      </c>
      <c r="P1401" s="36" t="s">
        <v>18598</v>
      </c>
    </row>
    <row r="1402" spans="1:16">
      <c r="A1402" s="139">
        <v>1401</v>
      </c>
      <c r="B1402" s="36" t="s">
        <v>18612</v>
      </c>
      <c r="C1402" s="36" t="s">
        <v>18613</v>
      </c>
      <c r="D1402" s="36" t="s">
        <v>18614</v>
      </c>
      <c r="E1402" s="36" t="s">
        <v>18615</v>
      </c>
      <c r="F1402" s="36" t="s">
        <v>18616</v>
      </c>
      <c r="G1402" s="36" t="s">
        <v>18617</v>
      </c>
      <c r="H1402" s="36" t="s">
        <v>18618</v>
      </c>
      <c r="I1402" s="36" t="s">
        <v>18619</v>
      </c>
      <c r="J1402" s="36" t="s">
        <v>18620</v>
      </c>
      <c r="K1402" s="36" t="s">
        <v>18621</v>
      </c>
      <c r="L1402" s="36" t="s">
        <v>18622</v>
      </c>
      <c r="M1402" s="36" t="s">
        <v>18623</v>
      </c>
      <c r="N1402" s="36" t="s">
        <v>18624</v>
      </c>
      <c r="O1402" s="36" t="s">
        <v>18625</v>
      </c>
      <c r="P1402" s="36" t="s">
        <v>18612</v>
      </c>
    </row>
    <row r="1403" spans="1:16">
      <c r="A1403" s="139">
        <v>1402</v>
      </c>
      <c r="B1403" s="36" t="s">
        <v>18626</v>
      </c>
      <c r="C1403" s="36" t="s">
        <v>18627</v>
      </c>
      <c r="D1403" s="36" t="s">
        <v>18628</v>
      </c>
      <c r="E1403" s="36" t="s">
        <v>18629</v>
      </c>
      <c r="F1403" s="36" t="s">
        <v>18630</v>
      </c>
      <c r="G1403" s="36" t="s">
        <v>18631</v>
      </c>
      <c r="H1403" s="36" t="s">
        <v>18632</v>
      </c>
      <c r="I1403" s="36" t="s">
        <v>18633</v>
      </c>
      <c r="J1403" s="36" t="s">
        <v>18634</v>
      </c>
      <c r="K1403" s="36" t="s">
        <v>18635</v>
      </c>
      <c r="L1403" s="36" t="s">
        <v>18636</v>
      </c>
      <c r="M1403" s="36" t="s">
        <v>18637</v>
      </c>
      <c r="N1403" s="36" t="s">
        <v>18638</v>
      </c>
      <c r="O1403" s="36" t="s">
        <v>18635</v>
      </c>
      <c r="P1403" s="36" t="s">
        <v>18626</v>
      </c>
    </row>
    <row r="1404" spans="1:16">
      <c r="A1404" s="139">
        <v>1403</v>
      </c>
      <c r="B1404" s="36" t="s">
        <v>18639</v>
      </c>
      <c r="C1404" s="36" t="s">
        <v>18640</v>
      </c>
      <c r="D1404" s="36" t="s">
        <v>18641</v>
      </c>
      <c r="E1404" s="36" t="s">
        <v>18642</v>
      </c>
      <c r="F1404" s="36" t="s">
        <v>18643</v>
      </c>
      <c r="G1404" s="36" t="s">
        <v>18644</v>
      </c>
      <c r="H1404" s="36" t="s">
        <v>18645</v>
      </c>
      <c r="I1404" s="36" t="s">
        <v>18646</v>
      </c>
      <c r="J1404" s="36" t="s">
        <v>18647</v>
      </c>
      <c r="K1404" s="36" t="s">
        <v>18648</v>
      </c>
      <c r="L1404" s="36" t="s">
        <v>18649</v>
      </c>
      <c r="M1404" s="36" t="s">
        <v>18650</v>
      </c>
      <c r="N1404" s="36" t="s">
        <v>18651</v>
      </c>
      <c r="O1404" s="36" t="s">
        <v>18652</v>
      </c>
      <c r="P1404" s="36" t="s">
        <v>18639</v>
      </c>
    </row>
    <row r="1405" spans="1:16">
      <c r="A1405" s="139">
        <v>1404</v>
      </c>
      <c r="B1405" s="36" t="s">
        <v>18653</v>
      </c>
      <c r="C1405" s="36" t="s">
        <v>18654</v>
      </c>
      <c r="D1405" s="36" t="s">
        <v>18655</v>
      </c>
      <c r="E1405" s="36" t="s">
        <v>18656</v>
      </c>
      <c r="F1405" s="36" t="s">
        <v>18657</v>
      </c>
      <c r="G1405" s="36" t="s">
        <v>18658</v>
      </c>
      <c r="H1405" s="36" t="s">
        <v>18659</v>
      </c>
      <c r="I1405" s="36" t="s">
        <v>18660</v>
      </c>
      <c r="J1405" s="36" t="s">
        <v>18661</v>
      </c>
      <c r="K1405" s="36" t="s">
        <v>18662</v>
      </c>
      <c r="L1405" s="36" t="s">
        <v>18663</v>
      </c>
      <c r="M1405" s="36" t="s">
        <v>18664</v>
      </c>
      <c r="N1405" s="36" t="s">
        <v>18665</v>
      </c>
      <c r="O1405" s="36" t="s">
        <v>18666</v>
      </c>
      <c r="P1405" s="36" t="s">
        <v>18653</v>
      </c>
    </row>
    <row r="1406" spans="1:16">
      <c r="A1406" s="139">
        <v>1405</v>
      </c>
      <c r="B1406" s="36" t="s">
        <v>18667</v>
      </c>
      <c r="C1406" s="36" t="s">
        <v>18668</v>
      </c>
      <c r="D1406" s="36" t="s">
        <v>18669</v>
      </c>
      <c r="E1406" s="36" t="s">
        <v>18670</v>
      </c>
      <c r="F1406" s="36" t="s">
        <v>18671</v>
      </c>
      <c r="G1406" s="36" t="s">
        <v>18672</v>
      </c>
      <c r="H1406" s="36" t="s">
        <v>18673</v>
      </c>
      <c r="I1406" s="36" t="s">
        <v>18671</v>
      </c>
      <c r="J1406" s="36" t="s">
        <v>18674</v>
      </c>
      <c r="K1406" s="36" t="s">
        <v>18675</v>
      </c>
      <c r="L1406" s="36" t="s">
        <v>18676</v>
      </c>
      <c r="M1406" s="36" t="s">
        <v>18677</v>
      </c>
      <c r="N1406" s="36" t="s">
        <v>18678</v>
      </c>
      <c r="O1406" s="36" t="s">
        <v>18679</v>
      </c>
      <c r="P1406" s="36" t="s">
        <v>18667</v>
      </c>
    </row>
    <row r="1407" spans="1:16">
      <c r="A1407" s="139">
        <v>1406</v>
      </c>
      <c r="B1407" s="36" t="s">
        <v>18680</v>
      </c>
      <c r="C1407" s="36" t="s">
        <v>18681</v>
      </c>
      <c r="D1407" s="36" t="s">
        <v>18682</v>
      </c>
      <c r="E1407" s="36" t="s">
        <v>18683</v>
      </c>
      <c r="F1407" s="36" t="s">
        <v>18684</v>
      </c>
      <c r="G1407" s="36" t="s">
        <v>18685</v>
      </c>
      <c r="H1407" s="36" t="s">
        <v>18686</v>
      </c>
      <c r="I1407" s="36" t="s">
        <v>18687</v>
      </c>
      <c r="J1407" s="36" t="s">
        <v>18688</v>
      </c>
      <c r="K1407" s="36" t="s">
        <v>18689</v>
      </c>
      <c r="L1407" s="36" t="s">
        <v>18690</v>
      </c>
      <c r="M1407" s="36" t="s">
        <v>18691</v>
      </c>
      <c r="N1407" s="36" t="s">
        <v>18692</v>
      </c>
      <c r="O1407" s="36" t="s">
        <v>18693</v>
      </c>
      <c r="P1407" s="36" t="s">
        <v>18680</v>
      </c>
    </row>
    <row r="1408" spans="1:16">
      <c r="A1408" s="139">
        <v>1407</v>
      </c>
      <c r="B1408" s="36" t="s">
        <v>18694</v>
      </c>
      <c r="C1408" s="36" t="s">
        <v>18695</v>
      </c>
      <c r="D1408" s="36" t="s">
        <v>18696</v>
      </c>
      <c r="E1408" s="36" t="s">
        <v>18697</v>
      </c>
      <c r="F1408" s="36" t="s">
        <v>18698</v>
      </c>
      <c r="G1408" s="36" t="s">
        <v>18699</v>
      </c>
      <c r="H1408" s="36" t="s">
        <v>18700</v>
      </c>
      <c r="I1408" s="36" t="s">
        <v>18701</v>
      </c>
      <c r="J1408" s="36" t="s">
        <v>18702</v>
      </c>
      <c r="K1408" s="36" t="s">
        <v>18703</v>
      </c>
      <c r="L1408" s="36" t="s">
        <v>18704</v>
      </c>
      <c r="M1408" s="36" t="s">
        <v>18705</v>
      </c>
      <c r="N1408" s="36" t="s">
        <v>18706</v>
      </c>
      <c r="O1408" s="36" t="s">
        <v>18707</v>
      </c>
      <c r="P1408" s="36" t="s">
        <v>18694</v>
      </c>
    </row>
    <row r="1409" spans="1:16">
      <c r="A1409" s="139">
        <v>1408</v>
      </c>
      <c r="B1409" s="36" t="s">
        <v>18708</v>
      </c>
      <c r="C1409" s="36" t="s">
        <v>18709</v>
      </c>
      <c r="D1409" s="36" t="s">
        <v>18710</v>
      </c>
      <c r="E1409" s="36" t="s">
        <v>18711</v>
      </c>
      <c r="F1409" s="36" t="s">
        <v>18712</v>
      </c>
      <c r="G1409" s="36" t="s">
        <v>18713</v>
      </c>
      <c r="H1409" s="36" t="s">
        <v>18714</v>
      </c>
      <c r="I1409" s="36" t="s">
        <v>18715</v>
      </c>
      <c r="J1409" s="36" t="s">
        <v>18716</v>
      </c>
      <c r="K1409" s="36" t="s">
        <v>18717</v>
      </c>
      <c r="L1409" s="36" t="s">
        <v>18718</v>
      </c>
      <c r="M1409" s="36" t="s">
        <v>18719</v>
      </c>
      <c r="N1409" s="36" t="s">
        <v>18720</v>
      </c>
      <c r="O1409" s="36" t="s">
        <v>18721</v>
      </c>
      <c r="P1409" s="36" t="s">
        <v>18708</v>
      </c>
    </row>
    <row r="1410" spans="1:16">
      <c r="A1410" s="139">
        <v>1409</v>
      </c>
      <c r="B1410" s="36" t="s">
        <v>18722</v>
      </c>
      <c r="C1410" s="36" t="s">
        <v>18723</v>
      </c>
      <c r="D1410" s="36" t="s">
        <v>18724</v>
      </c>
      <c r="E1410" s="36" t="s">
        <v>18725</v>
      </c>
      <c r="F1410" s="36" t="s">
        <v>18726</v>
      </c>
      <c r="G1410" s="36" t="s">
        <v>18727</v>
      </c>
      <c r="H1410" s="36" t="s">
        <v>18728</v>
      </c>
      <c r="I1410" s="36" t="s">
        <v>18729</v>
      </c>
      <c r="J1410" s="36" t="s">
        <v>18730</v>
      </c>
      <c r="K1410" s="36" t="s">
        <v>18731</v>
      </c>
      <c r="L1410" s="36" t="s">
        <v>18732</v>
      </c>
      <c r="M1410" s="36" t="s">
        <v>18733</v>
      </c>
      <c r="N1410" s="36" t="s">
        <v>18734</v>
      </c>
      <c r="O1410" s="36" t="s">
        <v>18735</v>
      </c>
      <c r="P1410" s="36" t="s">
        <v>18722</v>
      </c>
    </row>
    <row r="1411" spans="1:16">
      <c r="A1411" s="139">
        <v>1410</v>
      </c>
      <c r="B1411" s="36" t="s">
        <v>18736</v>
      </c>
      <c r="C1411" s="36" t="s">
        <v>18737</v>
      </c>
      <c r="D1411" s="36" t="s">
        <v>18738</v>
      </c>
      <c r="E1411" s="36" t="s">
        <v>18739</v>
      </c>
      <c r="F1411" s="36" t="s">
        <v>18740</v>
      </c>
      <c r="G1411" s="36" t="s">
        <v>18741</v>
      </c>
      <c r="H1411" s="36" t="s">
        <v>18742</v>
      </c>
      <c r="I1411" s="36" t="s">
        <v>18743</v>
      </c>
      <c r="J1411" s="36" t="s">
        <v>18744</v>
      </c>
      <c r="K1411" s="36" t="s">
        <v>18745</v>
      </c>
      <c r="L1411" s="36" t="s">
        <v>18746</v>
      </c>
      <c r="M1411" s="36" t="s">
        <v>18747</v>
      </c>
      <c r="N1411" s="36" t="s">
        <v>18748</v>
      </c>
      <c r="O1411" s="36" t="s">
        <v>18749</v>
      </c>
      <c r="P1411" s="36" t="s">
        <v>18736</v>
      </c>
    </row>
    <row r="1412" spans="1:16">
      <c r="A1412" s="139">
        <v>1411</v>
      </c>
      <c r="B1412" s="36" t="s">
        <v>18750</v>
      </c>
      <c r="C1412" s="36" t="s">
        <v>18751</v>
      </c>
      <c r="D1412" s="36" t="s">
        <v>18752</v>
      </c>
      <c r="E1412" s="36" t="s">
        <v>18753</v>
      </c>
      <c r="F1412" s="36" t="s">
        <v>18754</v>
      </c>
      <c r="G1412" s="36" t="s">
        <v>18755</v>
      </c>
      <c r="H1412" s="36" t="s">
        <v>18756</v>
      </c>
      <c r="I1412" s="36" t="s">
        <v>18757</v>
      </c>
      <c r="J1412" s="36" t="s">
        <v>18758</v>
      </c>
      <c r="K1412" s="36" t="s">
        <v>18759</v>
      </c>
      <c r="L1412" s="36" t="s">
        <v>18760</v>
      </c>
      <c r="M1412" s="36" t="s">
        <v>18761</v>
      </c>
      <c r="N1412" s="36" t="s">
        <v>18761</v>
      </c>
      <c r="O1412" s="36" t="s">
        <v>18762</v>
      </c>
      <c r="P1412" s="36" t="s">
        <v>18750</v>
      </c>
    </row>
    <row r="1413" spans="1:16">
      <c r="A1413" s="139">
        <v>1412</v>
      </c>
      <c r="B1413" s="36" t="s">
        <v>18763</v>
      </c>
      <c r="C1413" s="36" t="s">
        <v>18764</v>
      </c>
      <c r="D1413" s="36" t="s">
        <v>18765</v>
      </c>
      <c r="E1413" s="36" t="s">
        <v>18766</v>
      </c>
      <c r="F1413" s="36" t="s">
        <v>18767</v>
      </c>
      <c r="G1413" s="36" t="s">
        <v>18768</v>
      </c>
      <c r="H1413" s="36" t="s">
        <v>18769</v>
      </c>
      <c r="I1413" s="36" t="s">
        <v>18770</v>
      </c>
      <c r="J1413" s="36" t="s">
        <v>18771</v>
      </c>
      <c r="K1413" s="36" t="s">
        <v>18772</v>
      </c>
      <c r="L1413" s="36" t="s">
        <v>18773</v>
      </c>
      <c r="M1413" s="36" t="s">
        <v>18774</v>
      </c>
      <c r="N1413" s="36" t="s">
        <v>18775</v>
      </c>
      <c r="O1413" s="36" t="s">
        <v>18776</v>
      </c>
      <c r="P1413" s="36" t="s">
        <v>18763</v>
      </c>
    </row>
    <row r="1414" spans="1:16">
      <c r="A1414" s="139">
        <v>1413</v>
      </c>
      <c r="B1414" s="36" t="s">
        <v>18777</v>
      </c>
      <c r="C1414" s="36" t="s">
        <v>18778</v>
      </c>
      <c r="D1414" s="36" t="s">
        <v>18779</v>
      </c>
      <c r="E1414" s="36" t="s">
        <v>18780</v>
      </c>
      <c r="F1414" s="36" t="s">
        <v>18781</v>
      </c>
      <c r="G1414" s="36" t="s">
        <v>18782</v>
      </c>
      <c r="H1414" s="36" t="s">
        <v>18783</v>
      </c>
      <c r="I1414" s="36" t="s">
        <v>18784</v>
      </c>
      <c r="J1414" s="36" t="s">
        <v>18785</v>
      </c>
      <c r="K1414" s="36" t="s">
        <v>18786</v>
      </c>
      <c r="L1414" s="36" t="s">
        <v>18787</v>
      </c>
      <c r="M1414" s="36" t="s">
        <v>18788</v>
      </c>
      <c r="N1414" s="36" t="s">
        <v>18789</v>
      </c>
      <c r="O1414" s="36" t="s">
        <v>18790</v>
      </c>
      <c r="P1414" s="36" t="s">
        <v>18777</v>
      </c>
    </row>
    <row r="1415" spans="1:16">
      <c r="A1415" s="139">
        <v>1414</v>
      </c>
      <c r="B1415" s="36" t="s">
        <v>2157</v>
      </c>
      <c r="C1415" s="36" t="s">
        <v>15992</v>
      </c>
      <c r="D1415" s="36" t="s">
        <v>18791</v>
      </c>
      <c r="E1415" s="36" t="s">
        <v>15994</v>
      </c>
      <c r="F1415" s="36" t="s">
        <v>18792</v>
      </c>
      <c r="G1415" s="36" t="s">
        <v>18793</v>
      </c>
      <c r="H1415" s="36" t="s">
        <v>15997</v>
      </c>
      <c r="I1415" s="36" t="s">
        <v>18792</v>
      </c>
      <c r="J1415" s="36" t="s">
        <v>15999</v>
      </c>
      <c r="K1415" s="36" t="s">
        <v>18794</v>
      </c>
      <c r="L1415" s="36" t="s">
        <v>18795</v>
      </c>
      <c r="M1415" s="36" t="s">
        <v>16001</v>
      </c>
      <c r="N1415" s="36" t="s">
        <v>18796</v>
      </c>
      <c r="O1415" s="36" t="s">
        <v>18797</v>
      </c>
      <c r="P1415" s="36" t="s">
        <v>2157</v>
      </c>
    </row>
    <row r="1416" spans="1:16">
      <c r="A1416" s="139">
        <v>1415</v>
      </c>
      <c r="B1416" s="36" t="s">
        <v>18798</v>
      </c>
      <c r="C1416" s="36" t="s">
        <v>18799</v>
      </c>
      <c r="D1416" s="36" t="s">
        <v>18800</v>
      </c>
      <c r="E1416" s="36" t="s">
        <v>18801</v>
      </c>
      <c r="F1416" s="36" t="s">
        <v>18802</v>
      </c>
      <c r="G1416" s="36" t="s">
        <v>18803</v>
      </c>
      <c r="H1416" s="36" t="s">
        <v>18804</v>
      </c>
      <c r="I1416" s="36" t="s">
        <v>18805</v>
      </c>
      <c r="J1416" s="36" t="s">
        <v>18806</v>
      </c>
      <c r="K1416" s="36" t="s">
        <v>18807</v>
      </c>
      <c r="L1416" s="36" t="s">
        <v>18808</v>
      </c>
      <c r="M1416" s="36" t="s">
        <v>18809</v>
      </c>
      <c r="N1416" s="36" t="s">
        <v>18810</v>
      </c>
      <c r="O1416" s="36" t="s">
        <v>18811</v>
      </c>
      <c r="P1416" s="36" t="s">
        <v>18798</v>
      </c>
    </row>
    <row r="1417" spans="1:16">
      <c r="A1417" s="139">
        <v>1416</v>
      </c>
      <c r="B1417" s="36" t="s">
        <v>18812</v>
      </c>
      <c r="C1417" s="36" t="s">
        <v>18813</v>
      </c>
      <c r="D1417" s="36" t="s">
        <v>18814</v>
      </c>
      <c r="E1417" s="36" t="s">
        <v>18815</v>
      </c>
      <c r="F1417" s="36" t="s">
        <v>18816</v>
      </c>
      <c r="G1417" s="36" t="s">
        <v>18817</v>
      </c>
      <c r="H1417" s="36" t="s">
        <v>18818</v>
      </c>
      <c r="I1417" s="36" t="s">
        <v>18819</v>
      </c>
      <c r="J1417" s="36" t="s">
        <v>18820</v>
      </c>
      <c r="K1417" s="36" t="s">
        <v>18821</v>
      </c>
      <c r="L1417" s="36" t="s">
        <v>18822</v>
      </c>
      <c r="M1417" s="36" t="s">
        <v>18823</v>
      </c>
      <c r="N1417" s="36" t="s">
        <v>18824</v>
      </c>
      <c r="O1417" s="36" t="s">
        <v>18825</v>
      </c>
      <c r="P1417" s="36" t="s">
        <v>18812</v>
      </c>
    </row>
    <row r="1418" spans="1:16">
      <c r="A1418" s="139">
        <v>1417</v>
      </c>
      <c r="B1418" s="36" t="s">
        <v>18826</v>
      </c>
      <c r="C1418" s="36" t="s">
        <v>18827</v>
      </c>
      <c r="D1418" s="36" t="s">
        <v>18828</v>
      </c>
      <c r="E1418" s="36" t="s">
        <v>18829</v>
      </c>
      <c r="F1418" s="36" t="s">
        <v>18830</v>
      </c>
      <c r="G1418" s="36" t="s">
        <v>18831</v>
      </c>
      <c r="H1418" s="36" t="s">
        <v>18832</v>
      </c>
      <c r="I1418" s="36" t="s">
        <v>18833</v>
      </c>
      <c r="J1418" s="36" t="s">
        <v>18834</v>
      </c>
      <c r="K1418" s="36" t="s">
        <v>18835</v>
      </c>
      <c r="L1418" s="36" t="s">
        <v>18836</v>
      </c>
      <c r="M1418" s="36" t="s">
        <v>18837</v>
      </c>
      <c r="N1418" s="36" t="s">
        <v>18838</v>
      </c>
      <c r="O1418" s="36" t="s">
        <v>18839</v>
      </c>
      <c r="P1418" s="36" t="s">
        <v>18826</v>
      </c>
    </row>
    <row r="1419" spans="1:16">
      <c r="A1419" s="139">
        <v>1418</v>
      </c>
      <c r="B1419" s="36" t="s">
        <v>18840</v>
      </c>
      <c r="C1419" s="36" t="s">
        <v>18841</v>
      </c>
      <c r="D1419" s="36" t="s">
        <v>18842</v>
      </c>
      <c r="E1419" s="36" t="s">
        <v>18843</v>
      </c>
      <c r="F1419" s="36" t="s">
        <v>18844</v>
      </c>
      <c r="G1419" s="36" t="s">
        <v>18845</v>
      </c>
      <c r="H1419" s="36" t="s">
        <v>18846</v>
      </c>
      <c r="I1419" s="36" t="s">
        <v>18847</v>
      </c>
      <c r="J1419" s="36" t="s">
        <v>18848</v>
      </c>
      <c r="K1419" s="36" t="s">
        <v>18849</v>
      </c>
      <c r="L1419" s="36" t="s">
        <v>18850</v>
      </c>
      <c r="M1419" s="36" t="s">
        <v>18851</v>
      </c>
      <c r="N1419" s="36" t="s">
        <v>18852</v>
      </c>
      <c r="O1419" s="36" t="s">
        <v>18853</v>
      </c>
      <c r="P1419" s="36" t="s">
        <v>18840</v>
      </c>
    </row>
    <row r="1420" spans="1:16">
      <c r="A1420" s="139">
        <v>1419</v>
      </c>
      <c r="B1420" s="36" t="s">
        <v>18854</v>
      </c>
      <c r="C1420" s="36" t="s">
        <v>18855</v>
      </c>
      <c r="D1420" s="36" t="s">
        <v>18856</v>
      </c>
      <c r="E1420" s="36" t="s">
        <v>18857</v>
      </c>
      <c r="F1420" s="36" t="s">
        <v>18858</v>
      </c>
      <c r="G1420" s="36" t="s">
        <v>18859</v>
      </c>
      <c r="H1420" s="36" t="s">
        <v>18860</v>
      </c>
      <c r="I1420" s="36" t="s">
        <v>18861</v>
      </c>
      <c r="J1420" s="36" t="s">
        <v>18862</v>
      </c>
      <c r="K1420" s="36" t="s">
        <v>18863</v>
      </c>
      <c r="L1420" s="36" t="s">
        <v>18864</v>
      </c>
      <c r="M1420" s="36" t="s">
        <v>18865</v>
      </c>
      <c r="N1420" s="36" t="s">
        <v>18866</v>
      </c>
      <c r="O1420" s="36" t="s">
        <v>18867</v>
      </c>
      <c r="P1420" s="36" t="s">
        <v>18868</v>
      </c>
    </row>
    <row r="1421" spans="1:16">
      <c r="A1421" s="139">
        <v>1420</v>
      </c>
      <c r="B1421" s="36" t="s">
        <v>18869</v>
      </c>
      <c r="C1421" s="36" t="s">
        <v>18870</v>
      </c>
      <c r="D1421" s="36" t="s">
        <v>18871</v>
      </c>
      <c r="E1421" s="36" t="s">
        <v>18872</v>
      </c>
      <c r="F1421" s="36" t="s">
        <v>18873</v>
      </c>
      <c r="G1421" s="36" t="s">
        <v>18874</v>
      </c>
      <c r="H1421" s="36" t="s">
        <v>18875</v>
      </c>
      <c r="I1421" s="36" t="s">
        <v>18876</v>
      </c>
      <c r="J1421" s="36" t="s">
        <v>18877</v>
      </c>
      <c r="K1421" s="36" t="s">
        <v>18878</v>
      </c>
      <c r="L1421" s="36" t="s">
        <v>18879</v>
      </c>
      <c r="M1421" s="36" t="s">
        <v>18880</v>
      </c>
      <c r="N1421" s="36" t="s">
        <v>18881</v>
      </c>
      <c r="O1421" s="36" t="s">
        <v>18882</v>
      </c>
      <c r="P1421" s="36" t="s">
        <v>18869</v>
      </c>
    </row>
    <row r="1422" spans="1:16">
      <c r="A1422" s="139">
        <v>1421</v>
      </c>
      <c r="B1422" s="36" t="s">
        <v>18883</v>
      </c>
      <c r="C1422" s="36" t="s">
        <v>18884</v>
      </c>
      <c r="D1422" s="36" t="s">
        <v>18885</v>
      </c>
      <c r="E1422" s="36" t="s">
        <v>18886</v>
      </c>
      <c r="F1422" s="36" t="s">
        <v>18887</v>
      </c>
      <c r="G1422" s="36" t="s">
        <v>18888</v>
      </c>
      <c r="H1422" s="36" t="s">
        <v>18889</v>
      </c>
      <c r="I1422" s="36" t="s">
        <v>18890</v>
      </c>
      <c r="J1422" s="36" t="s">
        <v>18891</v>
      </c>
      <c r="K1422" s="36" t="s">
        <v>18892</v>
      </c>
      <c r="L1422" s="36" t="s">
        <v>18893</v>
      </c>
      <c r="M1422" s="36" t="s">
        <v>18894</v>
      </c>
      <c r="N1422" s="36" t="s">
        <v>18895</v>
      </c>
      <c r="O1422" s="36" t="s">
        <v>18896</v>
      </c>
      <c r="P1422" s="36" t="s">
        <v>18883</v>
      </c>
    </row>
    <row r="1423" spans="1:16">
      <c r="A1423" s="139">
        <v>1422</v>
      </c>
      <c r="B1423" s="36" t="s">
        <v>18897</v>
      </c>
      <c r="C1423" s="36" t="s">
        <v>18898</v>
      </c>
      <c r="D1423" s="36" t="s">
        <v>18899</v>
      </c>
      <c r="E1423" s="36" t="s">
        <v>18900</v>
      </c>
      <c r="F1423" s="36" t="s">
        <v>18901</v>
      </c>
      <c r="G1423" s="36" t="s">
        <v>18902</v>
      </c>
      <c r="H1423" s="36" t="s">
        <v>18903</v>
      </c>
      <c r="I1423" s="36" t="s">
        <v>18904</v>
      </c>
      <c r="J1423" s="36" t="s">
        <v>18905</v>
      </c>
      <c r="K1423" s="36" t="s">
        <v>18906</v>
      </c>
      <c r="L1423" s="36" t="s">
        <v>18907</v>
      </c>
      <c r="M1423" s="36" t="s">
        <v>18908</v>
      </c>
      <c r="N1423" s="36" t="s">
        <v>18909</v>
      </c>
      <c r="O1423" s="36" t="s">
        <v>18910</v>
      </c>
      <c r="P1423" s="36" t="s">
        <v>18897</v>
      </c>
    </row>
    <row r="1424" spans="1:16">
      <c r="A1424" s="139">
        <v>1423</v>
      </c>
      <c r="B1424" s="36" t="s">
        <v>18911</v>
      </c>
      <c r="C1424" s="36" t="s">
        <v>18912</v>
      </c>
      <c r="D1424" s="36" t="s">
        <v>18913</v>
      </c>
      <c r="E1424" s="36" t="s">
        <v>18914</v>
      </c>
      <c r="F1424" s="36" t="s">
        <v>18915</v>
      </c>
      <c r="G1424" s="36" t="s">
        <v>18916</v>
      </c>
      <c r="H1424" s="36" t="s">
        <v>18917</v>
      </c>
      <c r="I1424" s="36" t="s">
        <v>18918</v>
      </c>
      <c r="J1424" s="36" t="s">
        <v>18919</v>
      </c>
      <c r="K1424" s="36" t="s">
        <v>18920</v>
      </c>
      <c r="L1424" s="36" t="s">
        <v>18921</v>
      </c>
      <c r="M1424" s="36" t="s">
        <v>18922</v>
      </c>
      <c r="N1424" s="36" t="s">
        <v>18923</v>
      </c>
      <c r="O1424" s="36" t="s">
        <v>18924</v>
      </c>
      <c r="P1424" s="36" t="s">
        <v>18911</v>
      </c>
    </row>
    <row r="1425" spans="1:16">
      <c r="A1425" s="139">
        <v>1424</v>
      </c>
      <c r="B1425" s="36" t="s">
        <v>18925</v>
      </c>
      <c r="C1425" s="36" t="s">
        <v>18926</v>
      </c>
      <c r="D1425" s="36" t="s">
        <v>18927</v>
      </c>
      <c r="E1425" s="36" t="s">
        <v>18928</v>
      </c>
      <c r="F1425" s="36" t="s">
        <v>18929</v>
      </c>
      <c r="G1425" s="36" t="s">
        <v>18930</v>
      </c>
      <c r="H1425" s="36" t="s">
        <v>18931</v>
      </c>
      <c r="I1425" s="36" t="s">
        <v>18932</v>
      </c>
      <c r="J1425" s="36" t="s">
        <v>18933</v>
      </c>
      <c r="K1425" s="36" t="s">
        <v>18934</v>
      </c>
      <c r="L1425" s="36" t="s">
        <v>18935</v>
      </c>
      <c r="M1425" s="36" t="s">
        <v>18936</v>
      </c>
      <c r="N1425" s="36" t="s">
        <v>18937</v>
      </c>
      <c r="O1425" s="36" t="s">
        <v>18938</v>
      </c>
      <c r="P1425" s="36" t="s">
        <v>18939</v>
      </c>
    </row>
    <row r="1426" spans="1:16">
      <c r="A1426" s="139">
        <v>1425</v>
      </c>
      <c r="B1426" s="36" t="s">
        <v>18940</v>
      </c>
      <c r="C1426" s="36" t="s">
        <v>18941</v>
      </c>
      <c r="D1426" s="36" t="s">
        <v>18942</v>
      </c>
      <c r="E1426" s="36" t="s">
        <v>18943</v>
      </c>
      <c r="F1426" s="36" t="s">
        <v>18944</v>
      </c>
      <c r="G1426" s="36" t="s">
        <v>18945</v>
      </c>
      <c r="H1426" s="36" t="s">
        <v>18946</v>
      </c>
      <c r="I1426" s="36" t="s">
        <v>18947</v>
      </c>
      <c r="J1426" s="36" t="s">
        <v>18948</v>
      </c>
      <c r="K1426" s="36" t="s">
        <v>18949</v>
      </c>
      <c r="L1426" s="36" t="s">
        <v>18950</v>
      </c>
      <c r="M1426" s="36" t="s">
        <v>18951</v>
      </c>
      <c r="N1426" s="36" t="s">
        <v>18952</v>
      </c>
      <c r="O1426" s="36" t="s">
        <v>18953</v>
      </c>
      <c r="P1426" s="36" t="s">
        <v>18940</v>
      </c>
    </row>
    <row r="1427" spans="1:16">
      <c r="A1427" s="139">
        <v>1426</v>
      </c>
      <c r="B1427" s="36" t="s">
        <v>18954</v>
      </c>
      <c r="C1427" s="36" t="s">
        <v>18955</v>
      </c>
      <c r="D1427" s="36" t="s">
        <v>18956</v>
      </c>
      <c r="E1427" s="36" t="s">
        <v>18957</v>
      </c>
      <c r="F1427" s="36" t="s">
        <v>18958</v>
      </c>
      <c r="G1427" s="36" t="s">
        <v>18959</v>
      </c>
      <c r="H1427" s="36" t="s">
        <v>18960</v>
      </c>
      <c r="I1427" s="36" t="s">
        <v>18961</v>
      </c>
      <c r="J1427" s="36" t="s">
        <v>18962</v>
      </c>
      <c r="K1427" s="36" t="s">
        <v>18963</v>
      </c>
      <c r="L1427" s="36" t="s">
        <v>18964</v>
      </c>
      <c r="M1427" s="36" t="s">
        <v>18965</v>
      </c>
      <c r="N1427" s="36" t="s">
        <v>18966</v>
      </c>
      <c r="O1427" s="36" t="s">
        <v>18967</v>
      </c>
      <c r="P1427" s="36" t="s">
        <v>18954</v>
      </c>
    </row>
    <row r="1428" spans="1:16">
      <c r="A1428" s="139">
        <v>1427</v>
      </c>
      <c r="B1428" s="36" t="s">
        <v>18968</v>
      </c>
      <c r="C1428" s="36" t="s">
        <v>18969</v>
      </c>
      <c r="D1428" s="36" t="s">
        <v>18970</v>
      </c>
      <c r="E1428" s="36" t="s">
        <v>18971</v>
      </c>
      <c r="F1428" s="36" t="s">
        <v>18972</v>
      </c>
      <c r="G1428" s="36" t="s">
        <v>18973</v>
      </c>
      <c r="H1428" s="36" t="s">
        <v>18974</v>
      </c>
      <c r="I1428" s="36" t="s">
        <v>18975</v>
      </c>
      <c r="J1428" s="36" t="s">
        <v>18976</v>
      </c>
      <c r="K1428" s="36" t="s">
        <v>18977</v>
      </c>
      <c r="L1428" s="36" t="s">
        <v>18978</v>
      </c>
      <c r="M1428" s="36" t="s">
        <v>18979</v>
      </c>
      <c r="N1428" s="36" t="s">
        <v>18980</v>
      </c>
      <c r="O1428" s="36" t="s">
        <v>18981</v>
      </c>
      <c r="P1428" s="36" t="s">
        <v>18968</v>
      </c>
    </row>
    <row r="1429" spans="1:16">
      <c r="A1429" s="139">
        <v>1428</v>
      </c>
      <c r="B1429" s="36" t="s">
        <v>18982</v>
      </c>
      <c r="C1429" s="36" t="s">
        <v>18983</v>
      </c>
      <c r="D1429" s="36" t="s">
        <v>18984</v>
      </c>
      <c r="E1429" s="36" t="s">
        <v>18985</v>
      </c>
      <c r="F1429" s="36" t="s">
        <v>18986</v>
      </c>
      <c r="G1429" s="36" t="s">
        <v>18987</v>
      </c>
      <c r="H1429" s="36" t="s">
        <v>18988</v>
      </c>
      <c r="I1429" s="36" t="s">
        <v>18989</v>
      </c>
      <c r="J1429" s="36" t="s">
        <v>18990</v>
      </c>
      <c r="K1429" s="36" t="s">
        <v>18991</v>
      </c>
      <c r="L1429" s="36" t="s">
        <v>18992</v>
      </c>
      <c r="M1429" s="36" t="s">
        <v>18993</v>
      </c>
      <c r="N1429" s="36" t="s">
        <v>18994</v>
      </c>
      <c r="O1429" s="36" t="s">
        <v>18995</v>
      </c>
      <c r="P1429" s="36" t="s">
        <v>18996</v>
      </c>
    </row>
    <row r="1430" spans="1:16">
      <c r="A1430" s="139">
        <v>1429</v>
      </c>
      <c r="B1430" s="36" t="s">
        <v>18997</v>
      </c>
      <c r="C1430" s="36" t="s">
        <v>18998</v>
      </c>
      <c r="D1430" s="36" t="s">
        <v>18999</v>
      </c>
      <c r="E1430" s="36" t="s">
        <v>19000</v>
      </c>
      <c r="F1430" s="36" t="s">
        <v>19001</v>
      </c>
      <c r="G1430" s="36" t="s">
        <v>19002</v>
      </c>
      <c r="H1430" s="36" t="s">
        <v>19003</v>
      </c>
      <c r="I1430" s="36" t="s">
        <v>19004</v>
      </c>
      <c r="J1430" s="36" t="s">
        <v>19005</v>
      </c>
      <c r="K1430" s="36" t="s">
        <v>19002</v>
      </c>
      <c r="L1430" s="36" t="s">
        <v>19006</v>
      </c>
      <c r="M1430" s="36" t="s">
        <v>19007</v>
      </c>
      <c r="N1430" s="36" t="s">
        <v>19008</v>
      </c>
      <c r="O1430" s="36" t="s">
        <v>19009</v>
      </c>
      <c r="P1430" s="36" t="s">
        <v>18997</v>
      </c>
    </row>
    <row r="1431" spans="1:16">
      <c r="A1431" s="139">
        <v>1430</v>
      </c>
      <c r="B1431" s="36" t="s">
        <v>19010</v>
      </c>
      <c r="C1431" s="36" t="s">
        <v>19011</v>
      </c>
      <c r="D1431" s="36" t="s">
        <v>19012</v>
      </c>
      <c r="E1431" s="36" t="s">
        <v>19013</v>
      </c>
      <c r="F1431" s="36" t="s">
        <v>19014</v>
      </c>
      <c r="G1431" s="36" t="s">
        <v>4992</v>
      </c>
      <c r="H1431" s="36" t="s">
        <v>19015</v>
      </c>
      <c r="I1431" s="36" t="s">
        <v>19014</v>
      </c>
      <c r="J1431" s="36" t="s">
        <v>19016</v>
      </c>
      <c r="K1431" s="36" t="s">
        <v>4992</v>
      </c>
      <c r="L1431" s="36" t="s">
        <v>19017</v>
      </c>
      <c r="M1431" s="36" t="s">
        <v>19018</v>
      </c>
      <c r="N1431" s="36" t="s">
        <v>19018</v>
      </c>
      <c r="O1431" s="36" t="s">
        <v>4992</v>
      </c>
      <c r="P1431" s="36" t="s">
        <v>19010</v>
      </c>
    </row>
    <row r="1432" spans="1:16">
      <c r="A1432" s="139">
        <v>1431</v>
      </c>
      <c r="B1432" s="36" t="s">
        <v>19019</v>
      </c>
      <c r="C1432" s="36" t="s">
        <v>19020</v>
      </c>
      <c r="D1432" s="36" t="s">
        <v>19021</v>
      </c>
      <c r="E1432" s="36" t="s">
        <v>19022</v>
      </c>
      <c r="F1432" s="36" t="s">
        <v>19023</v>
      </c>
      <c r="G1432" s="36" t="s">
        <v>19024</v>
      </c>
      <c r="H1432" s="36" t="s">
        <v>19025</v>
      </c>
      <c r="I1432" s="36" t="s">
        <v>19026</v>
      </c>
      <c r="J1432" s="36" t="s">
        <v>19027</v>
      </c>
      <c r="K1432" s="36" t="s">
        <v>19028</v>
      </c>
      <c r="L1432" s="36" t="s">
        <v>19029</v>
      </c>
      <c r="M1432" s="36" t="s">
        <v>19030</v>
      </c>
      <c r="N1432" s="36" t="s">
        <v>19031</v>
      </c>
      <c r="O1432" s="36" t="s">
        <v>19032</v>
      </c>
      <c r="P1432" s="36" t="s">
        <v>19019</v>
      </c>
    </row>
    <row r="1433" spans="1:16">
      <c r="A1433" s="139">
        <v>1432</v>
      </c>
      <c r="B1433" s="36" t="s">
        <v>19033</v>
      </c>
      <c r="C1433" s="36" t="s">
        <v>19034</v>
      </c>
      <c r="D1433" s="36" t="s">
        <v>19035</v>
      </c>
      <c r="E1433" s="36" t="s">
        <v>19036</v>
      </c>
      <c r="F1433" s="36" t="s">
        <v>19037</v>
      </c>
      <c r="G1433" s="36" t="s">
        <v>19038</v>
      </c>
      <c r="H1433" s="36" t="s">
        <v>19039</v>
      </c>
      <c r="I1433" s="36" t="s">
        <v>19040</v>
      </c>
      <c r="J1433" s="36" t="s">
        <v>19041</v>
      </c>
      <c r="K1433" s="36" t="s">
        <v>19042</v>
      </c>
      <c r="L1433" s="36" t="s">
        <v>19043</v>
      </c>
      <c r="M1433" s="36" t="s">
        <v>19044</v>
      </c>
      <c r="N1433" s="36" t="s">
        <v>19045</v>
      </c>
      <c r="O1433" s="36" t="s">
        <v>19042</v>
      </c>
      <c r="P1433" s="36" t="s">
        <v>19033</v>
      </c>
    </row>
    <row r="1434" spans="1:16">
      <c r="A1434" s="139">
        <v>1433</v>
      </c>
      <c r="B1434" s="36" t="s">
        <v>19046</v>
      </c>
      <c r="C1434" s="36" t="s">
        <v>19047</v>
      </c>
      <c r="D1434" s="36" t="s">
        <v>19048</v>
      </c>
      <c r="E1434" s="36" t="s">
        <v>19049</v>
      </c>
      <c r="F1434" s="36" t="s">
        <v>19050</v>
      </c>
      <c r="G1434" s="36" t="s">
        <v>19051</v>
      </c>
      <c r="H1434" s="36" t="s">
        <v>19052</v>
      </c>
      <c r="I1434" s="36" t="s">
        <v>19050</v>
      </c>
      <c r="J1434" s="36" t="s">
        <v>19053</v>
      </c>
      <c r="K1434" s="36" t="s">
        <v>19054</v>
      </c>
      <c r="L1434" s="36" t="s">
        <v>19055</v>
      </c>
      <c r="M1434" s="36" t="s">
        <v>19055</v>
      </c>
      <c r="N1434" s="36" t="s">
        <v>19055</v>
      </c>
      <c r="O1434" s="36" t="s">
        <v>19056</v>
      </c>
      <c r="P1434" s="36" t="s">
        <v>19046</v>
      </c>
    </row>
    <row r="1435" spans="1:16">
      <c r="A1435" s="139">
        <v>1434</v>
      </c>
      <c r="B1435" s="36" t="s">
        <v>128</v>
      </c>
      <c r="C1435" s="36" t="s">
        <v>19057</v>
      </c>
      <c r="D1435" s="36" t="s">
        <v>19057</v>
      </c>
      <c r="E1435" s="36" t="s">
        <v>19057</v>
      </c>
      <c r="F1435" s="36" t="s">
        <v>19057</v>
      </c>
      <c r="G1435" s="36" t="s">
        <v>19057</v>
      </c>
      <c r="H1435" s="36" t="s">
        <v>19057</v>
      </c>
      <c r="I1435" s="36" t="s">
        <v>19057</v>
      </c>
      <c r="J1435" s="36" t="s">
        <v>19057</v>
      </c>
      <c r="K1435" s="36" t="s">
        <v>19057</v>
      </c>
      <c r="L1435" s="36" t="s">
        <v>19057</v>
      </c>
      <c r="M1435" s="36" t="s">
        <v>19057</v>
      </c>
      <c r="N1435" s="36" t="s">
        <v>19057</v>
      </c>
      <c r="O1435" s="36" t="s">
        <v>19057</v>
      </c>
      <c r="P1435" s="36" t="s">
        <v>128</v>
      </c>
    </row>
    <row r="1436" spans="1:16">
      <c r="A1436" s="139">
        <v>1435</v>
      </c>
      <c r="B1436" s="36" t="s">
        <v>127</v>
      </c>
      <c r="C1436" s="36" t="s">
        <v>19058</v>
      </c>
      <c r="D1436" s="36" t="s">
        <v>19058</v>
      </c>
      <c r="E1436" s="36" t="s">
        <v>19058</v>
      </c>
      <c r="F1436" s="36" t="s">
        <v>19058</v>
      </c>
      <c r="G1436" s="36" t="s">
        <v>19058</v>
      </c>
      <c r="H1436" s="36" t="s">
        <v>19058</v>
      </c>
      <c r="I1436" s="36" t="s">
        <v>19058</v>
      </c>
      <c r="J1436" s="36" t="s">
        <v>19058</v>
      </c>
      <c r="K1436" s="36" t="s">
        <v>19058</v>
      </c>
      <c r="L1436" s="36" t="s">
        <v>19058</v>
      </c>
      <c r="M1436" s="36" t="s">
        <v>19058</v>
      </c>
      <c r="N1436" s="36" t="s">
        <v>19058</v>
      </c>
      <c r="O1436" s="36" t="s">
        <v>19058</v>
      </c>
      <c r="P1436" s="36" t="s">
        <v>127</v>
      </c>
    </row>
    <row r="1437" spans="1:16">
      <c r="A1437" s="139">
        <v>1436</v>
      </c>
      <c r="B1437" s="36" t="s">
        <v>19059</v>
      </c>
      <c r="C1437" s="36" t="s">
        <v>19060</v>
      </c>
      <c r="D1437" s="36" t="s">
        <v>19060</v>
      </c>
      <c r="E1437" s="36" t="s">
        <v>12749</v>
      </c>
      <c r="F1437" s="36" t="s">
        <v>19061</v>
      </c>
      <c r="G1437" s="36" t="s">
        <v>19062</v>
      </c>
      <c r="H1437" s="36" t="s">
        <v>19063</v>
      </c>
      <c r="I1437" s="36" t="s">
        <v>19064</v>
      </c>
      <c r="J1437" s="36" t="s">
        <v>19065</v>
      </c>
      <c r="K1437" s="36" t="s">
        <v>19066</v>
      </c>
      <c r="L1437" s="36" t="s">
        <v>19067</v>
      </c>
      <c r="M1437" s="36" t="s">
        <v>19068</v>
      </c>
      <c r="N1437" s="36" t="s">
        <v>19069</v>
      </c>
      <c r="O1437" s="36" t="s">
        <v>19070</v>
      </c>
      <c r="P1437" s="36" t="s">
        <v>19059</v>
      </c>
    </row>
    <row r="1438" spans="1:16">
      <c r="A1438" s="139">
        <v>1437</v>
      </c>
      <c r="B1438" s="36" t="s">
        <v>19071</v>
      </c>
      <c r="C1438" s="36" t="s">
        <v>19072</v>
      </c>
      <c r="D1438" s="36" t="s">
        <v>19073</v>
      </c>
      <c r="E1438" s="36" t="s">
        <v>19074</v>
      </c>
      <c r="F1438" s="36" t="s">
        <v>19075</v>
      </c>
      <c r="G1438" s="36" t="s">
        <v>19076</v>
      </c>
      <c r="H1438" s="36" t="s">
        <v>19077</v>
      </c>
      <c r="I1438" s="36" t="s">
        <v>19078</v>
      </c>
      <c r="J1438" s="36" t="s">
        <v>19079</v>
      </c>
      <c r="K1438" s="36" t="s">
        <v>19080</v>
      </c>
      <c r="L1438" s="36" t="s">
        <v>19081</v>
      </c>
      <c r="M1438" s="36" t="s">
        <v>19082</v>
      </c>
      <c r="N1438" s="36" t="s">
        <v>19082</v>
      </c>
      <c r="O1438" s="36" t="s">
        <v>19083</v>
      </c>
      <c r="P1438" s="36" t="s">
        <v>19071</v>
      </c>
    </row>
    <row r="1439" spans="1:16">
      <c r="A1439" s="139">
        <v>1438</v>
      </c>
      <c r="B1439" s="36" t="s">
        <v>19084</v>
      </c>
      <c r="C1439" s="36" t="s">
        <v>19085</v>
      </c>
      <c r="D1439" s="36" t="s">
        <v>19086</v>
      </c>
      <c r="E1439" s="36" t="s">
        <v>19087</v>
      </c>
      <c r="F1439" s="36" t="s">
        <v>19088</v>
      </c>
      <c r="G1439" s="36" t="s">
        <v>19089</v>
      </c>
      <c r="H1439" s="36" t="s">
        <v>19090</v>
      </c>
      <c r="I1439" s="36" t="s">
        <v>19091</v>
      </c>
      <c r="J1439" s="36" t="s">
        <v>19092</v>
      </c>
      <c r="K1439" s="36" t="s">
        <v>19093</v>
      </c>
      <c r="L1439" s="36" t="s">
        <v>19094</v>
      </c>
      <c r="M1439" s="36" t="s">
        <v>19095</v>
      </c>
      <c r="N1439" s="36" t="s">
        <v>19096</v>
      </c>
      <c r="O1439" s="36" t="s">
        <v>19097</v>
      </c>
      <c r="P1439" s="36" t="s">
        <v>19084</v>
      </c>
    </row>
    <row r="1440" spans="1:16">
      <c r="A1440" s="139">
        <v>1439</v>
      </c>
      <c r="B1440" s="36" t="s">
        <v>2361</v>
      </c>
      <c r="C1440" s="36" t="s">
        <v>19098</v>
      </c>
      <c r="D1440" s="36" t="s">
        <v>19099</v>
      </c>
      <c r="E1440" s="36" t="s">
        <v>19100</v>
      </c>
      <c r="F1440" s="36" t="s">
        <v>19101</v>
      </c>
      <c r="G1440" s="36" t="s">
        <v>19102</v>
      </c>
      <c r="H1440" s="36" t="s">
        <v>19103</v>
      </c>
      <c r="I1440" s="36" t="s">
        <v>13216</v>
      </c>
      <c r="J1440" s="36" t="s">
        <v>19104</v>
      </c>
      <c r="K1440" s="36" t="s">
        <v>19105</v>
      </c>
      <c r="L1440" s="36" t="s">
        <v>19106</v>
      </c>
      <c r="M1440" s="36" t="s">
        <v>19107</v>
      </c>
      <c r="N1440" s="36" t="s">
        <v>19108</v>
      </c>
      <c r="O1440" s="36" t="s">
        <v>19109</v>
      </c>
      <c r="P1440" s="36" t="s">
        <v>2361</v>
      </c>
    </row>
    <row r="1441" spans="1:16">
      <c r="A1441" s="139">
        <v>1440</v>
      </c>
      <c r="B1441" s="36" t="s">
        <v>1417</v>
      </c>
      <c r="C1441" s="36" t="s">
        <v>1420</v>
      </c>
      <c r="D1441" s="36" t="s">
        <v>1420</v>
      </c>
      <c r="E1441" s="36" t="s">
        <v>1420</v>
      </c>
      <c r="F1441" s="36" t="s">
        <v>1420</v>
      </c>
      <c r="G1441" s="36" t="s">
        <v>1420</v>
      </c>
      <c r="H1441" s="36" t="s">
        <v>1420</v>
      </c>
      <c r="I1441" s="36" t="s">
        <v>1420</v>
      </c>
      <c r="J1441" s="36" t="s">
        <v>1420</v>
      </c>
      <c r="K1441" s="36" t="s">
        <v>1420</v>
      </c>
      <c r="L1441" s="36" t="s">
        <v>1420</v>
      </c>
      <c r="M1441" s="36" t="s">
        <v>1420</v>
      </c>
      <c r="N1441" s="36" t="s">
        <v>1420</v>
      </c>
      <c r="O1441" s="36" t="s">
        <v>1420</v>
      </c>
      <c r="P1441" s="36" t="s">
        <v>1417</v>
      </c>
    </row>
    <row r="1442" spans="1:16">
      <c r="A1442" s="139">
        <v>1441</v>
      </c>
      <c r="B1442" s="36" t="s">
        <v>19110</v>
      </c>
      <c r="C1442" s="36" t="s">
        <v>1421</v>
      </c>
      <c r="D1442" s="36" t="s">
        <v>1421</v>
      </c>
      <c r="E1442" s="36" t="s">
        <v>1421</v>
      </c>
      <c r="F1442" s="36" t="s">
        <v>1421</v>
      </c>
      <c r="G1442" s="36" t="s">
        <v>1421</v>
      </c>
      <c r="H1442" s="36" t="s">
        <v>1421</v>
      </c>
      <c r="I1442" s="36" t="s">
        <v>1421</v>
      </c>
      <c r="J1442" s="36" t="s">
        <v>1421</v>
      </c>
      <c r="K1442" s="36" t="s">
        <v>1421</v>
      </c>
      <c r="L1442" s="36" t="s">
        <v>1421</v>
      </c>
      <c r="M1442" s="36" t="s">
        <v>1421</v>
      </c>
      <c r="N1442" s="36" t="s">
        <v>1421</v>
      </c>
      <c r="O1442" s="36" t="s">
        <v>1421</v>
      </c>
      <c r="P1442" s="36" t="s">
        <v>19110</v>
      </c>
    </row>
    <row r="1443" spans="1:16">
      <c r="A1443" s="139">
        <v>1442</v>
      </c>
      <c r="B1443" s="36" t="s">
        <v>19111</v>
      </c>
      <c r="C1443" s="36" t="s">
        <v>19112</v>
      </c>
      <c r="D1443" s="36" t="s">
        <v>19113</v>
      </c>
      <c r="E1443" s="36" t="s">
        <v>19114</v>
      </c>
      <c r="F1443" s="36" t="s">
        <v>19115</v>
      </c>
      <c r="G1443" s="36" t="s">
        <v>19116</v>
      </c>
      <c r="H1443" s="36" t="s">
        <v>19117</v>
      </c>
      <c r="I1443" s="36" t="s">
        <v>19118</v>
      </c>
      <c r="J1443" s="36" t="s">
        <v>19119</v>
      </c>
      <c r="K1443" s="36" t="s">
        <v>19120</v>
      </c>
      <c r="L1443" s="36" t="s">
        <v>19121</v>
      </c>
      <c r="M1443" s="36" t="s">
        <v>19122</v>
      </c>
      <c r="N1443" s="36" t="s">
        <v>19123</v>
      </c>
      <c r="O1443" s="36" t="s">
        <v>19124</v>
      </c>
      <c r="P1443" s="36" t="s">
        <v>19111</v>
      </c>
    </row>
    <row r="1444" spans="1:16">
      <c r="A1444" s="139">
        <v>1443</v>
      </c>
      <c r="B1444" s="36" t="s">
        <v>19125</v>
      </c>
      <c r="C1444" s="36" t="s">
        <v>19125</v>
      </c>
      <c r="D1444" s="36" t="s">
        <v>19125</v>
      </c>
      <c r="E1444" s="36" t="s">
        <v>19125</v>
      </c>
      <c r="F1444" s="36" t="s">
        <v>19125</v>
      </c>
      <c r="G1444" s="36" t="s">
        <v>19125</v>
      </c>
      <c r="H1444" s="36" t="s">
        <v>19125</v>
      </c>
      <c r="I1444" s="36" t="s">
        <v>19125</v>
      </c>
      <c r="J1444" s="36" t="s">
        <v>19125</v>
      </c>
      <c r="K1444" s="36" t="s">
        <v>19125</v>
      </c>
      <c r="L1444" s="36" t="s">
        <v>19125</v>
      </c>
      <c r="M1444" s="36" t="s">
        <v>19125</v>
      </c>
      <c r="N1444" s="36" t="s">
        <v>19125</v>
      </c>
      <c r="O1444" s="36" t="s">
        <v>19125</v>
      </c>
      <c r="P1444" s="36" t="s">
        <v>19125</v>
      </c>
    </row>
    <row r="1445" spans="1:16">
      <c r="A1445" s="139">
        <v>1444</v>
      </c>
      <c r="B1445" s="36" t="s">
        <v>19126</v>
      </c>
      <c r="C1445" s="36" t="s">
        <v>19126</v>
      </c>
      <c r="D1445" s="36" t="s">
        <v>19126</v>
      </c>
      <c r="E1445" s="36" t="s">
        <v>19126</v>
      </c>
      <c r="F1445" s="36" t="s">
        <v>19126</v>
      </c>
      <c r="G1445" s="36" t="s">
        <v>19126</v>
      </c>
      <c r="H1445" s="36" t="s">
        <v>19126</v>
      </c>
      <c r="I1445" s="36" t="s">
        <v>19126</v>
      </c>
      <c r="J1445" s="36" t="s">
        <v>19126</v>
      </c>
      <c r="K1445" s="36" t="s">
        <v>19126</v>
      </c>
      <c r="L1445" s="36" t="s">
        <v>19126</v>
      </c>
      <c r="M1445" s="36" t="s">
        <v>19126</v>
      </c>
      <c r="N1445" s="36" t="s">
        <v>19126</v>
      </c>
      <c r="O1445" s="36" t="s">
        <v>19126</v>
      </c>
      <c r="P1445" s="36" t="s">
        <v>19126</v>
      </c>
    </row>
    <row r="1446" spans="1:16">
      <c r="A1446" s="139">
        <v>1445</v>
      </c>
      <c r="B1446" s="36" t="s">
        <v>19127</v>
      </c>
      <c r="C1446" s="36" t="s">
        <v>19128</v>
      </c>
      <c r="D1446" s="36" t="s">
        <v>19129</v>
      </c>
      <c r="E1446" s="36" t="s">
        <v>19130</v>
      </c>
      <c r="F1446" s="36" t="s">
        <v>19130</v>
      </c>
      <c r="G1446" s="36" t="s">
        <v>19130</v>
      </c>
      <c r="H1446" s="36" t="s">
        <v>19130</v>
      </c>
      <c r="I1446" s="36" t="s">
        <v>19130</v>
      </c>
      <c r="J1446" s="36" t="s">
        <v>19130</v>
      </c>
      <c r="K1446" s="36" t="s">
        <v>19130</v>
      </c>
      <c r="L1446" s="36" t="s">
        <v>19130</v>
      </c>
      <c r="M1446" s="36" t="s">
        <v>19130</v>
      </c>
      <c r="N1446" s="36" t="s">
        <v>19130</v>
      </c>
      <c r="O1446" s="36" t="s">
        <v>19130</v>
      </c>
      <c r="P1446" s="36" t="s">
        <v>19127</v>
      </c>
    </row>
    <row r="1447" spans="1:16">
      <c r="A1447" s="139">
        <v>1446</v>
      </c>
      <c r="B1447" s="36" t="s">
        <v>19131</v>
      </c>
      <c r="C1447" s="36" t="s">
        <v>19132</v>
      </c>
      <c r="D1447" s="36" t="s">
        <v>19133</v>
      </c>
      <c r="E1447" s="36" t="s">
        <v>19134</v>
      </c>
      <c r="F1447" s="36" t="s">
        <v>19134</v>
      </c>
      <c r="G1447" s="36" t="s">
        <v>19134</v>
      </c>
      <c r="H1447" s="36" t="s">
        <v>19134</v>
      </c>
      <c r="I1447" s="36" t="s">
        <v>19134</v>
      </c>
      <c r="J1447" s="36" t="s">
        <v>19134</v>
      </c>
      <c r="K1447" s="36" t="s">
        <v>19134</v>
      </c>
      <c r="L1447" s="36" t="s">
        <v>19134</v>
      </c>
      <c r="M1447" s="36" t="s">
        <v>19134</v>
      </c>
      <c r="N1447" s="36" t="s">
        <v>19134</v>
      </c>
      <c r="O1447" s="36" t="s">
        <v>19134</v>
      </c>
      <c r="P1447" s="36" t="s">
        <v>19131</v>
      </c>
    </row>
    <row r="1448" spans="1:16">
      <c r="A1448" s="139">
        <v>1447</v>
      </c>
      <c r="B1448" s="36" t="s">
        <v>19135</v>
      </c>
      <c r="C1448" s="36" t="s">
        <v>19136</v>
      </c>
      <c r="D1448" s="36" t="s">
        <v>19137</v>
      </c>
      <c r="E1448" s="36" t="s">
        <v>19138</v>
      </c>
      <c r="F1448" s="36" t="s">
        <v>19139</v>
      </c>
      <c r="G1448" s="36" t="s">
        <v>19140</v>
      </c>
      <c r="H1448" s="36" t="s">
        <v>19141</v>
      </c>
      <c r="I1448" s="36" t="s">
        <v>19142</v>
      </c>
      <c r="J1448" s="36" t="s">
        <v>19143</v>
      </c>
      <c r="K1448" s="36" t="s">
        <v>19144</v>
      </c>
      <c r="L1448" s="36" t="s">
        <v>19145</v>
      </c>
      <c r="M1448" s="36" t="s">
        <v>19146</v>
      </c>
      <c r="N1448" s="36" t="s">
        <v>19147</v>
      </c>
      <c r="O1448" s="36" t="s">
        <v>19148</v>
      </c>
      <c r="P1448" s="36" t="s">
        <v>19135</v>
      </c>
    </row>
    <row r="1449" spans="1:16">
      <c r="A1449" s="139">
        <v>1448</v>
      </c>
      <c r="B1449" s="36" t="s">
        <v>19149</v>
      </c>
      <c r="C1449" s="36" t="s">
        <v>19150</v>
      </c>
      <c r="D1449" s="36" t="s">
        <v>19151</v>
      </c>
      <c r="E1449" s="36" t="s">
        <v>19152</v>
      </c>
      <c r="F1449" s="36" t="s">
        <v>19153</v>
      </c>
      <c r="G1449" s="36" t="s">
        <v>19154</v>
      </c>
      <c r="H1449" s="36" t="s">
        <v>19155</v>
      </c>
      <c r="I1449" s="36" t="s">
        <v>19156</v>
      </c>
      <c r="J1449" s="36" t="s">
        <v>19157</v>
      </c>
      <c r="K1449" s="36" t="s">
        <v>19158</v>
      </c>
      <c r="L1449" s="36" t="s">
        <v>19159</v>
      </c>
      <c r="M1449" s="36" t="s">
        <v>19160</v>
      </c>
      <c r="N1449" s="36" t="s">
        <v>19160</v>
      </c>
      <c r="O1449" s="36" t="s">
        <v>19161</v>
      </c>
      <c r="P1449" s="36" t="s">
        <v>19149</v>
      </c>
    </row>
    <row r="1450" spans="1:16">
      <c r="A1450" s="139">
        <v>1449</v>
      </c>
      <c r="B1450" s="36" t="s">
        <v>19162</v>
      </c>
      <c r="C1450" s="36" t="s">
        <v>19163</v>
      </c>
      <c r="D1450" s="36" t="s">
        <v>19164</v>
      </c>
      <c r="E1450" s="36" t="s">
        <v>19165</v>
      </c>
      <c r="F1450" s="36" t="s">
        <v>19166</v>
      </c>
      <c r="G1450" s="36" t="s">
        <v>19167</v>
      </c>
      <c r="H1450" s="36" t="s">
        <v>19168</v>
      </c>
      <c r="I1450" s="36" t="s">
        <v>19166</v>
      </c>
      <c r="J1450" s="36" t="s">
        <v>19169</v>
      </c>
      <c r="K1450" s="36" t="s">
        <v>19170</v>
      </c>
      <c r="L1450" s="36" t="s">
        <v>19168</v>
      </c>
      <c r="M1450" s="36" t="s">
        <v>19171</v>
      </c>
      <c r="N1450" s="36" t="s">
        <v>19172</v>
      </c>
      <c r="O1450" s="36" t="s">
        <v>19170</v>
      </c>
      <c r="P1450" s="36" t="s">
        <v>19162</v>
      </c>
    </row>
    <row r="1451" spans="1:16">
      <c r="A1451" s="139">
        <v>1450</v>
      </c>
      <c r="B1451" s="36" t="s">
        <v>19173</v>
      </c>
      <c r="C1451" s="36" t="s">
        <v>19174</v>
      </c>
      <c r="D1451" s="36" t="s">
        <v>19175</v>
      </c>
      <c r="E1451" s="36" t="s">
        <v>19176</v>
      </c>
      <c r="F1451" s="36" t="s">
        <v>19177</v>
      </c>
      <c r="G1451" s="36" t="s">
        <v>19178</v>
      </c>
      <c r="H1451" s="36" t="s">
        <v>19179</v>
      </c>
      <c r="I1451" s="36" t="s">
        <v>19180</v>
      </c>
      <c r="J1451" s="36" t="s">
        <v>19181</v>
      </c>
      <c r="K1451" s="36" t="s">
        <v>19182</v>
      </c>
      <c r="L1451" s="36" t="s">
        <v>19183</v>
      </c>
      <c r="M1451" s="36" t="s">
        <v>19184</v>
      </c>
      <c r="N1451" s="36" t="s">
        <v>19185</v>
      </c>
      <c r="O1451" s="36" t="s">
        <v>19186</v>
      </c>
      <c r="P1451" s="36" t="s">
        <v>19173</v>
      </c>
    </row>
    <row r="1452" spans="1:16">
      <c r="A1452" s="139">
        <v>1451</v>
      </c>
      <c r="B1452" s="36" t="s">
        <v>19187</v>
      </c>
      <c r="C1452" s="36" t="s">
        <v>19188</v>
      </c>
      <c r="D1452" s="36" t="s">
        <v>19189</v>
      </c>
      <c r="E1452" s="36" t="s">
        <v>19190</v>
      </c>
      <c r="F1452" s="36" t="s">
        <v>19191</v>
      </c>
      <c r="G1452" s="36" t="s">
        <v>19192</v>
      </c>
      <c r="H1452" s="36" t="s">
        <v>19193</v>
      </c>
      <c r="I1452" s="36" t="s">
        <v>19194</v>
      </c>
      <c r="J1452" s="36" t="s">
        <v>19195</v>
      </c>
      <c r="K1452" s="36" t="s">
        <v>19196</v>
      </c>
      <c r="L1452" s="36" t="s">
        <v>19197</v>
      </c>
      <c r="M1452" s="36" t="s">
        <v>19198</v>
      </c>
      <c r="N1452" s="36" t="s">
        <v>19199</v>
      </c>
      <c r="O1452" s="36" t="s">
        <v>19200</v>
      </c>
      <c r="P1452" s="36" t="s">
        <v>19187</v>
      </c>
    </row>
    <row r="1453" spans="1:16">
      <c r="A1453" s="139">
        <v>1452</v>
      </c>
      <c r="B1453" s="36" t="s">
        <v>19201</v>
      </c>
      <c r="C1453" s="36" t="s">
        <v>19202</v>
      </c>
      <c r="D1453" s="36" t="s">
        <v>19203</v>
      </c>
      <c r="E1453" s="36" t="s">
        <v>19204</v>
      </c>
      <c r="F1453" s="36" t="s">
        <v>19205</v>
      </c>
      <c r="G1453" s="36" t="s">
        <v>19206</v>
      </c>
      <c r="H1453" s="36" t="s">
        <v>19207</v>
      </c>
      <c r="I1453" s="36" t="s">
        <v>19208</v>
      </c>
      <c r="J1453" s="36" t="s">
        <v>19209</v>
      </c>
      <c r="K1453" s="36" t="s">
        <v>19210</v>
      </c>
      <c r="L1453" s="36" t="s">
        <v>19211</v>
      </c>
      <c r="M1453" s="36" t="s">
        <v>19212</v>
      </c>
      <c r="N1453" s="36" t="s">
        <v>19213</v>
      </c>
      <c r="O1453" s="36" t="s">
        <v>19214</v>
      </c>
      <c r="P1453" s="36" t="s">
        <v>19201</v>
      </c>
    </row>
    <row r="1454" spans="1:16">
      <c r="A1454" s="139">
        <v>1453</v>
      </c>
      <c r="B1454" s="36" t="s">
        <v>19215</v>
      </c>
      <c r="C1454" s="36" t="s">
        <v>19216</v>
      </c>
      <c r="D1454" s="36" t="s">
        <v>19217</v>
      </c>
      <c r="E1454" s="36" t="s">
        <v>19218</v>
      </c>
      <c r="F1454" s="36" t="s">
        <v>19219</v>
      </c>
      <c r="G1454" s="36" t="s">
        <v>19220</v>
      </c>
      <c r="H1454" s="36" t="s">
        <v>19221</v>
      </c>
      <c r="I1454" s="36" t="s">
        <v>19222</v>
      </c>
      <c r="J1454" s="36" t="s">
        <v>19223</v>
      </c>
      <c r="K1454" s="36" t="s">
        <v>19224</v>
      </c>
      <c r="L1454" s="36" t="s">
        <v>19225</v>
      </c>
      <c r="M1454" s="36" t="s">
        <v>19226</v>
      </c>
      <c r="N1454" s="36" t="s">
        <v>19227</v>
      </c>
      <c r="O1454" s="36" t="s">
        <v>19228</v>
      </c>
      <c r="P1454" s="36" t="s">
        <v>19215</v>
      </c>
    </row>
    <row r="1455" spans="1:16">
      <c r="A1455" s="139">
        <v>1454</v>
      </c>
      <c r="B1455" s="36" t="s">
        <v>19229</v>
      </c>
      <c r="C1455" s="36" t="s">
        <v>19230</v>
      </c>
      <c r="D1455" s="36" t="s">
        <v>19231</v>
      </c>
      <c r="E1455" s="36" t="s">
        <v>7251</v>
      </c>
      <c r="F1455" s="36" t="s">
        <v>19232</v>
      </c>
      <c r="G1455" s="36" t="s">
        <v>19233</v>
      </c>
      <c r="H1455" s="36" t="s">
        <v>19234</v>
      </c>
      <c r="I1455" s="36" t="s">
        <v>19235</v>
      </c>
      <c r="J1455" s="36" t="s">
        <v>19236</v>
      </c>
      <c r="K1455" s="36" t="s">
        <v>19237</v>
      </c>
      <c r="L1455" s="36" t="s">
        <v>19238</v>
      </c>
      <c r="M1455" s="36" t="s">
        <v>19239</v>
      </c>
      <c r="N1455" s="36" t="s">
        <v>19240</v>
      </c>
      <c r="O1455" s="36" t="s">
        <v>19241</v>
      </c>
      <c r="P1455" s="36" t="s">
        <v>19229</v>
      </c>
    </row>
    <row r="1456" spans="1:16">
      <c r="A1456" s="139">
        <v>1455</v>
      </c>
      <c r="B1456" s="36" t="s">
        <v>19242</v>
      </c>
      <c r="C1456" s="36" t="s">
        <v>19243</v>
      </c>
      <c r="D1456" s="36" t="s">
        <v>19244</v>
      </c>
      <c r="E1456" s="36" t="s">
        <v>19245</v>
      </c>
      <c r="F1456" s="36" t="s">
        <v>19246</v>
      </c>
      <c r="G1456" s="36" t="s">
        <v>19247</v>
      </c>
      <c r="H1456" s="36" t="s">
        <v>19248</v>
      </c>
      <c r="I1456" s="36" t="s">
        <v>19249</v>
      </c>
      <c r="J1456" s="36" t="s">
        <v>19250</v>
      </c>
      <c r="K1456" s="36" t="s">
        <v>19251</v>
      </c>
      <c r="L1456" s="36" t="s">
        <v>19252</v>
      </c>
      <c r="M1456" s="36" t="s">
        <v>19253</v>
      </c>
      <c r="N1456" s="36" t="s">
        <v>19254</v>
      </c>
      <c r="O1456" s="36" t="s">
        <v>19255</v>
      </c>
      <c r="P1456" s="36" t="s">
        <v>19242</v>
      </c>
    </row>
    <row r="1457" spans="1:16">
      <c r="A1457" s="139">
        <v>1456</v>
      </c>
      <c r="B1457" s="36" t="s">
        <v>19256</v>
      </c>
      <c r="C1457" s="36" t="s">
        <v>19257</v>
      </c>
      <c r="D1457" s="36" t="s">
        <v>19258</v>
      </c>
      <c r="E1457" s="36" t="s">
        <v>19259</v>
      </c>
      <c r="F1457" s="36" t="s">
        <v>19260</v>
      </c>
      <c r="G1457" s="36" t="s">
        <v>19261</v>
      </c>
      <c r="H1457" s="36" t="s">
        <v>19262</v>
      </c>
      <c r="I1457" s="36" t="s">
        <v>19263</v>
      </c>
      <c r="J1457" s="36" t="s">
        <v>19264</v>
      </c>
      <c r="K1457" s="36" t="s">
        <v>19265</v>
      </c>
      <c r="L1457" s="36" t="s">
        <v>19266</v>
      </c>
      <c r="M1457" s="36" t="s">
        <v>19267</v>
      </c>
      <c r="N1457" s="36" t="s">
        <v>19268</v>
      </c>
      <c r="O1457" s="36" t="s">
        <v>19269</v>
      </c>
      <c r="P1457" s="36" t="s">
        <v>19256</v>
      </c>
    </row>
    <row r="1458" spans="1:16">
      <c r="A1458" s="139">
        <v>1457</v>
      </c>
      <c r="B1458" s="36" t="s">
        <v>19270</v>
      </c>
      <c r="C1458" s="36" t="s">
        <v>19271</v>
      </c>
      <c r="D1458" s="36" t="s">
        <v>19272</v>
      </c>
      <c r="E1458" s="36" t="s">
        <v>19273</v>
      </c>
      <c r="F1458" s="36" t="s">
        <v>19274</v>
      </c>
      <c r="G1458" s="36" t="s">
        <v>19275</v>
      </c>
      <c r="H1458" s="36" t="s">
        <v>19276</v>
      </c>
      <c r="I1458" s="36" t="s">
        <v>19277</v>
      </c>
      <c r="J1458" s="36" t="s">
        <v>19278</v>
      </c>
      <c r="K1458" s="36" t="s">
        <v>19279</v>
      </c>
      <c r="L1458" s="36" t="s">
        <v>19280</v>
      </c>
      <c r="M1458" s="36" t="s">
        <v>19281</v>
      </c>
      <c r="N1458" s="36" t="s">
        <v>19282</v>
      </c>
      <c r="O1458" s="36" t="s">
        <v>19283</v>
      </c>
      <c r="P1458" s="36" t="s">
        <v>19270</v>
      </c>
    </row>
    <row r="1459" spans="1:16">
      <c r="A1459" s="139">
        <v>1458</v>
      </c>
      <c r="B1459" s="36" t="s">
        <v>19284</v>
      </c>
      <c r="C1459" s="36" t="s">
        <v>19285</v>
      </c>
      <c r="D1459" s="36" t="s">
        <v>19286</v>
      </c>
      <c r="E1459" s="36" t="s">
        <v>19287</v>
      </c>
      <c r="F1459" s="36" t="s">
        <v>19288</v>
      </c>
      <c r="G1459" s="36" t="s">
        <v>19289</v>
      </c>
      <c r="H1459" s="36" t="s">
        <v>19290</v>
      </c>
      <c r="I1459" s="36" t="s">
        <v>19291</v>
      </c>
      <c r="J1459" s="36" t="s">
        <v>19292</v>
      </c>
      <c r="K1459" s="36" t="s">
        <v>19293</v>
      </c>
      <c r="L1459" s="36" t="s">
        <v>19294</v>
      </c>
      <c r="M1459" s="36" t="s">
        <v>19295</v>
      </c>
      <c r="N1459" s="36" t="s">
        <v>19296</v>
      </c>
      <c r="O1459" s="36" t="s">
        <v>19297</v>
      </c>
      <c r="P1459" s="36" t="s">
        <v>19284</v>
      </c>
    </row>
    <row r="1460" spans="1:16">
      <c r="A1460" s="139">
        <v>1459</v>
      </c>
      <c r="B1460" s="36" t="s">
        <v>19298</v>
      </c>
      <c r="C1460" s="36" t="s">
        <v>19299</v>
      </c>
      <c r="D1460" s="36" t="s">
        <v>19300</v>
      </c>
      <c r="E1460" s="36" t="s">
        <v>19301</v>
      </c>
      <c r="F1460" s="36" t="s">
        <v>19302</v>
      </c>
      <c r="G1460" s="36" t="s">
        <v>19303</v>
      </c>
      <c r="H1460" s="36" t="s">
        <v>19304</v>
      </c>
      <c r="I1460" s="36" t="s">
        <v>19305</v>
      </c>
      <c r="J1460" s="36" t="s">
        <v>19306</v>
      </c>
      <c r="K1460" s="36" t="s">
        <v>19307</v>
      </c>
      <c r="L1460" s="36" t="s">
        <v>19308</v>
      </c>
      <c r="M1460" s="36" t="s">
        <v>19309</v>
      </c>
      <c r="N1460" s="36" t="s">
        <v>19310</v>
      </c>
      <c r="O1460" s="36" t="s">
        <v>19311</v>
      </c>
      <c r="P1460" s="36" t="s">
        <v>19312</v>
      </c>
    </row>
    <row r="1461" spans="1:16">
      <c r="A1461" s="139">
        <v>1460</v>
      </c>
      <c r="B1461" s="36" t="s">
        <v>19313</v>
      </c>
      <c r="C1461" s="36" t="s">
        <v>19314</v>
      </c>
      <c r="D1461" s="36" t="s">
        <v>19315</v>
      </c>
      <c r="E1461" s="36" t="s">
        <v>19316</v>
      </c>
      <c r="F1461" s="36" t="s">
        <v>19317</v>
      </c>
      <c r="G1461" s="36" t="s">
        <v>19318</v>
      </c>
      <c r="H1461" s="36" t="s">
        <v>19319</v>
      </c>
      <c r="I1461" s="36" t="s">
        <v>19320</v>
      </c>
      <c r="J1461" s="36" t="s">
        <v>19321</v>
      </c>
      <c r="K1461" s="36" t="s">
        <v>19322</v>
      </c>
      <c r="L1461" s="36" t="s">
        <v>19323</v>
      </c>
      <c r="M1461" s="36" t="s">
        <v>19324</v>
      </c>
      <c r="N1461" s="36" t="s">
        <v>19325</v>
      </c>
      <c r="O1461" s="36" t="s">
        <v>19326</v>
      </c>
      <c r="P1461" s="36" t="s">
        <v>19313</v>
      </c>
    </row>
    <row r="1462" spans="1:16">
      <c r="A1462" s="139">
        <v>1461</v>
      </c>
      <c r="B1462" s="36" t="s">
        <v>19327</v>
      </c>
      <c r="C1462" s="36" t="s">
        <v>19328</v>
      </c>
      <c r="D1462" s="36" t="s">
        <v>19329</v>
      </c>
      <c r="E1462" s="36" t="s">
        <v>19330</v>
      </c>
      <c r="F1462" s="36" t="s">
        <v>19331</v>
      </c>
      <c r="G1462" s="36" t="s">
        <v>19332</v>
      </c>
      <c r="H1462" s="36" t="s">
        <v>19333</v>
      </c>
      <c r="I1462" s="36" t="s">
        <v>19334</v>
      </c>
      <c r="J1462" s="36" t="s">
        <v>19335</v>
      </c>
      <c r="K1462" s="36" t="s">
        <v>19336</v>
      </c>
      <c r="L1462" s="36" t="s">
        <v>19337</v>
      </c>
      <c r="M1462" s="36" t="s">
        <v>19338</v>
      </c>
      <c r="N1462" s="36" t="s">
        <v>19339</v>
      </c>
      <c r="O1462" s="36" t="s">
        <v>19340</v>
      </c>
      <c r="P1462" s="36" t="s">
        <v>19327</v>
      </c>
    </row>
    <row r="1463" spans="1:16">
      <c r="A1463" s="139">
        <v>1462</v>
      </c>
      <c r="B1463" s="36" t="s">
        <v>19341</v>
      </c>
      <c r="C1463" s="36" t="s">
        <v>19342</v>
      </c>
      <c r="D1463" s="36" t="s">
        <v>19343</v>
      </c>
      <c r="E1463" s="36" t="s">
        <v>19344</v>
      </c>
      <c r="F1463" s="36" t="s">
        <v>19345</v>
      </c>
      <c r="G1463" s="36" t="s">
        <v>19346</v>
      </c>
      <c r="H1463" s="36" t="s">
        <v>19347</v>
      </c>
      <c r="I1463" s="36" t="s">
        <v>19348</v>
      </c>
      <c r="J1463" s="36" t="s">
        <v>19349</v>
      </c>
      <c r="K1463" s="36" t="s">
        <v>19350</v>
      </c>
      <c r="L1463" s="36" t="s">
        <v>19351</v>
      </c>
      <c r="M1463" s="36" t="s">
        <v>19352</v>
      </c>
      <c r="N1463" s="36" t="s">
        <v>19353</v>
      </c>
      <c r="O1463" s="36" t="s">
        <v>19354</v>
      </c>
      <c r="P1463" s="36" t="s">
        <v>19341</v>
      </c>
    </row>
    <row r="1464" spans="1:16">
      <c r="A1464" s="139">
        <v>1463</v>
      </c>
      <c r="B1464" s="36" t="s">
        <v>19355</v>
      </c>
      <c r="C1464" s="36" t="s">
        <v>19356</v>
      </c>
      <c r="D1464" s="36" t="s">
        <v>19357</v>
      </c>
      <c r="E1464" s="36" t="s">
        <v>19358</v>
      </c>
      <c r="F1464" s="36" t="s">
        <v>19359</v>
      </c>
      <c r="G1464" s="36" t="s">
        <v>19360</v>
      </c>
      <c r="H1464" s="36" t="s">
        <v>19361</v>
      </c>
      <c r="I1464" s="36" t="s">
        <v>19362</v>
      </c>
      <c r="J1464" s="36" t="s">
        <v>19363</v>
      </c>
      <c r="K1464" s="36" t="s">
        <v>19364</v>
      </c>
      <c r="L1464" s="36" t="s">
        <v>19365</v>
      </c>
      <c r="M1464" s="36" t="s">
        <v>19366</v>
      </c>
      <c r="N1464" s="36" t="s">
        <v>19367</v>
      </c>
      <c r="O1464" s="36" t="s">
        <v>19368</v>
      </c>
      <c r="P1464" s="36" t="s">
        <v>19355</v>
      </c>
    </row>
    <row r="1465" spans="1:16">
      <c r="A1465" s="139">
        <v>1464</v>
      </c>
      <c r="B1465" s="36" t="s">
        <v>19369</v>
      </c>
      <c r="C1465" s="36" t="s">
        <v>19370</v>
      </c>
      <c r="D1465" s="36" t="s">
        <v>19371</v>
      </c>
      <c r="E1465" s="36" t="s">
        <v>19372</v>
      </c>
      <c r="F1465" s="36" t="s">
        <v>19373</v>
      </c>
      <c r="G1465" s="36" t="s">
        <v>19374</v>
      </c>
      <c r="H1465" s="36" t="s">
        <v>19375</v>
      </c>
      <c r="I1465" s="36" t="s">
        <v>19376</v>
      </c>
      <c r="J1465" s="36" t="s">
        <v>19377</v>
      </c>
      <c r="K1465" s="36" t="s">
        <v>19378</v>
      </c>
      <c r="L1465" s="36" t="s">
        <v>19379</v>
      </c>
      <c r="M1465" s="36" t="s">
        <v>19380</v>
      </c>
      <c r="N1465" s="36" t="s">
        <v>19381</v>
      </c>
      <c r="O1465" s="36" t="s">
        <v>19382</v>
      </c>
      <c r="P1465" s="36" t="s">
        <v>19369</v>
      </c>
    </row>
    <row r="1466" spans="1:16">
      <c r="A1466" s="139">
        <v>1465</v>
      </c>
      <c r="B1466" s="36" t="s">
        <v>19383</v>
      </c>
      <c r="C1466" s="36" t="s">
        <v>19384</v>
      </c>
      <c r="D1466" s="36" t="s">
        <v>19385</v>
      </c>
      <c r="E1466" s="36" t="s">
        <v>19386</v>
      </c>
      <c r="F1466" s="36" t="s">
        <v>19387</v>
      </c>
      <c r="G1466" s="36" t="s">
        <v>19388</v>
      </c>
      <c r="H1466" s="36" t="s">
        <v>19389</v>
      </c>
      <c r="I1466" s="36" t="s">
        <v>19390</v>
      </c>
      <c r="J1466" s="36" t="s">
        <v>19391</v>
      </c>
      <c r="K1466" s="36" t="s">
        <v>19392</v>
      </c>
      <c r="L1466" s="36" t="s">
        <v>19393</v>
      </c>
      <c r="M1466" s="36" t="s">
        <v>19394</v>
      </c>
      <c r="N1466" s="36" t="s">
        <v>19395</v>
      </c>
      <c r="O1466" s="36" t="s">
        <v>19396</v>
      </c>
      <c r="P1466" s="36" t="s">
        <v>19383</v>
      </c>
    </row>
    <row r="1467" spans="1:16">
      <c r="A1467" s="139">
        <v>1466</v>
      </c>
      <c r="B1467" s="36" t="s">
        <v>19397</v>
      </c>
      <c r="C1467" s="36" t="s">
        <v>19398</v>
      </c>
      <c r="D1467" s="36" t="s">
        <v>19399</v>
      </c>
      <c r="E1467" s="36" t="s">
        <v>19400</v>
      </c>
      <c r="F1467" s="36" t="s">
        <v>19401</v>
      </c>
      <c r="G1467" s="36" t="s">
        <v>19402</v>
      </c>
      <c r="H1467" s="36" t="s">
        <v>19403</v>
      </c>
      <c r="I1467" s="36" t="s">
        <v>19404</v>
      </c>
      <c r="J1467" s="36" t="s">
        <v>19405</v>
      </c>
      <c r="K1467" s="36" t="s">
        <v>19406</v>
      </c>
      <c r="L1467" s="36" t="s">
        <v>19407</v>
      </c>
      <c r="M1467" s="36" t="s">
        <v>19408</v>
      </c>
      <c r="N1467" s="36" t="s">
        <v>19409</v>
      </c>
      <c r="O1467" s="36" t="s">
        <v>19410</v>
      </c>
      <c r="P1467" s="36" t="s">
        <v>19397</v>
      </c>
    </row>
    <row r="1468" spans="1:16">
      <c r="A1468" s="139">
        <v>1467</v>
      </c>
      <c r="B1468" s="36" t="s">
        <v>19411</v>
      </c>
      <c r="C1468" s="36" t="s">
        <v>19412</v>
      </c>
      <c r="D1468" s="36" t="s">
        <v>19413</v>
      </c>
      <c r="E1468" s="36" t="s">
        <v>19414</v>
      </c>
      <c r="F1468" s="36" t="s">
        <v>19415</v>
      </c>
      <c r="G1468" s="36" t="s">
        <v>19416</v>
      </c>
      <c r="H1468" s="36" t="s">
        <v>19417</v>
      </c>
      <c r="I1468" s="36" t="s">
        <v>19418</v>
      </c>
      <c r="J1468" s="36" t="s">
        <v>19419</v>
      </c>
      <c r="K1468" s="36" t="s">
        <v>19420</v>
      </c>
      <c r="L1468" s="36" t="s">
        <v>19421</v>
      </c>
      <c r="M1468" s="36" t="s">
        <v>19422</v>
      </c>
      <c r="N1468" s="36" t="s">
        <v>19422</v>
      </c>
      <c r="O1468" s="36" t="s">
        <v>19420</v>
      </c>
      <c r="P1468" s="36" t="s">
        <v>19423</v>
      </c>
    </row>
    <row r="1469" spans="1:16">
      <c r="A1469" s="139">
        <v>1468</v>
      </c>
      <c r="B1469" s="36" t="s">
        <v>19424</v>
      </c>
      <c r="C1469" s="36" t="s">
        <v>19425</v>
      </c>
      <c r="D1469" s="36" t="s">
        <v>19426</v>
      </c>
      <c r="E1469" s="36" t="s">
        <v>19427</v>
      </c>
      <c r="F1469" s="36" t="s">
        <v>19428</v>
      </c>
      <c r="G1469" s="36" t="s">
        <v>19429</v>
      </c>
      <c r="H1469" s="36" t="s">
        <v>19430</v>
      </c>
      <c r="I1469" s="36" t="s">
        <v>19431</v>
      </c>
      <c r="J1469" s="36" t="s">
        <v>19432</v>
      </c>
      <c r="K1469" s="36" t="s">
        <v>19433</v>
      </c>
      <c r="L1469" s="36" t="s">
        <v>19434</v>
      </c>
      <c r="M1469" s="36" t="s">
        <v>19435</v>
      </c>
      <c r="N1469" s="36" t="s">
        <v>19435</v>
      </c>
      <c r="O1469" s="36" t="s">
        <v>19433</v>
      </c>
      <c r="P1469" s="36" t="s">
        <v>19436</v>
      </c>
    </row>
    <row r="1470" spans="1:16">
      <c r="A1470" s="139">
        <v>1469</v>
      </c>
      <c r="B1470" s="36" t="s">
        <v>19437</v>
      </c>
      <c r="C1470" s="36" t="s">
        <v>19438</v>
      </c>
      <c r="D1470" s="36" t="s">
        <v>19439</v>
      </c>
      <c r="E1470" s="36" t="s">
        <v>19440</v>
      </c>
      <c r="F1470" s="36" t="s">
        <v>19441</v>
      </c>
      <c r="G1470" s="36" t="s">
        <v>19442</v>
      </c>
      <c r="H1470" s="36" t="s">
        <v>19443</v>
      </c>
      <c r="I1470" s="36" t="s">
        <v>19444</v>
      </c>
      <c r="J1470" s="36" t="s">
        <v>19445</v>
      </c>
      <c r="K1470" s="36" t="s">
        <v>19446</v>
      </c>
      <c r="L1470" s="36" t="s">
        <v>19447</v>
      </c>
      <c r="M1470" s="36" t="s">
        <v>19448</v>
      </c>
      <c r="N1470" s="36" t="s">
        <v>19449</v>
      </c>
      <c r="O1470" s="36" t="s">
        <v>19450</v>
      </c>
      <c r="P1470" s="36" t="s">
        <v>19437</v>
      </c>
    </row>
    <row r="1471" spans="1:16">
      <c r="A1471" s="139">
        <v>1470</v>
      </c>
      <c r="B1471" s="36" t="s">
        <v>19451</v>
      </c>
      <c r="C1471" s="36" t="s">
        <v>19452</v>
      </c>
      <c r="D1471" s="36" t="s">
        <v>19453</v>
      </c>
      <c r="E1471" s="36" t="s">
        <v>19454</v>
      </c>
      <c r="F1471" s="36" t="s">
        <v>19455</v>
      </c>
      <c r="G1471" s="36" t="s">
        <v>19456</v>
      </c>
      <c r="H1471" s="36" t="s">
        <v>19457</v>
      </c>
      <c r="I1471" s="36" t="s">
        <v>19458</v>
      </c>
      <c r="J1471" s="36" t="s">
        <v>19459</v>
      </c>
      <c r="K1471" s="36" t="s">
        <v>19460</v>
      </c>
      <c r="L1471" s="36" t="s">
        <v>19461</v>
      </c>
      <c r="M1471" s="36" t="s">
        <v>19462</v>
      </c>
      <c r="N1471" s="36" t="s">
        <v>19463</v>
      </c>
      <c r="O1471" s="36" t="s">
        <v>19464</v>
      </c>
      <c r="P1471" s="36" t="s">
        <v>19451</v>
      </c>
    </row>
    <row r="1472" spans="1:16">
      <c r="A1472" s="139">
        <v>1471</v>
      </c>
      <c r="B1472" s="36" t="s">
        <v>19465</v>
      </c>
      <c r="C1472" s="36" t="s">
        <v>19466</v>
      </c>
      <c r="D1472" s="36" t="s">
        <v>19467</v>
      </c>
      <c r="E1472" s="36" t="s">
        <v>19468</v>
      </c>
      <c r="F1472" s="36" t="s">
        <v>19469</v>
      </c>
      <c r="G1472" s="36" t="s">
        <v>19470</v>
      </c>
      <c r="H1472" s="36" t="s">
        <v>19471</v>
      </c>
      <c r="I1472" s="36" t="s">
        <v>19472</v>
      </c>
      <c r="J1472" s="36" t="s">
        <v>19473</v>
      </c>
      <c r="K1472" s="36" t="s">
        <v>19474</v>
      </c>
      <c r="L1472" s="36" t="s">
        <v>19475</v>
      </c>
      <c r="M1472" s="36" t="s">
        <v>19476</v>
      </c>
      <c r="N1472" s="36" t="s">
        <v>19477</v>
      </c>
      <c r="O1472" s="36" t="s">
        <v>19478</v>
      </c>
      <c r="P1472" s="36" t="s">
        <v>19465</v>
      </c>
    </row>
    <row r="1473" spans="1:16">
      <c r="A1473" s="139">
        <v>1472</v>
      </c>
      <c r="B1473" s="36" t="s">
        <v>19479</v>
      </c>
      <c r="C1473" s="36" t="s">
        <v>19480</v>
      </c>
      <c r="D1473" s="36" t="s">
        <v>19481</v>
      </c>
      <c r="E1473" s="36" t="s">
        <v>19482</v>
      </c>
      <c r="F1473" s="36" t="s">
        <v>19483</v>
      </c>
      <c r="G1473" s="36" t="s">
        <v>19484</v>
      </c>
      <c r="H1473" s="36" t="s">
        <v>19485</v>
      </c>
      <c r="I1473" s="36" t="s">
        <v>19486</v>
      </c>
      <c r="J1473" s="36" t="s">
        <v>19487</v>
      </c>
      <c r="K1473" s="36" t="s">
        <v>19488</v>
      </c>
      <c r="L1473" s="36" t="s">
        <v>19489</v>
      </c>
      <c r="M1473" s="36" t="s">
        <v>19490</v>
      </c>
      <c r="N1473" s="36" t="s">
        <v>19491</v>
      </c>
      <c r="O1473" s="36" t="s">
        <v>19492</v>
      </c>
      <c r="P1473" s="36" t="s">
        <v>19479</v>
      </c>
    </row>
    <row r="1474" spans="1:16">
      <c r="A1474" s="139">
        <v>1473</v>
      </c>
      <c r="B1474" s="36" t="s">
        <v>19493</v>
      </c>
      <c r="C1474" s="36" t="s">
        <v>19494</v>
      </c>
      <c r="D1474" s="36" t="s">
        <v>19495</v>
      </c>
      <c r="E1474" s="36" t="s">
        <v>19496</v>
      </c>
      <c r="F1474" s="36" t="s">
        <v>19497</v>
      </c>
      <c r="G1474" s="36" t="s">
        <v>19498</v>
      </c>
      <c r="H1474" s="36" t="s">
        <v>19499</v>
      </c>
      <c r="I1474" s="36" t="s">
        <v>19500</v>
      </c>
      <c r="J1474" s="36" t="s">
        <v>19501</v>
      </c>
      <c r="K1474" s="36" t="s">
        <v>19502</v>
      </c>
      <c r="L1474" s="36" t="s">
        <v>19503</v>
      </c>
      <c r="M1474" s="36" t="s">
        <v>19504</v>
      </c>
      <c r="N1474" s="36" t="s">
        <v>19505</v>
      </c>
      <c r="O1474" s="36" t="s">
        <v>19506</v>
      </c>
      <c r="P1474" s="36" t="s">
        <v>19493</v>
      </c>
    </row>
    <row r="1475" spans="1:16">
      <c r="A1475" s="139">
        <v>1474</v>
      </c>
      <c r="B1475" s="36" t="s">
        <v>19507</v>
      </c>
      <c r="C1475" s="36" t="s">
        <v>19508</v>
      </c>
      <c r="D1475" s="36" t="s">
        <v>19509</v>
      </c>
      <c r="E1475" s="36" t="s">
        <v>19510</v>
      </c>
      <c r="F1475" s="36" t="s">
        <v>19511</v>
      </c>
      <c r="G1475" s="36" t="s">
        <v>19512</v>
      </c>
      <c r="H1475" s="36" t="s">
        <v>19513</v>
      </c>
      <c r="I1475" s="36" t="s">
        <v>19514</v>
      </c>
      <c r="J1475" s="36" t="s">
        <v>19515</v>
      </c>
      <c r="K1475" s="36" t="s">
        <v>19516</v>
      </c>
      <c r="L1475" s="36" t="s">
        <v>19517</v>
      </c>
      <c r="M1475" s="36" t="s">
        <v>19518</v>
      </c>
      <c r="N1475" s="36" t="s">
        <v>19519</v>
      </c>
      <c r="O1475" s="36" t="s">
        <v>19520</v>
      </c>
      <c r="P1475" s="36" t="s">
        <v>19507</v>
      </c>
    </row>
    <row r="1476" spans="1:16">
      <c r="A1476" s="139">
        <v>1475</v>
      </c>
      <c r="B1476" s="36" t="s">
        <v>19521</v>
      </c>
      <c r="C1476" s="36" t="s">
        <v>19522</v>
      </c>
      <c r="D1476" s="36" t="s">
        <v>19523</v>
      </c>
      <c r="E1476" s="36" t="s">
        <v>19524</v>
      </c>
      <c r="F1476" s="36" t="s">
        <v>19525</v>
      </c>
      <c r="G1476" s="36" t="s">
        <v>19526</v>
      </c>
      <c r="H1476" s="36" t="s">
        <v>19527</v>
      </c>
      <c r="I1476" s="36" t="s">
        <v>19528</v>
      </c>
      <c r="J1476" s="36" t="s">
        <v>19529</v>
      </c>
      <c r="K1476" s="36" t="s">
        <v>19530</v>
      </c>
      <c r="L1476" s="36" t="s">
        <v>19531</v>
      </c>
      <c r="M1476" s="36" t="s">
        <v>19532</v>
      </c>
      <c r="N1476" s="36" t="s">
        <v>19533</v>
      </c>
      <c r="O1476" s="36" t="s">
        <v>19534</v>
      </c>
      <c r="P1476" s="36" t="s">
        <v>19521</v>
      </c>
    </row>
    <row r="1477" spans="1:16">
      <c r="A1477" s="139">
        <v>1476</v>
      </c>
      <c r="B1477" s="36" t="s">
        <v>19535</v>
      </c>
      <c r="C1477" s="36" t="s">
        <v>19536</v>
      </c>
      <c r="D1477" s="36" t="s">
        <v>19537</v>
      </c>
      <c r="E1477" s="36" t="s">
        <v>19538</v>
      </c>
      <c r="F1477" s="36" t="s">
        <v>19539</v>
      </c>
      <c r="G1477" s="36" t="s">
        <v>19540</v>
      </c>
      <c r="H1477" s="36" t="s">
        <v>19541</v>
      </c>
      <c r="I1477" s="36" t="s">
        <v>19542</v>
      </c>
      <c r="J1477" s="36" t="s">
        <v>19543</v>
      </c>
      <c r="K1477" s="36" t="s">
        <v>19544</v>
      </c>
      <c r="L1477" s="36" t="s">
        <v>19545</v>
      </c>
      <c r="M1477" s="36" t="s">
        <v>19546</v>
      </c>
      <c r="N1477" s="36" t="s">
        <v>19547</v>
      </c>
      <c r="O1477" s="36" t="s">
        <v>19548</v>
      </c>
      <c r="P1477" s="36" t="s">
        <v>19549</v>
      </c>
    </row>
    <row r="1478" spans="1:16">
      <c r="A1478" s="139">
        <v>1477</v>
      </c>
      <c r="B1478" s="36" t="s">
        <v>19550</v>
      </c>
      <c r="C1478" s="36" t="s">
        <v>19551</v>
      </c>
      <c r="D1478" s="36" t="s">
        <v>19552</v>
      </c>
      <c r="E1478" s="36" t="s">
        <v>19553</v>
      </c>
      <c r="F1478" s="36" t="s">
        <v>19554</v>
      </c>
      <c r="G1478" s="36" t="s">
        <v>19555</v>
      </c>
      <c r="H1478" s="36" t="s">
        <v>19556</v>
      </c>
      <c r="I1478" s="36" t="s">
        <v>19557</v>
      </c>
      <c r="J1478" s="36" t="s">
        <v>19558</v>
      </c>
      <c r="K1478" s="36" t="s">
        <v>19559</v>
      </c>
      <c r="L1478" s="36" t="s">
        <v>19560</v>
      </c>
      <c r="M1478" s="36" t="s">
        <v>19561</v>
      </c>
      <c r="N1478" s="36" t="s">
        <v>19562</v>
      </c>
      <c r="O1478" s="36" t="s">
        <v>19563</v>
      </c>
      <c r="P1478" s="36" t="s">
        <v>19550</v>
      </c>
    </row>
    <row r="1479" spans="1:16" ht="13.95" customHeight="1">
      <c r="A1479" s="139">
        <v>1478</v>
      </c>
      <c r="B1479" s="36" t="s">
        <v>19564</v>
      </c>
      <c r="C1479" s="36" t="s">
        <v>19565</v>
      </c>
      <c r="D1479" s="36" t="s">
        <v>19566</v>
      </c>
      <c r="E1479" s="36" t="s">
        <v>19567</v>
      </c>
      <c r="F1479" s="36" t="s">
        <v>19568</v>
      </c>
      <c r="G1479" s="36" t="s">
        <v>19569</v>
      </c>
      <c r="H1479" s="36" t="s">
        <v>19570</v>
      </c>
      <c r="I1479" s="36" t="s">
        <v>19571</v>
      </c>
      <c r="J1479" s="36" t="s">
        <v>19572</v>
      </c>
      <c r="K1479" s="36" t="s">
        <v>19573</v>
      </c>
      <c r="L1479" s="36" t="s">
        <v>19574</v>
      </c>
      <c r="M1479" s="36" t="s">
        <v>19575</v>
      </c>
      <c r="N1479" s="36" t="s">
        <v>19576</v>
      </c>
      <c r="O1479" s="36" t="s">
        <v>19577</v>
      </c>
      <c r="P1479" s="36" t="s">
        <v>19564</v>
      </c>
    </row>
    <row r="1480" spans="1:16" ht="13.95" customHeight="1">
      <c r="A1480" s="139">
        <v>1479</v>
      </c>
      <c r="B1480" s="36" t="s">
        <v>19578</v>
      </c>
      <c r="C1480" s="36" t="s">
        <v>19579</v>
      </c>
      <c r="D1480" s="36" t="s">
        <v>19580</v>
      </c>
      <c r="E1480" s="36" t="s">
        <v>19581</v>
      </c>
      <c r="F1480" s="36" t="s">
        <v>19582</v>
      </c>
      <c r="G1480" s="36" t="s">
        <v>19583</v>
      </c>
      <c r="H1480" s="36" t="s">
        <v>19584</v>
      </c>
      <c r="I1480" s="36" t="s">
        <v>19585</v>
      </c>
      <c r="J1480" s="36" t="s">
        <v>19586</v>
      </c>
      <c r="K1480" s="36" t="s">
        <v>19587</v>
      </c>
      <c r="L1480" s="36" t="s">
        <v>19588</v>
      </c>
      <c r="M1480" s="36" t="s">
        <v>19589</v>
      </c>
      <c r="N1480" s="36" t="s">
        <v>19590</v>
      </c>
      <c r="O1480" s="36" t="s">
        <v>19591</v>
      </c>
      <c r="P1480" s="36" t="s">
        <v>19578</v>
      </c>
    </row>
    <row r="1481" spans="1:16" ht="13.95" customHeight="1">
      <c r="A1481" s="139">
        <v>1480</v>
      </c>
      <c r="B1481" s="36" t="s">
        <v>19592</v>
      </c>
      <c r="C1481" s="36" t="s">
        <v>19593</v>
      </c>
      <c r="D1481" s="36" t="s">
        <v>19594</v>
      </c>
      <c r="E1481" s="36" t="s">
        <v>19595</v>
      </c>
      <c r="F1481" s="36" t="s">
        <v>4168</v>
      </c>
      <c r="G1481" s="36" t="s">
        <v>19596</v>
      </c>
      <c r="H1481" s="36" t="s">
        <v>4170</v>
      </c>
      <c r="I1481" s="36" t="s">
        <v>19597</v>
      </c>
      <c r="J1481" s="36" t="s">
        <v>4171</v>
      </c>
      <c r="K1481" s="36" t="s">
        <v>19598</v>
      </c>
      <c r="L1481" s="36" t="s">
        <v>4173</v>
      </c>
      <c r="M1481" s="36" t="s">
        <v>4173</v>
      </c>
      <c r="N1481" s="36" t="s">
        <v>4173</v>
      </c>
      <c r="O1481" s="36" t="s">
        <v>4174</v>
      </c>
      <c r="P1481" s="36" t="s">
        <v>19592</v>
      </c>
    </row>
    <row r="1482" spans="1:16" ht="13.95" customHeight="1">
      <c r="A1482" s="139">
        <v>1481</v>
      </c>
      <c r="B1482" s="36" t="s">
        <v>19599</v>
      </c>
      <c r="C1482" s="36" t="s">
        <v>19600</v>
      </c>
      <c r="D1482" s="36" t="s">
        <v>19601</v>
      </c>
      <c r="E1482" s="36" t="s">
        <v>19602</v>
      </c>
      <c r="F1482" s="36" t="s">
        <v>19603</v>
      </c>
      <c r="G1482" s="36" t="s">
        <v>19604</v>
      </c>
      <c r="H1482" s="36" t="s">
        <v>19605</v>
      </c>
      <c r="I1482" s="36" t="s">
        <v>19606</v>
      </c>
      <c r="J1482" s="36" t="s">
        <v>19607</v>
      </c>
      <c r="K1482" s="36" t="s">
        <v>19608</v>
      </c>
      <c r="L1482" s="36" t="s">
        <v>19609</v>
      </c>
      <c r="M1482" s="36" t="s">
        <v>19610</v>
      </c>
      <c r="N1482" s="36" t="s">
        <v>19611</v>
      </c>
      <c r="O1482" s="36" t="s">
        <v>19612</v>
      </c>
      <c r="P1482" s="36" t="s">
        <v>19599</v>
      </c>
    </row>
    <row r="1483" spans="1:16" ht="13.95" customHeight="1">
      <c r="A1483" s="139">
        <v>1482</v>
      </c>
      <c r="B1483" s="36" t="s">
        <v>19613</v>
      </c>
      <c r="C1483" s="36" t="s">
        <v>19614</v>
      </c>
      <c r="D1483" s="36" t="s">
        <v>19615</v>
      </c>
      <c r="E1483" s="36" t="s">
        <v>19616</v>
      </c>
      <c r="F1483" s="36" t="s">
        <v>19617</v>
      </c>
      <c r="G1483" s="36" t="s">
        <v>19618</v>
      </c>
      <c r="H1483" s="36" t="s">
        <v>19619</v>
      </c>
      <c r="I1483" s="36" t="s">
        <v>19620</v>
      </c>
      <c r="J1483" s="36" t="s">
        <v>19621</v>
      </c>
      <c r="K1483" s="36" t="s">
        <v>19622</v>
      </c>
      <c r="L1483" s="36" t="s">
        <v>19623</v>
      </c>
      <c r="M1483" s="36" t="s">
        <v>19624</v>
      </c>
      <c r="N1483" s="36" t="s">
        <v>19625</v>
      </c>
      <c r="O1483" s="36" t="s">
        <v>19626</v>
      </c>
      <c r="P1483" s="36" t="s">
        <v>19613</v>
      </c>
    </row>
    <row r="1484" spans="1:16">
      <c r="A1484" s="139">
        <v>1483</v>
      </c>
      <c r="B1484" s="36" t="s">
        <v>19627</v>
      </c>
      <c r="C1484" s="36" t="s">
        <v>19628</v>
      </c>
      <c r="D1484" s="36" t="s">
        <v>19629</v>
      </c>
      <c r="E1484" s="36" t="s">
        <v>19630</v>
      </c>
      <c r="F1484" s="36" t="s">
        <v>19631</v>
      </c>
      <c r="G1484" s="36" t="s">
        <v>19632</v>
      </c>
      <c r="H1484" s="36" t="s">
        <v>19633</v>
      </c>
      <c r="I1484" s="36" t="s">
        <v>19634</v>
      </c>
      <c r="J1484" s="36" t="s">
        <v>19635</v>
      </c>
      <c r="K1484" s="36" t="s">
        <v>19636</v>
      </c>
      <c r="L1484" s="36" t="s">
        <v>19637</v>
      </c>
      <c r="M1484" s="36" t="s">
        <v>19638</v>
      </c>
      <c r="N1484" s="36" t="s">
        <v>19639</v>
      </c>
      <c r="O1484" s="36" t="s">
        <v>19640</v>
      </c>
      <c r="P1484" s="36" t="s">
        <v>19627</v>
      </c>
    </row>
    <row r="1485" spans="1:16">
      <c r="A1485" s="139">
        <v>1484</v>
      </c>
      <c r="B1485" s="36" t="s">
        <v>19641</v>
      </c>
      <c r="C1485" s="36" t="s">
        <v>19642</v>
      </c>
      <c r="D1485" s="36" t="s">
        <v>19643</v>
      </c>
      <c r="E1485" s="36" t="s">
        <v>19644</v>
      </c>
      <c r="F1485" s="36" t="s">
        <v>19645</v>
      </c>
      <c r="G1485" s="36" t="s">
        <v>19646</v>
      </c>
      <c r="H1485" s="36" t="s">
        <v>19647</v>
      </c>
      <c r="I1485" s="36" t="s">
        <v>19648</v>
      </c>
      <c r="J1485" s="36" t="s">
        <v>19649</v>
      </c>
      <c r="K1485" s="36" t="s">
        <v>19650</v>
      </c>
      <c r="L1485" s="36" t="s">
        <v>19651</v>
      </c>
      <c r="M1485" s="36" t="s">
        <v>19652</v>
      </c>
      <c r="N1485" s="36" t="s">
        <v>19653</v>
      </c>
      <c r="O1485" s="36" t="s">
        <v>19654</v>
      </c>
      <c r="P1485" s="36" t="s">
        <v>19641</v>
      </c>
    </row>
    <row r="1486" spans="1:16">
      <c r="A1486" s="139">
        <v>1485</v>
      </c>
      <c r="B1486" s="36" t="s">
        <v>19655</v>
      </c>
      <c r="C1486" s="36" t="s">
        <v>19656</v>
      </c>
      <c r="D1486" s="36" t="s">
        <v>19657</v>
      </c>
      <c r="E1486" s="36" t="s">
        <v>19658</v>
      </c>
      <c r="F1486" s="36" t="s">
        <v>19659</v>
      </c>
      <c r="G1486" s="36" t="s">
        <v>19660</v>
      </c>
      <c r="H1486" s="36" t="s">
        <v>19661</v>
      </c>
      <c r="I1486" s="36" t="s">
        <v>19662</v>
      </c>
      <c r="J1486" s="36" t="s">
        <v>19663</v>
      </c>
      <c r="K1486" s="36" t="s">
        <v>19664</v>
      </c>
      <c r="L1486" s="36" t="s">
        <v>19665</v>
      </c>
      <c r="M1486" s="36" t="s">
        <v>19666</v>
      </c>
      <c r="N1486" s="36" t="s">
        <v>19667</v>
      </c>
      <c r="O1486" s="36" t="s">
        <v>19668</v>
      </c>
      <c r="P1486" s="36" t="s">
        <v>19655</v>
      </c>
    </row>
    <row r="1487" spans="1:16">
      <c r="A1487" s="139">
        <v>1486</v>
      </c>
      <c r="B1487" s="36" t="s">
        <v>19669</v>
      </c>
      <c r="C1487" s="36" t="s">
        <v>19670</v>
      </c>
      <c r="D1487" s="36" t="s">
        <v>19671</v>
      </c>
      <c r="E1487" s="36" t="s">
        <v>19672</v>
      </c>
      <c r="F1487" s="36" t="s">
        <v>19673</v>
      </c>
      <c r="G1487" s="36" t="s">
        <v>19674</v>
      </c>
      <c r="H1487" s="36" t="s">
        <v>19675</v>
      </c>
      <c r="I1487" s="36" t="s">
        <v>19676</v>
      </c>
      <c r="J1487" s="36" t="s">
        <v>19677</v>
      </c>
      <c r="K1487" s="36" t="s">
        <v>7814</v>
      </c>
      <c r="L1487" s="36" t="s">
        <v>19678</v>
      </c>
      <c r="M1487" s="36" t="s">
        <v>19679</v>
      </c>
      <c r="N1487" s="36" t="s">
        <v>19680</v>
      </c>
      <c r="O1487" s="36" t="s">
        <v>19681</v>
      </c>
      <c r="P1487" s="36" t="s">
        <v>19669</v>
      </c>
    </row>
    <row r="1488" spans="1:16">
      <c r="A1488" s="139">
        <v>1487</v>
      </c>
      <c r="B1488" s="36" t="s">
        <v>19682</v>
      </c>
      <c r="C1488" s="36" t="s">
        <v>19683</v>
      </c>
      <c r="D1488" s="36" t="s">
        <v>19684</v>
      </c>
      <c r="E1488" s="36" t="s">
        <v>19685</v>
      </c>
      <c r="F1488" s="36" t="s">
        <v>19686</v>
      </c>
      <c r="G1488" s="36" t="s">
        <v>19687</v>
      </c>
      <c r="H1488" s="36" t="s">
        <v>19688</v>
      </c>
      <c r="I1488" s="36" t="s">
        <v>19686</v>
      </c>
      <c r="J1488" s="36" t="s">
        <v>19689</v>
      </c>
      <c r="K1488" s="36" t="s">
        <v>19690</v>
      </c>
      <c r="L1488" s="36" t="s">
        <v>19691</v>
      </c>
      <c r="M1488" s="36" t="s">
        <v>19691</v>
      </c>
      <c r="N1488" s="36" t="s">
        <v>19692</v>
      </c>
      <c r="O1488" s="36" t="s">
        <v>19693</v>
      </c>
      <c r="P1488" s="36" t="s">
        <v>19682</v>
      </c>
    </row>
    <row r="1489" spans="1:16">
      <c r="A1489" s="139">
        <v>1488</v>
      </c>
      <c r="B1489" s="36" t="s">
        <v>19694</v>
      </c>
      <c r="C1489" s="36" t="s">
        <v>19695</v>
      </c>
      <c r="D1489" s="36" t="s">
        <v>19696</v>
      </c>
      <c r="E1489" s="36" t="s">
        <v>19697</v>
      </c>
      <c r="F1489" s="36" t="s">
        <v>19698</v>
      </c>
      <c r="G1489" s="36" t="s">
        <v>19699</v>
      </c>
      <c r="H1489" s="36" t="s">
        <v>19700</v>
      </c>
      <c r="I1489" s="36" t="s">
        <v>19701</v>
      </c>
      <c r="J1489" s="36" t="s">
        <v>19702</v>
      </c>
      <c r="K1489" s="36" t="s">
        <v>19703</v>
      </c>
      <c r="L1489" s="36" t="s">
        <v>19704</v>
      </c>
      <c r="M1489" s="36" t="s">
        <v>19705</v>
      </c>
      <c r="N1489" s="36" t="s">
        <v>19706</v>
      </c>
      <c r="O1489" s="36" t="s">
        <v>19707</v>
      </c>
      <c r="P1489" s="36" t="s">
        <v>19694</v>
      </c>
    </row>
    <row r="1490" spans="1:16">
      <c r="A1490" s="139">
        <v>1489</v>
      </c>
      <c r="B1490" s="36" t="s">
        <v>19708</v>
      </c>
      <c r="C1490" s="36" t="s">
        <v>19709</v>
      </c>
      <c r="D1490" s="36" t="s">
        <v>19710</v>
      </c>
      <c r="E1490" s="36" t="s">
        <v>19711</v>
      </c>
      <c r="F1490" s="36" t="s">
        <v>19712</v>
      </c>
      <c r="G1490" s="36" t="s">
        <v>19713</v>
      </c>
      <c r="H1490" s="36" t="s">
        <v>19714</v>
      </c>
      <c r="I1490" s="36" t="s">
        <v>19715</v>
      </c>
      <c r="J1490" s="36" t="s">
        <v>19716</v>
      </c>
      <c r="K1490" s="36" t="s">
        <v>19717</v>
      </c>
      <c r="L1490" s="36" t="s">
        <v>19718</v>
      </c>
      <c r="M1490" s="36" t="s">
        <v>19719</v>
      </c>
      <c r="N1490" s="36" t="s">
        <v>19720</v>
      </c>
      <c r="O1490" s="36" t="s">
        <v>19721</v>
      </c>
      <c r="P1490" s="36" t="s">
        <v>19722</v>
      </c>
    </row>
    <row r="1491" spans="1:16">
      <c r="A1491" s="139">
        <v>1490</v>
      </c>
      <c r="B1491" s="36" t="s">
        <v>19723</v>
      </c>
      <c r="C1491" s="36" t="s">
        <v>19724</v>
      </c>
      <c r="D1491" s="36" t="s">
        <v>19725</v>
      </c>
      <c r="E1491" s="36" t="s">
        <v>19726</v>
      </c>
      <c r="F1491" s="36" t="s">
        <v>19727</v>
      </c>
      <c r="G1491" s="36" t="s">
        <v>19728</v>
      </c>
      <c r="H1491" s="36" t="s">
        <v>19729</v>
      </c>
      <c r="I1491" s="36" t="s">
        <v>19730</v>
      </c>
      <c r="J1491" s="36" t="s">
        <v>19731</v>
      </c>
      <c r="K1491" s="36" t="s">
        <v>19732</v>
      </c>
      <c r="L1491" s="36" t="s">
        <v>19733</v>
      </c>
      <c r="M1491" s="36" t="s">
        <v>19734</v>
      </c>
      <c r="N1491" s="36" t="s">
        <v>19735</v>
      </c>
      <c r="O1491" s="36" t="s">
        <v>19736</v>
      </c>
      <c r="P1491" s="36" t="s">
        <v>19723</v>
      </c>
    </row>
    <row r="1492" spans="1:16">
      <c r="A1492" s="139">
        <v>1491</v>
      </c>
      <c r="B1492" s="36" t="s">
        <v>19737</v>
      </c>
      <c r="C1492" s="36" t="s">
        <v>19738</v>
      </c>
      <c r="D1492" s="36" t="s">
        <v>19739</v>
      </c>
      <c r="E1492" s="36" t="s">
        <v>19740</v>
      </c>
      <c r="F1492" s="36" t="s">
        <v>13730</v>
      </c>
      <c r="G1492" s="36" t="s">
        <v>13730</v>
      </c>
      <c r="H1492" s="36" t="s">
        <v>19741</v>
      </c>
      <c r="I1492" s="36" t="s">
        <v>19742</v>
      </c>
      <c r="J1492" s="36" t="s">
        <v>19743</v>
      </c>
      <c r="K1492" s="36" t="s">
        <v>19744</v>
      </c>
      <c r="L1492" s="36" t="s">
        <v>19745</v>
      </c>
      <c r="M1492" s="36" t="s">
        <v>19746</v>
      </c>
      <c r="N1492" s="36" t="s">
        <v>19746</v>
      </c>
      <c r="O1492" s="36" t="s">
        <v>13737</v>
      </c>
      <c r="P1492" s="36" t="s">
        <v>19737</v>
      </c>
    </row>
    <row r="1493" spans="1:16">
      <c r="A1493" s="139">
        <v>1492</v>
      </c>
      <c r="B1493" s="36" t="s">
        <v>18612</v>
      </c>
      <c r="C1493" s="36" t="s">
        <v>18613</v>
      </c>
      <c r="D1493" s="36" t="s">
        <v>18614</v>
      </c>
      <c r="E1493" s="36" t="s">
        <v>18615</v>
      </c>
      <c r="F1493" s="36" t="s">
        <v>18616</v>
      </c>
      <c r="G1493" s="36" t="s">
        <v>18617</v>
      </c>
      <c r="H1493" s="36" t="s">
        <v>18618</v>
      </c>
      <c r="I1493" s="36" t="s">
        <v>18619</v>
      </c>
      <c r="J1493" s="36" t="s">
        <v>18620</v>
      </c>
      <c r="K1493" s="36" t="s">
        <v>18621</v>
      </c>
      <c r="L1493" s="36" t="s">
        <v>18622</v>
      </c>
      <c r="M1493" s="36" t="s">
        <v>18623</v>
      </c>
      <c r="N1493" s="36" t="s">
        <v>18624</v>
      </c>
      <c r="O1493" s="36" t="s">
        <v>18625</v>
      </c>
      <c r="P1493" s="36" t="s">
        <v>18612</v>
      </c>
    </row>
    <row r="1494" spans="1:16">
      <c r="A1494" s="139">
        <v>1493</v>
      </c>
      <c r="B1494" s="36" t="s">
        <v>19747</v>
      </c>
      <c r="C1494" s="36" t="s">
        <v>19748</v>
      </c>
      <c r="D1494" s="36" t="s">
        <v>19749</v>
      </c>
      <c r="E1494" s="36" t="s">
        <v>19750</v>
      </c>
      <c r="F1494" s="36" t="s">
        <v>19751</v>
      </c>
      <c r="G1494" s="36" t="s">
        <v>19752</v>
      </c>
      <c r="H1494" s="36" t="s">
        <v>19753</v>
      </c>
      <c r="I1494" s="36" t="s">
        <v>19754</v>
      </c>
      <c r="J1494" s="36" t="s">
        <v>19755</v>
      </c>
      <c r="K1494" s="36" t="s">
        <v>19756</v>
      </c>
      <c r="L1494" s="36" t="s">
        <v>19757</v>
      </c>
      <c r="M1494" s="36" t="s">
        <v>19758</v>
      </c>
      <c r="N1494" s="36" t="s">
        <v>19759</v>
      </c>
      <c r="O1494" s="36" t="s">
        <v>19760</v>
      </c>
      <c r="P1494" s="36" t="s">
        <v>19747</v>
      </c>
    </row>
    <row r="1495" spans="1:16">
      <c r="A1495" s="139">
        <v>1494</v>
      </c>
      <c r="B1495" s="36" t="s">
        <v>19761</v>
      </c>
      <c r="C1495" s="36" t="s">
        <v>19762</v>
      </c>
      <c r="D1495" s="36" t="s">
        <v>19763</v>
      </c>
      <c r="E1495" s="36" t="s">
        <v>19764</v>
      </c>
      <c r="F1495" s="36" t="s">
        <v>19765</v>
      </c>
      <c r="G1495" s="36" t="s">
        <v>19766</v>
      </c>
      <c r="H1495" s="36" t="s">
        <v>19767</v>
      </c>
      <c r="I1495" s="36" t="s">
        <v>19768</v>
      </c>
      <c r="J1495" s="36" t="s">
        <v>19769</v>
      </c>
      <c r="K1495" s="36" t="s">
        <v>19770</v>
      </c>
      <c r="L1495" s="36" t="s">
        <v>19771</v>
      </c>
      <c r="M1495" s="36" t="s">
        <v>19772</v>
      </c>
      <c r="N1495" s="36" t="s">
        <v>19773</v>
      </c>
      <c r="O1495" s="36" t="s">
        <v>19774</v>
      </c>
      <c r="P1495" s="36" t="s">
        <v>19761</v>
      </c>
    </row>
    <row r="1496" spans="1:16">
      <c r="A1496" s="139">
        <v>1495</v>
      </c>
      <c r="B1496" s="36" t="s">
        <v>19775</v>
      </c>
      <c r="C1496" s="36" t="s">
        <v>19776</v>
      </c>
      <c r="D1496" s="36" t="s">
        <v>19777</v>
      </c>
      <c r="E1496" s="36" t="s">
        <v>19778</v>
      </c>
      <c r="F1496" s="36" t="s">
        <v>19779</v>
      </c>
      <c r="G1496" s="36" t="s">
        <v>19780</v>
      </c>
      <c r="H1496" s="36" t="s">
        <v>19781</v>
      </c>
      <c r="I1496" s="36" t="s">
        <v>19782</v>
      </c>
      <c r="J1496" s="36" t="s">
        <v>19783</v>
      </c>
      <c r="K1496" s="36" t="s">
        <v>19784</v>
      </c>
      <c r="L1496" s="36" t="s">
        <v>19785</v>
      </c>
      <c r="M1496" s="36" t="s">
        <v>19786</v>
      </c>
      <c r="N1496" s="36" t="s">
        <v>19787</v>
      </c>
      <c r="O1496" s="36" t="s">
        <v>19788</v>
      </c>
      <c r="P1496" s="36" t="s">
        <v>19775</v>
      </c>
    </row>
    <row r="1497" spans="1:16">
      <c r="A1497" s="139">
        <v>1496</v>
      </c>
      <c r="B1497" s="36" t="s">
        <v>19789</v>
      </c>
      <c r="C1497" s="36" t="s">
        <v>19790</v>
      </c>
      <c r="D1497" s="36" t="s">
        <v>19791</v>
      </c>
      <c r="E1497" s="36" t="s">
        <v>19792</v>
      </c>
      <c r="F1497" s="36" t="s">
        <v>19793</v>
      </c>
      <c r="G1497" s="36" t="s">
        <v>19794</v>
      </c>
      <c r="H1497" s="36" t="s">
        <v>19795</v>
      </c>
      <c r="I1497" s="36" t="s">
        <v>19796</v>
      </c>
      <c r="J1497" s="36" t="s">
        <v>19797</v>
      </c>
      <c r="K1497" s="36" t="s">
        <v>19798</v>
      </c>
      <c r="L1497" s="36" t="s">
        <v>19799</v>
      </c>
      <c r="M1497" s="36" t="s">
        <v>19800</v>
      </c>
      <c r="N1497" s="36" t="s">
        <v>19801</v>
      </c>
      <c r="O1497" s="36" t="s">
        <v>19802</v>
      </c>
      <c r="P1497" s="36" t="s">
        <v>19789</v>
      </c>
    </row>
    <row r="1498" spans="1:16">
      <c r="A1498" s="139">
        <v>1497</v>
      </c>
      <c r="B1498" s="36" t="s">
        <v>19803</v>
      </c>
      <c r="C1498" s="36" t="s">
        <v>19804</v>
      </c>
      <c r="D1498" s="36" t="s">
        <v>19805</v>
      </c>
      <c r="E1498" s="36" t="s">
        <v>19806</v>
      </c>
      <c r="F1498" s="36" t="s">
        <v>19807</v>
      </c>
      <c r="G1498" s="36" t="s">
        <v>19808</v>
      </c>
      <c r="H1498" s="36" t="s">
        <v>19809</v>
      </c>
      <c r="I1498" s="36" t="s">
        <v>19810</v>
      </c>
      <c r="J1498" s="36" t="s">
        <v>19811</v>
      </c>
      <c r="K1498" s="36" t="s">
        <v>19812</v>
      </c>
      <c r="L1498" s="36" t="s">
        <v>19813</v>
      </c>
      <c r="M1498" s="36" t="s">
        <v>19814</v>
      </c>
      <c r="N1498" s="36" t="s">
        <v>19815</v>
      </c>
      <c r="O1498" s="36" t="s">
        <v>19816</v>
      </c>
      <c r="P1498" s="36" t="s">
        <v>19803</v>
      </c>
    </row>
    <row r="1499" spans="1:16">
      <c r="A1499" s="139">
        <v>1498</v>
      </c>
      <c r="B1499" s="36" t="s">
        <v>19817</v>
      </c>
      <c r="C1499" s="36" t="s">
        <v>19818</v>
      </c>
      <c r="D1499" s="36" t="s">
        <v>19819</v>
      </c>
      <c r="E1499" s="36" t="s">
        <v>19820</v>
      </c>
      <c r="F1499" s="36" t="s">
        <v>19821</v>
      </c>
      <c r="G1499" s="36" t="s">
        <v>19822</v>
      </c>
      <c r="H1499" s="36" t="s">
        <v>19823</v>
      </c>
      <c r="I1499" s="36" t="s">
        <v>19824</v>
      </c>
      <c r="J1499" s="36" t="s">
        <v>19825</v>
      </c>
      <c r="K1499" s="36" t="s">
        <v>19826</v>
      </c>
      <c r="L1499" s="36" t="s">
        <v>19827</v>
      </c>
      <c r="M1499" s="36" t="s">
        <v>19828</v>
      </c>
      <c r="N1499" s="36" t="s">
        <v>19829</v>
      </c>
      <c r="O1499" s="36" t="s">
        <v>19830</v>
      </c>
      <c r="P1499" s="36" t="s">
        <v>19817</v>
      </c>
    </row>
    <row r="1500" spans="1:16">
      <c r="A1500" s="139">
        <v>1499</v>
      </c>
      <c r="B1500" s="36" t="s">
        <v>19831</v>
      </c>
      <c r="C1500" s="36" t="s">
        <v>19832</v>
      </c>
      <c r="D1500" s="36" t="s">
        <v>19833</v>
      </c>
      <c r="E1500" s="36" t="s">
        <v>19834</v>
      </c>
      <c r="F1500" s="36" t="s">
        <v>19835</v>
      </c>
      <c r="G1500" s="36" t="s">
        <v>19836</v>
      </c>
      <c r="H1500" s="36" t="s">
        <v>19837</v>
      </c>
      <c r="I1500" s="36" t="s">
        <v>19838</v>
      </c>
      <c r="J1500" s="36" t="s">
        <v>19839</v>
      </c>
      <c r="K1500" s="36" t="s">
        <v>19840</v>
      </c>
      <c r="L1500" s="36" t="s">
        <v>19841</v>
      </c>
      <c r="M1500" s="36" t="s">
        <v>19842</v>
      </c>
      <c r="N1500" s="36" t="s">
        <v>19843</v>
      </c>
      <c r="O1500" s="36" t="s">
        <v>19844</v>
      </c>
      <c r="P1500" s="36" t="s">
        <v>19831</v>
      </c>
    </row>
    <row r="1501" spans="1:16">
      <c r="A1501" s="139">
        <v>1500</v>
      </c>
      <c r="B1501" s="36" t="s">
        <v>19845</v>
      </c>
      <c r="C1501" s="36" t="s">
        <v>19846</v>
      </c>
      <c r="D1501" s="36" t="s">
        <v>19847</v>
      </c>
      <c r="E1501" s="36" t="s">
        <v>19848</v>
      </c>
      <c r="F1501" s="36" t="s">
        <v>19849</v>
      </c>
      <c r="G1501" s="36" t="s">
        <v>19850</v>
      </c>
      <c r="H1501" s="36" t="s">
        <v>19851</v>
      </c>
      <c r="I1501" s="36" t="s">
        <v>19852</v>
      </c>
      <c r="J1501" s="36" t="s">
        <v>19853</v>
      </c>
      <c r="K1501" s="36" t="s">
        <v>19854</v>
      </c>
      <c r="L1501" s="36" t="s">
        <v>19855</v>
      </c>
      <c r="M1501" s="36" t="s">
        <v>19856</v>
      </c>
      <c r="N1501" s="36" t="s">
        <v>19857</v>
      </c>
      <c r="O1501" s="36" t="s">
        <v>19858</v>
      </c>
      <c r="P1501" s="36" t="s">
        <v>19845</v>
      </c>
    </row>
    <row r="1502" spans="1:16">
      <c r="A1502" s="139">
        <v>1501</v>
      </c>
      <c r="B1502" s="36" t="s">
        <v>19859</v>
      </c>
      <c r="C1502" s="36" t="s">
        <v>19860</v>
      </c>
      <c r="D1502" s="36" t="s">
        <v>19861</v>
      </c>
      <c r="E1502" s="36" t="s">
        <v>19862</v>
      </c>
      <c r="F1502" s="36" t="s">
        <v>19863</v>
      </c>
      <c r="G1502" s="36" t="s">
        <v>19864</v>
      </c>
      <c r="H1502" s="36" t="s">
        <v>19865</v>
      </c>
      <c r="I1502" s="36" t="s">
        <v>19866</v>
      </c>
      <c r="J1502" s="36" t="s">
        <v>19867</v>
      </c>
      <c r="K1502" s="36" t="s">
        <v>19868</v>
      </c>
      <c r="L1502" s="36" t="s">
        <v>19869</v>
      </c>
      <c r="M1502" s="36" t="s">
        <v>19870</v>
      </c>
      <c r="N1502" s="36" t="s">
        <v>19871</v>
      </c>
      <c r="O1502" s="36" t="s">
        <v>19872</v>
      </c>
      <c r="P1502" s="36" t="s">
        <v>19859</v>
      </c>
    </row>
    <row r="1503" spans="1:16">
      <c r="A1503" s="139">
        <v>1502</v>
      </c>
      <c r="B1503" s="36" t="s">
        <v>19873</v>
      </c>
      <c r="C1503" s="36" t="s">
        <v>19874</v>
      </c>
      <c r="D1503" s="36" t="s">
        <v>19875</v>
      </c>
      <c r="E1503" s="36" t="s">
        <v>19876</v>
      </c>
      <c r="F1503" s="36" t="s">
        <v>19877</v>
      </c>
      <c r="G1503" s="36" t="s">
        <v>19878</v>
      </c>
      <c r="H1503" s="36" t="s">
        <v>19879</v>
      </c>
      <c r="I1503" s="36" t="s">
        <v>19880</v>
      </c>
      <c r="J1503" s="36" t="s">
        <v>19881</v>
      </c>
      <c r="K1503" s="36" t="s">
        <v>19882</v>
      </c>
      <c r="L1503" s="36" t="s">
        <v>19883</v>
      </c>
      <c r="M1503" s="36" t="s">
        <v>19884</v>
      </c>
      <c r="N1503" s="36" t="s">
        <v>19885</v>
      </c>
      <c r="O1503" s="36" t="s">
        <v>19886</v>
      </c>
      <c r="P1503" s="36" t="s">
        <v>19873</v>
      </c>
    </row>
    <row r="1504" spans="1:16">
      <c r="A1504" s="139">
        <v>1503</v>
      </c>
      <c r="B1504" s="36" t="s">
        <v>19887</v>
      </c>
      <c r="C1504" s="36" t="s">
        <v>19888</v>
      </c>
      <c r="D1504" s="36" t="s">
        <v>19889</v>
      </c>
      <c r="E1504" s="36" t="s">
        <v>19890</v>
      </c>
      <c r="F1504" s="36" t="s">
        <v>19891</v>
      </c>
      <c r="G1504" s="36" t="s">
        <v>19892</v>
      </c>
      <c r="H1504" s="36" t="s">
        <v>19893</v>
      </c>
      <c r="I1504" s="36" t="s">
        <v>19894</v>
      </c>
      <c r="J1504" s="36" t="s">
        <v>19895</v>
      </c>
      <c r="K1504" s="36" t="s">
        <v>19896</v>
      </c>
      <c r="L1504" s="36" t="s">
        <v>19897</v>
      </c>
      <c r="M1504" s="36" t="s">
        <v>19898</v>
      </c>
      <c r="N1504" s="36" t="s">
        <v>19899</v>
      </c>
      <c r="O1504" s="36" t="s">
        <v>19900</v>
      </c>
      <c r="P1504" s="36" t="s">
        <v>19901</v>
      </c>
    </row>
    <row r="1505" spans="1:16">
      <c r="A1505" s="139">
        <v>1504</v>
      </c>
      <c r="B1505" s="36" t="s">
        <v>19902</v>
      </c>
      <c r="C1505" s="36" t="s">
        <v>19903</v>
      </c>
      <c r="D1505" s="36" t="s">
        <v>19904</v>
      </c>
      <c r="E1505" s="36" t="s">
        <v>19905</v>
      </c>
      <c r="F1505" s="36" t="s">
        <v>19906</v>
      </c>
      <c r="G1505" s="36" t="s">
        <v>19907</v>
      </c>
      <c r="H1505" s="36" t="s">
        <v>19908</v>
      </c>
      <c r="I1505" s="36" t="s">
        <v>19909</v>
      </c>
      <c r="J1505" s="36" t="s">
        <v>19910</v>
      </c>
      <c r="K1505" s="36" t="s">
        <v>19911</v>
      </c>
      <c r="L1505" s="36" t="s">
        <v>19912</v>
      </c>
      <c r="M1505" s="36" t="s">
        <v>19913</v>
      </c>
      <c r="N1505" s="36" t="s">
        <v>19914</v>
      </c>
      <c r="O1505" s="36" t="s">
        <v>19915</v>
      </c>
      <c r="P1505" s="36" t="s">
        <v>19916</v>
      </c>
    </row>
    <row r="1506" spans="1:16">
      <c r="A1506" s="139">
        <v>1505</v>
      </c>
      <c r="B1506" s="36" t="s">
        <v>19917</v>
      </c>
      <c r="C1506" s="36" t="s">
        <v>19918</v>
      </c>
      <c r="D1506" s="36" t="s">
        <v>19919</v>
      </c>
      <c r="E1506" s="36" t="s">
        <v>19920</v>
      </c>
      <c r="F1506" s="36" t="s">
        <v>19921</v>
      </c>
      <c r="G1506" s="36" t="s">
        <v>19922</v>
      </c>
      <c r="H1506" s="36" t="s">
        <v>19923</v>
      </c>
      <c r="I1506" s="36" t="s">
        <v>19924</v>
      </c>
      <c r="J1506" s="36" t="s">
        <v>19925</v>
      </c>
      <c r="K1506" s="36" t="s">
        <v>19926</v>
      </c>
      <c r="L1506" s="36" t="s">
        <v>19927</v>
      </c>
      <c r="M1506" s="36" t="s">
        <v>19928</v>
      </c>
      <c r="N1506" s="36" t="s">
        <v>19929</v>
      </c>
      <c r="O1506" s="36" t="s">
        <v>19930</v>
      </c>
      <c r="P1506" s="36" t="s">
        <v>19917</v>
      </c>
    </row>
    <row r="1507" spans="1:16">
      <c r="A1507" s="139">
        <v>1506</v>
      </c>
      <c r="B1507" s="36" t="s">
        <v>19931</v>
      </c>
      <c r="C1507" s="36" t="s">
        <v>19932</v>
      </c>
      <c r="D1507" s="36" t="s">
        <v>19933</v>
      </c>
      <c r="E1507" s="36" t="s">
        <v>19934</v>
      </c>
      <c r="F1507" s="36" t="s">
        <v>19935</v>
      </c>
      <c r="G1507" s="36" t="s">
        <v>19936</v>
      </c>
      <c r="H1507" s="36" t="s">
        <v>19937</v>
      </c>
      <c r="I1507" s="36" t="s">
        <v>19938</v>
      </c>
      <c r="J1507" s="36" t="s">
        <v>19939</v>
      </c>
      <c r="K1507" s="36" t="s">
        <v>19940</v>
      </c>
      <c r="L1507" s="36" t="s">
        <v>19941</v>
      </c>
      <c r="M1507" s="36" t="s">
        <v>19942</v>
      </c>
      <c r="N1507" s="36" t="s">
        <v>19943</v>
      </c>
      <c r="O1507" s="36" t="s">
        <v>19944</v>
      </c>
      <c r="P1507" s="36" t="s">
        <v>19931</v>
      </c>
    </row>
    <row r="1508" spans="1:16">
      <c r="A1508" s="139">
        <v>1507</v>
      </c>
      <c r="B1508" s="36" t="s">
        <v>19945</v>
      </c>
      <c r="C1508" s="36" t="s">
        <v>19946</v>
      </c>
      <c r="D1508" s="36" t="s">
        <v>19947</v>
      </c>
      <c r="E1508" s="36" t="s">
        <v>19948</v>
      </c>
      <c r="F1508" s="36" t="s">
        <v>19949</v>
      </c>
      <c r="G1508" s="36" t="s">
        <v>19950</v>
      </c>
      <c r="H1508" s="36" t="s">
        <v>19951</v>
      </c>
      <c r="I1508" s="36" t="s">
        <v>19952</v>
      </c>
      <c r="J1508" s="36" t="s">
        <v>19953</v>
      </c>
      <c r="K1508" s="36" t="s">
        <v>19954</v>
      </c>
      <c r="L1508" s="36" t="s">
        <v>19955</v>
      </c>
      <c r="M1508" s="36" t="s">
        <v>19956</v>
      </c>
      <c r="N1508" s="36" t="s">
        <v>19957</v>
      </c>
      <c r="O1508" s="36" t="s">
        <v>19958</v>
      </c>
      <c r="P1508" s="36" t="s">
        <v>19945</v>
      </c>
    </row>
    <row r="1509" spans="1:16">
      <c r="A1509" s="139">
        <v>1508</v>
      </c>
      <c r="B1509" s="36" t="s">
        <v>19959</v>
      </c>
      <c r="C1509" s="36" t="s">
        <v>19960</v>
      </c>
      <c r="D1509" s="36" t="s">
        <v>19961</v>
      </c>
      <c r="E1509" s="36" t="s">
        <v>19962</v>
      </c>
      <c r="F1509" s="36" t="s">
        <v>19963</v>
      </c>
      <c r="G1509" s="36" t="s">
        <v>19964</v>
      </c>
      <c r="H1509" s="36" t="s">
        <v>19965</v>
      </c>
      <c r="I1509" s="36" t="s">
        <v>19966</v>
      </c>
      <c r="J1509" s="36" t="s">
        <v>19967</v>
      </c>
      <c r="K1509" s="36" t="s">
        <v>19968</v>
      </c>
      <c r="L1509" s="36" t="s">
        <v>19969</v>
      </c>
      <c r="M1509" s="36" t="s">
        <v>19970</v>
      </c>
      <c r="N1509" s="36" t="s">
        <v>19971</v>
      </c>
      <c r="O1509" s="36" t="s">
        <v>19972</v>
      </c>
      <c r="P1509" s="36" t="s">
        <v>19959</v>
      </c>
    </row>
    <row r="1510" spans="1:16">
      <c r="A1510" s="139">
        <v>1509</v>
      </c>
      <c r="B1510" s="36" t="s">
        <v>19973</v>
      </c>
      <c r="C1510" s="36" t="s">
        <v>19974</v>
      </c>
      <c r="D1510" s="36" t="s">
        <v>19975</v>
      </c>
      <c r="E1510" s="36" t="s">
        <v>19976</v>
      </c>
      <c r="F1510" s="36" t="s">
        <v>19977</v>
      </c>
      <c r="G1510" s="36" t="s">
        <v>19978</v>
      </c>
      <c r="H1510" s="36" t="s">
        <v>19979</v>
      </c>
      <c r="I1510" s="36" t="s">
        <v>19980</v>
      </c>
      <c r="J1510" s="36" t="s">
        <v>19981</v>
      </c>
      <c r="K1510" s="36" t="s">
        <v>4510</v>
      </c>
      <c r="L1510" s="36" t="s">
        <v>19982</v>
      </c>
      <c r="M1510" s="36" t="s">
        <v>19983</v>
      </c>
      <c r="N1510" s="36" t="s">
        <v>19983</v>
      </c>
      <c r="O1510" s="36" t="s">
        <v>4510</v>
      </c>
      <c r="P1510" s="36" t="s">
        <v>19973</v>
      </c>
    </row>
    <row r="1511" spans="1:16">
      <c r="A1511" s="139">
        <v>1510</v>
      </c>
      <c r="B1511" s="36" t="s">
        <v>19984</v>
      </c>
      <c r="C1511" s="36" t="s">
        <v>19985</v>
      </c>
      <c r="D1511" s="36" t="s">
        <v>19986</v>
      </c>
      <c r="E1511" s="36" t="s">
        <v>19987</v>
      </c>
      <c r="F1511" s="36" t="s">
        <v>19988</v>
      </c>
      <c r="G1511" s="36" t="s">
        <v>19989</v>
      </c>
      <c r="H1511" s="36" t="s">
        <v>19990</v>
      </c>
      <c r="I1511" s="36" t="s">
        <v>19991</v>
      </c>
      <c r="J1511" s="36" t="s">
        <v>19992</v>
      </c>
      <c r="K1511" s="36" t="s">
        <v>19993</v>
      </c>
      <c r="L1511" s="36" t="s">
        <v>19994</v>
      </c>
      <c r="M1511" s="36" t="s">
        <v>19995</v>
      </c>
      <c r="N1511" s="36" t="s">
        <v>19995</v>
      </c>
      <c r="O1511" s="36" t="s">
        <v>19996</v>
      </c>
      <c r="P1511" s="36" t="s">
        <v>19984</v>
      </c>
    </row>
    <row r="1512" spans="1:16">
      <c r="A1512" s="139">
        <v>1511</v>
      </c>
      <c r="B1512" s="36" t="s">
        <v>19997</v>
      </c>
      <c r="C1512" s="36" t="s">
        <v>19998</v>
      </c>
      <c r="D1512" s="36" t="s">
        <v>19998</v>
      </c>
      <c r="E1512" s="36" t="s">
        <v>10517</v>
      </c>
      <c r="F1512" s="36" t="s">
        <v>19999</v>
      </c>
      <c r="G1512" s="36" t="s">
        <v>20000</v>
      </c>
      <c r="H1512" s="36" t="s">
        <v>20001</v>
      </c>
      <c r="I1512" s="36" t="s">
        <v>20002</v>
      </c>
      <c r="J1512" s="36" t="s">
        <v>20003</v>
      </c>
      <c r="K1512" s="36" t="s">
        <v>20004</v>
      </c>
      <c r="L1512" s="36" t="s">
        <v>20005</v>
      </c>
      <c r="M1512" s="36" t="s">
        <v>20006</v>
      </c>
      <c r="N1512" s="36" t="s">
        <v>20007</v>
      </c>
      <c r="O1512" s="36" t="s">
        <v>20004</v>
      </c>
      <c r="P1512" s="36" t="s">
        <v>19997</v>
      </c>
    </row>
    <row r="1513" spans="1:16" ht="16.2">
      <c r="A1513" s="139">
        <v>1512</v>
      </c>
      <c r="B1513" s="36" t="s">
        <v>456</v>
      </c>
      <c r="C1513" s="36" t="s">
        <v>9553</v>
      </c>
      <c r="D1513" s="36" t="s">
        <v>20008</v>
      </c>
      <c r="E1513" s="36" t="s">
        <v>9553</v>
      </c>
      <c r="F1513" s="36" t="s">
        <v>9554</v>
      </c>
      <c r="G1513" s="36" t="s">
        <v>9553</v>
      </c>
      <c r="H1513" s="36" t="s">
        <v>9556</v>
      </c>
      <c r="I1513" s="36" t="s">
        <v>9554</v>
      </c>
      <c r="J1513" s="36" t="s">
        <v>20009</v>
      </c>
      <c r="K1513" s="36" t="s">
        <v>9558</v>
      </c>
      <c r="L1513" s="36" t="s">
        <v>9559</v>
      </c>
      <c r="M1513" s="36" t="s">
        <v>9560</v>
      </c>
      <c r="N1513" s="36" t="s">
        <v>9561</v>
      </c>
      <c r="O1513" s="36" t="s">
        <v>20010</v>
      </c>
      <c r="P1513" s="36" t="s">
        <v>456</v>
      </c>
    </row>
    <row r="1514" spans="1:16">
      <c r="A1514" s="139">
        <v>1513</v>
      </c>
      <c r="B1514" s="36" t="s">
        <v>20011</v>
      </c>
      <c r="C1514" s="36" t="s">
        <v>20012</v>
      </c>
      <c r="D1514" s="36" t="s">
        <v>20013</v>
      </c>
      <c r="E1514" s="36" t="s">
        <v>20014</v>
      </c>
      <c r="F1514" s="36" t="s">
        <v>20015</v>
      </c>
      <c r="G1514" s="36" t="s">
        <v>20016</v>
      </c>
      <c r="H1514" s="36" t="s">
        <v>20017</v>
      </c>
      <c r="I1514" s="36" t="s">
        <v>20018</v>
      </c>
      <c r="J1514" s="36" t="s">
        <v>20019</v>
      </c>
      <c r="K1514" s="36" t="s">
        <v>20020</v>
      </c>
      <c r="L1514" s="36" t="s">
        <v>20021</v>
      </c>
      <c r="M1514" s="36" t="s">
        <v>20022</v>
      </c>
      <c r="N1514" s="36" t="s">
        <v>20023</v>
      </c>
      <c r="O1514" s="36" t="s">
        <v>20024</v>
      </c>
      <c r="P1514" s="36" t="s">
        <v>20011</v>
      </c>
    </row>
    <row r="1515" spans="1:16">
      <c r="A1515" s="139">
        <v>1514</v>
      </c>
      <c r="B1515" s="36" t="s">
        <v>20025</v>
      </c>
      <c r="C1515" s="36" t="s">
        <v>20026</v>
      </c>
      <c r="D1515" s="36" t="s">
        <v>20027</v>
      </c>
      <c r="E1515" s="36" t="s">
        <v>20028</v>
      </c>
      <c r="F1515" s="36" t="s">
        <v>20029</v>
      </c>
      <c r="G1515" s="36" t="s">
        <v>20030</v>
      </c>
      <c r="H1515" s="36" t="s">
        <v>20031</v>
      </c>
      <c r="I1515" s="36" t="s">
        <v>20032</v>
      </c>
      <c r="J1515" s="36" t="s">
        <v>20033</v>
      </c>
      <c r="K1515" s="36" t="s">
        <v>20034</v>
      </c>
      <c r="L1515" s="36" t="s">
        <v>20035</v>
      </c>
      <c r="M1515" s="36" t="s">
        <v>20036</v>
      </c>
      <c r="N1515" s="36" t="s">
        <v>20037</v>
      </c>
      <c r="O1515" s="36" t="s">
        <v>20038</v>
      </c>
      <c r="P1515" s="36" t="s">
        <v>20025</v>
      </c>
    </row>
    <row r="1516" spans="1:16">
      <c r="A1516" s="139">
        <v>1515</v>
      </c>
      <c r="B1516" s="36" t="s">
        <v>20039</v>
      </c>
      <c r="C1516" s="36" t="s">
        <v>20040</v>
      </c>
      <c r="D1516" s="36" t="s">
        <v>20041</v>
      </c>
      <c r="E1516" s="36" t="s">
        <v>20042</v>
      </c>
      <c r="F1516" s="36" t="s">
        <v>20043</v>
      </c>
      <c r="G1516" s="36" t="s">
        <v>20044</v>
      </c>
      <c r="H1516" s="36" t="s">
        <v>20045</v>
      </c>
      <c r="I1516" s="36" t="s">
        <v>20046</v>
      </c>
      <c r="J1516" s="36" t="s">
        <v>20047</v>
      </c>
      <c r="K1516" s="36" t="s">
        <v>20048</v>
      </c>
      <c r="L1516" s="36" t="s">
        <v>20049</v>
      </c>
      <c r="M1516" s="36" t="s">
        <v>20050</v>
      </c>
      <c r="N1516" s="36" t="s">
        <v>20051</v>
      </c>
      <c r="O1516" s="36" t="s">
        <v>20052</v>
      </c>
      <c r="P1516" s="36" t="s">
        <v>20039</v>
      </c>
    </row>
    <row r="1517" spans="1:16">
      <c r="A1517" s="139">
        <v>1516</v>
      </c>
      <c r="B1517" s="36" t="s">
        <v>20053</v>
      </c>
      <c r="C1517" s="36" t="s">
        <v>20054</v>
      </c>
      <c r="D1517" s="36" t="s">
        <v>20055</v>
      </c>
      <c r="E1517" s="36" t="s">
        <v>20056</v>
      </c>
      <c r="F1517" s="36" t="s">
        <v>20057</v>
      </c>
      <c r="G1517" s="36" t="s">
        <v>20058</v>
      </c>
      <c r="H1517" s="36" t="s">
        <v>20059</v>
      </c>
      <c r="I1517" s="36" t="s">
        <v>20060</v>
      </c>
      <c r="J1517" s="36" t="s">
        <v>20061</v>
      </c>
      <c r="K1517" s="36" t="s">
        <v>20062</v>
      </c>
      <c r="L1517" s="36" t="s">
        <v>20063</v>
      </c>
      <c r="M1517" s="36" t="s">
        <v>20064</v>
      </c>
      <c r="N1517" s="36" t="s">
        <v>20065</v>
      </c>
      <c r="O1517" s="36" t="s">
        <v>20066</v>
      </c>
      <c r="P1517" s="36" t="s">
        <v>20067</v>
      </c>
    </row>
    <row r="1518" spans="1:16">
      <c r="A1518" s="139">
        <v>1517</v>
      </c>
      <c r="B1518" s="36" t="s">
        <v>20068</v>
      </c>
      <c r="C1518" s="36" t="s">
        <v>20069</v>
      </c>
      <c r="D1518" s="36" t="s">
        <v>20070</v>
      </c>
      <c r="E1518" s="36" t="s">
        <v>20071</v>
      </c>
      <c r="F1518" s="36" t="s">
        <v>10022</v>
      </c>
      <c r="G1518" s="36" t="s">
        <v>20072</v>
      </c>
      <c r="H1518" s="36" t="s">
        <v>20073</v>
      </c>
      <c r="I1518" s="36" t="s">
        <v>20074</v>
      </c>
      <c r="J1518" s="36" t="s">
        <v>20075</v>
      </c>
      <c r="K1518" s="36" t="s">
        <v>20076</v>
      </c>
      <c r="L1518" s="36" t="s">
        <v>20077</v>
      </c>
      <c r="M1518" s="36" t="s">
        <v>20078</v>
      </c>
      <c r="N1518" s="36" t="s">
        <v>20079</v>
      </c>
      <c r="O1518" s="36" t="s">
        <v>20080</v>
      </c>
      <c r="P1518" s="36" t="s">
        <v>20068</v>
      </c>
    </row>
    <row r="1519" spans="1:16">
      <c r="A1519" s="139">
        <v>1518</v>
      </c>
      <c r="B1519" s="36" t="s">
        <v>20081</v>
      </c>
      <c r="C1519" s="36" t="s">
        <v>20082</v>
      </c>
      <c r="D1519" s="36" t="s">
        <v>20083</v>
      </c>
      <c r="E1519" s="36" t="s">
        <v>20084</v>
      </c>
      <c r="F1519" s="36" t="s">
        <v>17961</v>
      </c>
      <c r="G1519" s="36" t="s">
        <v>20085</v>
      </c>
      <c r="H1519" s="36" t="s">
        <v>20086</v>
      </c>
      <c r="I1519" s="36" t="s">
        <v>20087</v>
      </c>
      <c r="J1519" s="36" t="s">
        <v>20088</v>
      </c>
      <c r="K1519" s="36" t="s">
        <v>20089</v>
      </c>
      <c r="L1519" s="36" t="s">
        <v>20090</v>
      </c>
      <c r="M1519" s="36" t="s">
        <v>20091</v>
      </c>
      <c r="N1519" s="36" t="s">
        <v>20092</v>
      </c>
      <c r="O1519" s="36" t="s">
        <v>20093</v>
      </c>
      <c r="P1519" s="36" t="s">
        <v>20094</v>
      </c>
    </row>
    <row r="1520" spans="1:16">
      <c r="A1520" s="139">
        <v>1519</v>
      </c>
      <c r="B1520" s="36" t="s">
        <v>20095</v>
      </c>
      <c r="C1520" s="36" t="s">
        <v>20096</v>
      </c>
      <c r="D1520" s="36" t="s">
        <v>20097</v>
      </c>
      <c r="E1520" s="36" t="s">
        <v>20098</v>
      </c>
      <c r="F1520" s="36" t="s">
        <v>20099</v>
      </c>
      <c r="G1520" s="36" t="s">
        <v>20100</v>
      </c>
      <c r="H1520" s="36" t="s">
        <v>20101</v>
      </c>
      <c r="I1520" s="36" t="s">
        <v>20102</v>
      </c>
      <c r="J1520" s="36" t="s">
        <v>20103</v>
      </c>
      <c r="K1520" s="36" t="s">
        <v>20104</v>
      </c>
      <c r="L1520" s="36" t="s">
        <v>20105</v>
      </c>
      <c r="M1520" s="36" t="s">
        <v>20106</v>
      </c>
      <c r="N1520" s="36" t="s">
        <v>20107</v>
      </c>
      <c r="O1520" s="36" t="s">
        <v>20108</v>
      </c>
      <c r="P1520" s="36" t="s">
        <v>20095</v>
      </c>
    </row>
    <row r="1521" spans="1:16">
      <c r="A1521" s="139">
        <v>1520</v>
      </c>
      <c r="B1521" s="36" t="s">
        <v>20109</v>
      </c>
      <c r="C1521" s="36" t="s">
        <v>20110</v>
      </c>
      <c r="D1521" s="36" t="s">
        <v>20111</v>
      </c>
      <c r="E1521" s="36" t="s">
        <v>20112</v>
      </c>
      <c r="F1521" s="36" t="s">
        <v>20113</v>
      </c>
      <c r="G1521" s="36" t="s">
        <v>20114</v>
      </c>
      <c r="H1521" s="36" t="s">
        <v>20115</v>
      </c>
      <c r="I1521" s="36" t="s">
        <v>20116</v>
      </c>
      <c r="J1521" s="36" t="s">
        <v>20117</v>
      </c>
      <c r="K1521" s="36" t="s">
        <v>20118</v>
      </c>
      <c r="L1521" s="36" t="s">
        <v>20119</v>
      </c>
      <c r="M1521" s="36" t="s">
        <v>20120</v>
      </c>
      <c r="N1521" s="36" t="s">
        <v>20121</v>
      </c>
      <c r="O1521" s="36" t="s">
        <v>20122</v>
      </c>
      <c r="P1521" s="36" t="s">
        <v>20109</v>
      </c>
    </row>
    <row r="1522" spans="1:16">
      <c r="A1522" s="139">
        <v>1521</v>
      </c>
      <c r="B1522" s="36" t="s">
        <v>20123</v>
      </c>
      <c r="C1522" s="36" t="s">
        <v>20124</v>
      </c>
      <c r="D1522" s="36" t="s">
        <v>20125</v>
      </c>
      <c r="E1522" s="36" t="s">
        <v>20126</v>
      </c>
      <c r="F1522" s="36" t="s">
        <v>20127</v>
      </c>
      <c r="G1522" s="36" t="s">
        <v>20128</v>
      </c>
      <c r="H1522" s="36" t="s">
        <v>20129</v>
      </c>
      <c r="I1522" s="36" t="s">
        <v>20130</v>
      </c>
      <c r="J1522" s="36" t="s">
        <v>20131</v>
      </c>
      <c r="K1522" s="36" t="s">
        <v>20132</v>
      </c>
      <c r="L1522" s="36" t="s">
        <v>20133</v>
      </c>
      <c r="M1522" s="36" t="s">
        <v>20134</v>
      </c>
      <c r="N1522" s="36" t="s">
        <v>20135</v>
      </c>
      <c r="O1522" s="36" t="s">
        <v>20136</v>
      </c>
      <c r="P1522" s="36" t="s">
        <v>20123</v>
      </c>
    </row>
    <row r="1523" spans="1:16">
      <c r="A1523" s="139">
        <v>1522</v>
      </c>
      <c r="B1523" s="36" t="s">
        <v>20137</v>
      </c>
      <c r="C1523" s="36" t="s">
        <v>20138</v>
      </c>
      <c r="D1523" s="36" t="s">
        <v>20139</v>
      </c>
      <c r="E1523" s="36" t="s">
        <v>20140</v>
      </c>
      <c r="F1523" s="36" t="s">
        <v>20141</v>
      </c>
      <c r="G1523" s="36" t="s">
        <v>20142</v>
      </c>
      <c r="H1523" s="36" t="s">
        <v>20143</v>
      </c>
      <c r="I1523" s="36" t="s">
        <v>20144</v>
      </c>
      <c r="J1523" s="36" t="s">
        <v>20145</v>
      </c>
      <c r="K1523" s="36" t="s">
        <v>20146</v>
      </c>
      <c r="L1523" s="36" t="s">
        <v>20147</v>
      </c>
      <c r="M1523" s="36" t="s">
        <v>20148</v>
      </c>
      <c r="N1523" s="36" t="s">
        <v>20149</v>
      </c>
      <c r="O1523" s="36" t="s">
        <v>20150</v>
      </c>
      <c r="P1523" s="36" t="s">
        <v>20137</v>
      </c>
    </row>
    <row r="1524" spans="1:16">
      <c r="A1524" s="139">
        <v>1523</v>
      </c>
      <c r="B1524" s="36" t="s">
        <v>20151</v>
      </c>
      <c r="C1524" s="36" t="s">
        <v>20152</v>
      </c>
      <c r="D1524" s="36" t="s">
        <v>20153</v>
      </c>
      <c r="E1524" s="36" t="s">
        <v>20154</v>
      </c>
      <c r="F1524" s="36" t="s">
        <v>18301</v>
      </c>
      <c r="G1524" s="36" t="s">
        <v>20155</v>
      </c>
      <c r="H1524" s="36" t="s">
        <v>20156</v>
      </c>
      <c r="I1524" s="36" t="s">
        <v>20157</v>
      </c>
      <c r="J1524" s="36" t="s">
        <v>20158</v>
      </c>
      <c r="K1524" s="36" t="s">
        <v>20159</v>
      </c>
      <c r="L1524" s="36" t="s">
        <v>20160</v>
      </c>
      <c r="M1524" s="36" t="s">
        <v>20161</v>
      </c>
      <c r="N1524" s="36" t="s">
        <v>20162</v>
      </c>
      <c r="O1524" s="36" t="s">
        <v>20163</v>
      </c>
      <c r="P1524" s="36" t="s">
        <v>20151</v>
      </c>
    </row>
    <row r="1525" spans="1:16">
      <c r="A1525" s="139">
        <v>1524</v>
      </c>
      <c r="B1525" s="36" t="s">
        <v>20164</v>
      </c>
      <c r="C1525" s="36" t="s">
        <v>20165</v>
      </c>
      <c r="D1525" s="36" t="s">
        <v>20166</v>
      </c>
      <c r="E1525" s="36" t="s">
        <v>20167</v>
      </c>
      <c r="F1525" s="36" t="s">
        <v>20168</v>
      </c>
      <c r="G1525" s="36" t="s">
        <v>20169</v>
      </c>
      <c r="H1525" s="36" t="s">
        <v>20170</v>
      </c>
      <c r="I1525" s="36" t="s">
        <v>20171</v>
      </c>
      <c r="J1525" s="36" t="s">
        <v>20172</v>
      </c>
      <c r="K1525" s="36" t="s">
        <v>20173</v>
      </c>
      <c r="L1525" s="36" t="s">
        <v>20174</v>
      </c>
      <c r="M1525" s="36" t="s">
        <v>20175</v>
      </c>
      <c r="N1525" s="36" t="s">
        <v>20176</v>
      </c>
      <c r="O1525" s="36" t="s">
        <v>3787</v>
      </c>
      <c r="P1525" s="36" t="s">
        <v>20164</v>
      </c>
    </row>
    <row r="1526" spans="1:16">
      <c r="A1526" s="139">
        <v>1525</v>
      </c>
      <c r="B1526" s="36" t="s">
        <v>20177</v>
      </c>
      <c r="C1526" s="36" t="s">
        <v>20178</v>
      </c>
      <c r="D1526" s="36" t="s">
        <v>20179</v>
      </c>
      <c r="E1526" s="36" t="s">
        <v>20180</v>
      </c>
      <c r="F1526" s="36" t="s">
        <v>20181</v>
      </c>
      <c r="G1526" s="36" t="s">
        <v>20182</v>
      </c>
      <c r="H1526" s="36" t="s">
        <v>20183</v>
      </c>
      <c r="I1526" s="36" t="s">
        <v>20184</v>
      </c>
      <c r="J1526" s="36" t="s">
        <v>20185</v>
      </c>
      <c r="K1526" s="36" t="s">
        <v>20186</v>
      </c>
      <c r="L1526" s="36" t="s">
        <v>20187</v>
      </c>
      <c r="M1526" s="36" t="s">
        <v>7127</v>
      </c>
      <c r="N1526" s="36" t="s">
        <v>20188</v>
      </c>
      <c r="O1526" s="36" t="s">
        <v>20189</v>
      </c>
      <c r="P1526" s="36" t="s">
        <v>20177</v>
      </c>
    </row>
    <row r="1527" spans="1:16">
      <c r="A1527" s="139">
        <v>1526</v>
      </c>
      <c r="B1527" s="36" t="s">
        <v>20190</v>
      </c>
      <c r="C1527" s="36" t="s">
        <v>20191</v>
      </c>
      <c r="D1527" s="36" t="s">
        <v>20192</v>
      </c>
      <c r="E1527" s="36" t="s">
        <v>20193</v>
      </c>
      <c r="F1527" s="36" t="s">
        <v>20194</v>
      </c>
      <c r="G1527" s="36" t="s">
        <v>20195</v>
      </c>
      <c r="H1527" s="36" t="s">
        <v>20196</v>
      </c>
      <c r="I1527" s="36" t="s">
        <v>20197</v>
      </c>
      <c r="J1527" s="36" t="s">
        <v>20198</v>
      </c>
      <c r="K1527" s="36" t="s">
        <v>20199</v>
      </c>
      <c r="L1527" s="36" t="s">
        <v>20200</v>
      </c>
      <c r="M1527" s="36" t="s">
        <v>20201</v>
      </c>
      <c r="N1527" s="36" t="s">
        <v>20202</v>
      </c>
      <c r="O1527" s="36" t="s">
        <v>20203</v>
      </c>
      <c r="P1527" s="36" t="s">
        <v>20190</v>
      </c>
    </row>
    <row r="1528" spans="1:16">
      <c r="A1528" s="139">
        <v>1527</v>
      </c>
      <c r="B1528" s="36" t="s">
        <v>20204</v>
      </c>
      <c r="C1528" s="36" t="s">
        <v>20205</v>
      </c>
      <c r="D1528" s="36" t="s">
        <v>20206</v>
      </c>
      <c r="E1528" s="36" t="s">
        <v>20207</v>
      </c>
      <c r="F1528" s="36" t="s">
        <v>20208</v>
      </c>
      <c r="G1528" s="36" t="s">
        <v>20209</v>
      </c>
      <c r="H1528" s="36" t="s">
        <v>20210</v>
      </c>
      <c r="I1528" s="36" t="s">
        <v>20211</v>
      </c>
      <c r="J1528" s="36" t="s">
        <v>20212</v>
      </c>
      <c r="K1528" s="36" t="s">
        <v>20213</v>
      </c>
      <c r="L1528" s="36" t="s">
        <v>20214</v>
      </c>
      <c r="M1528" s="36" t="s">
        <v>20215</v>
      </c>
      <c r="N1528" s="36" t="s">
        <v>20216</v>
      </c>
      <c r="O1528" s="36" t="s">
        <v>20217</v>
      </c>
      <c r="P1528" s="36" t="s">
        <v>20204</v>
      </c>
    </row>
    <row r="1529" spans="1:16">
      <c r="A1529" s="139">
        <v>1528</v>
      </c>
      <c r="B1529" s="36" t="s">
        <v>20218</v>
      </c>
      <c r="C1529" s="36" t="s">
        <v>20219</v>
      </c>
      <c r="D1529" s="36" t="s">
        <v>20220</v>
      </c>
      <c r="E1529" s="36" t="s">
        <v>20221</v>
      </c>
      <c r="F1529" s="36" t="s">
        <v>20222</v>
      </c>
      <c r="G1529" s="36" t="s">
        <v>20223</v>
      </c>
      <c r="H1529" s="36" t="s">
        <v>20224</v>
      </c>
      <c r="I1529" s="36" t="s">
        <v>20225</v>
      </c>
      <c r="J1529" s="36" t="s">
        <v>20226</v>
      </c>
      <c r="K1529" s="36" t="s">
        <v>20227</v>
      </c>
      <c r="L1529" s="36" t="s">
        <v>20228</v>
      </c>
      <c r="M1529" s="36" t="s">
        <v>20229</v>
      </c>
      <c r="N1529" s="36" t="s">
        <v>20230</v>
      </c>
      <c r="O1529" s="36" t="s">
        <v>20231</v>
      </c>
      <c r="P1529" s="36" t="s">
        <v>20218</v>
      </c>
    </row>
    <row r="1530" spans="1:16">
      <c r="A1530" s="139">
        <v>1529</v>
      </c>
      <c r="B1530" s="36" t="s">
        <v>20137</v>
      </c>
      <c r="C1530" s="36" t="s">
        <v>20138</v>
      </c>
      <c r="D1530" s="36" t="s">
        <v>20139</v>
      </c>
      <c r="E1530" s="36" t="s">
        <v>20140</v>
      </c>
      <c r="F1530" s="36" t="s">
        <v>20141</v>
      </c>
      <c r="G1530" s="36" t="s">
        <v>20142</v>
      </c>
      <c r="H1530" s="36" t="s">
        <v>20143</v>
      </c>
      <c r="I1530" s="36" t="s">
        <v>20144</v>
      </c>
      <c r="J1530" s="36" t="s">
        <v>20145</v>
      </c>
      <c r="K1530" s="36" t="s">
        <v>20146</v>
      </c>
      <c r="L1530" s="36" t="s">
        <v>20147</v>
      </c>
      <c r="M1530" s="36" t="s">
        <v>20148</v>
      </c>
      <c r="N1530" s="36" t="s">
        <v>20149</v>
      </c>
      <c r="O1530" s="36" t="s">
        <v>20150</v>
      </c>
      <c r="P1530" s="36" t="s">
        <v>20137</v>
      </c>
    </row>
    <row r="1531" spans="1:16">
      <c r="A1531" s="139">
        <v>1530</v>
      </c>
      <c r="B1531" s="36" t="s">
        <v>20232</v>
      </c>
      <c r="C1531" s="36" t="s">
        <v>20232</v>
      </c>
      <c r="D1531" s="36" t="s">
        <v>20232</v>
      </c>
      <c r="E1531" s="36" t="s">
        <v>20233</v>
      </c>
      <c r="F1531" s="36" t="s">
        <v>20234</v>
      </c>
      <c r="G1531" s="36" t="s">
        <v>20233</v>
      </c>
      <c r="H1531" s="36" t="s">
        <v>20232</v>
      </c>
      <c r="I1531" s="36" t="s">
        <v>20233</v>
      </c>
      <c r="J1531" s="36" t="s">
        <v>20233</v>
      </c>
      <c r="K1531" s="36" t="s">
        <v>20233</v>
      </c>
      <c r="L1531" s="36" t="s">
        <v>20233</v>
      </c>
      <c r="M1531" s="36" t="s">
        <v>20232</v>
      </c>
      <c r="N1531" s="36" t="s">
        <v>20233</v>
      </c>
      <c r="O1531" s="36" t="s">
        <v>20232</v>
      </c>
      <c r="P1531" s="36" t="s">
        <v>20232</v>
      </c>
    </row>
    <row r="1532" spans="1:16">
      <c r="A1532" s="139">
        <v>1531</v>
      </c>
      <c r="B1532" s="36" t="s">
        <v>20235</v>
      </c>
      <c r="C1532" s="36" t="s">
        <v>20235</v>
      </c>
      <c r="D1532" s="36" t="s">
        <v>20235</v>
      </c>
      <c r="E1532" s="36" t="s">
        <v>20236</v>
      </c>
      <c r="F1532" s="36" t="s">
        <v>20237</v>
      </c>
      <c r="G1532" s="36" t="s">
        <v>20236</v>
      </c>
      <c r="H1532" s="36" t="s">
        <v>20235</v>
      </c>
      <c r="I1532" s="36" t="s">
        <v>20236</v>
      </c>
      <c r="J1532" s="36" t="s">
        <v>20236</v>
      </c>
      <c r="K1532" s="36" t="s">
        <v>20236</v>
      </c>
      <c r="L1532" s="36" t="s">
        <v>20236</v>
      </c>
      <c r="M1532" s="36" t="s">
        <v>20235</v>
      </c>
      <c r="N1532" s="36" t="s">
        <v>20236</v>
      </c>
      <c r="O1532" s="36" t="s">
        <v>20235</v>
      </c>
      <c r="P1532" s="36" t="s">
        <v>20235</v>
      </c>
    </row>
    <row r="1533" spans="1:16">
      <c r="A1533" s="139">
        <v>1532</v>
      </c>
      <c r="B1533" s="36" t="s">
        <v>20238</v>
      </c>
      <c r="C1533" s="36" t="s">
        <v>20238</v>
      </c>
      <c r="D1533" s="36" t="s">
        <v>20238</v>
      </c>
      <c r="E1533" s="36" t="s">
        <v>20239</v>
      </c>
      <c r="F1533" s="36" t="s">
        <v>20240</v>
      </c>
      <c r="G1533" s="36" t="s">
        <v>20239</v>
      </c>
      <c r="H1533" s="36" t="s">
        <v>20238</v>
      </c>
      <c r="I1533" s="36" t="s">
        <v>20239</v>
      </c>
      <c r="J1533" s="36" t="s">
        <v>20239</v>
      </c>
      <c r="K1533" s="36" t="s">
        <v>20239</v>
      </c>
      <c r="L1533" s="36" t="s">
        <v>20239</v>
      </c>
      <c r="M1533" s="36" t="s">
        <v>20238</v>
      </c>
      <c r="N1533" s="36" t="s">
        <v>20239</v>
      </c>
      <c r="O1533" s="36" t="s">
        <v>20238</v>
      </c>
      <c r="P1533" s="36" t="s">
        <v>20238</v>
      </c>
    </row>
    <row r="1534" spans="1:16">
      <c r="A1534" s="139">
        <v>1533</v>
      </c>
      <c r="B1534" s="36" t="s">
        <v>20241</v>
      </c>
      <c r="C1534" s="36" t="s">
        <v>20241</v>
      </c>
      <c r="D1534" s="36" t="s">
        <v>20241</v>
      </c>
      <c r="E1534" s="36" t="s">
        <v>20242</v>
      </c>
      <c r="F1534" s="36" t="s">
        <v>20243</v>
      </c>
      <c r="G1534" s="36" t="s">
        <v>20242</v>
      </c>
      <c r="H1534" s="36" t="s">
        <v>20241</v>
      </c>
      <c r="I1534" s="36" t="s">
        <v>20242</v>
      </c>
      <c r="J1534" s="36" t="s">
        <v>20242</v>
      </c>
      <c r="K1534" s="36" t="s">
        <v>20242</v>
      </c>
      <c r="L1534" s="36" t="s">
        <v>20242</v>
      </c>
      <c r="M1534" s="36" t="s">
        <v>20241</v>
      </c>
      <c r="N1534" s="36" t="s">
        <v>20242</v>
      </c>
      <c r="O1534" s="36" t="s">
        <v>20241</v>
      </c>
      <c r="P1534" s="36" t="s">
        <v>20241</v>
      </c>
    </row>
    <row r="1535" spans="1:16">
      <c r="A1535" s="139">
        <v>1534</v>
      </c>
      <c r="B1535" s="36" t="s">
        <v>20244</v>
      </c>
      <c r="C1535" s="36" t="s">
        <v>20244</v>
      </c>
      <c r="D1535" s="36" t="s">
        <v>20244</v>
      </c>
      <c r="E1535" s="36" t="s">
        <v>20245</v>
      </c>
      <c r="F1535" s="36" t="s">
        <v>20246</v>
      </c>
      <c r="G1535" s="36" t="s">
        <v>20245</v>
      </c>
      <c r="H1535" s="36" t="s">
        <v>20244</v>
      </c>
      <c r="I1535" s="36" t="s">
        <v>20245</v>
      </c>
      <c r="J1535" s="36" t="s">
        <v>20245</v>
      </c>
      <c r="K1535" s="36" t="s">
        <v>20245</v>
      </c>
      <c r="L1535" s="36" t="s">
        <v>20245</v>
      </c>
      <c r="M1535" s="36" t="s">
        <v>20244</v>
      </c>
      <c r="N1535" s="36" t="s">
        <v>20245</v>
      </c>
      <c r="O1535" s="36" t="s">
        <v>20244</v>
      </c>
      <c r="P1535" s="36" t="s">
        <v>20244</v>
      </c>
    </row>
    <row r="1536" spans="1:16">
      <c r="A1536" s="139">
        <v>1535</v>
      </c>
      <c r="B1536" s="36" t="s">
        <v>20247</v>
      </c>
      <c r="C1536" s="36" t="s">
        <v>20247</v>
      </c>
      <c r="D1536" s="36" t="s">
        <v>20247</v>
      </c>
      <c r="E1536" s="36" t="s">
        <v>20248</v>
      </c>
      <c r="F1536" s="36" t="s">
        <v>20249</v>
      </c>
      <c r="G1536" s="36" t="s">
        <v>20250</v>
      </c>
      <c r="H1536" s="36" t="s">
        <v>20247</v>
      </c>
      <c r="I1536" s="36" t="s">
        <v>20248</v>
      </c>
      <c r="J1536" s="36" t="s">
        <v>20248</v>
      </c>
      <c r="K1536" s="36" t="s">
        <v>20250</v>
      </c>
      <c r="L1536" s="36" t="s">
        <v>20250</v>
      </c>
      <c r="M1536" s="36" t="s">
        <v>20247</v>
      </c>
      <c r="N1536" s="36" t="s">
        <v>20250</v>
      </c>
      <c r="O1536" s="36" t="s">
        <v>20247</v>
      </c>
      <c r="P1536" s="36" t="s">
        <v>20247</v>
      </c>
    </row>
    <row r="1537" spans="1:16">
      <c r="A1537" s="139">
        <v>1536</v>
      </c>
      <c r="B1537" s="36" t="s">
        <v>20251</v>
      </c>
      <c r="C1537" s="36" t="s">
        <v>20252</v>
      </c>
      <c r="D1537" s="36" t="s">
        <v>20253</v>
      </c>
      <c r="E1537" s="36" t="s">
        <v>20254</v>
      </c>
      <c r="F1537" s="36" t="s">
        <v>20255</v>
      </c>
      <c r="G1537" s="36" t="s">
        <v>20256</v>
      </c>
      <c r="H1537" s="36" t="s">
        <v>20257</v>
      </c>
      <c r="I1537" s="36" t="s">
        <v>20258</v>
      </c>
      <c r="J1537" s="36" t="s">
        <v>20259</v>
      </c>
      <c r="K1537" s="36" t="s">
        <v>20260</v>
      </c>
      <c r="L1537" s="36" t="s">
        <v>20261</v>
      </c>
      <c r="M1537" s="36" t="s">
        <v>20262</v>
      </c>
      <c r="N1537" s="36" t="s">
        <v>20263</v>
      </c>
      <c r="O1537" s="36" t="s">
        <v>20264</v>
      </c>
      <c r="P1537" s="36" t="s">
        <v>20251</v>
      </c>
    </row>
    <row r="1538" spans="1:16">
      <c r="A1538" s="139">
        <v>1537</v>
      </c>
      <c r="B1538" s="36" t="s">
        <v>20265</v>
      </c>
      <c r="C1538" s="36" t="s">
        <v>20266</v>
      </c>
      <c r="D1538" s="36" t="s">
        <v>20267</v>
      </c>
      <c r="E1538" s="36" t="s">
        <v>20268</v>
      </c>
      <c r="F1538" s="36" t="s">
        <v>20269</v>
      </c>
      <c r="G1538" s="36" t="s">
        <v>20270</v>
      </c>
      <c r="H1538" s="36" t="s">
        <v>20271</v>
      </c>
      <c r="I1538" s="36" t="s">
        <v>20272</v>
      </c>
      <c r="J1538" s="36" t="s">
        <v>20273</v>
      </c>
      <c r="K1538" s="36" t="s">
        <v>20274</v>
      </c>
      <c r="L1538" s="36" t="s">
        <v>20275</v>
      </c>
      <c r="M1538" s="36" t="s">
        <v>20276</v>
      </c>
      <c r="N1538" s="36" t="s">
        <v>20277</v>
      </c>
      <c r="O1538" s="36" t="s">
        <v>20278</v>
      </c>
      <c r="P1538" s="36" t="s">
        <v>20265</v>
      </c>
    </row>
    <row r="1539" spans="1:16">
      <c r="A1539" s="139">
        <v>1538</v>
      </c>
      <c r="B1539" s="36" t="s">
        <v>20279</v>
      </c>
      <c r="C1539" s="36" t="s">
        <v>20280</v>
      </c>
      <c r="D1539" s="36" t="s">
        <v>20281</v>
      </c>
      <c r="E1539" s="36" t="s">
        <v>20282</v>
      </c>
      <c r="F1539" s="36" t="s">
        <v>20283</v>
      </c>
      <c r="G1539" s="36" t="s">
        <v>20284</v>
      </c>
      <c r="H1539" s="36" t="s">
        <v>20285</v>
      </c>
      <c r="I1539" s="36" t="s">
        <v>20286</v>
      </c>
      <c r="J1539" s="36" t="s">
        <v>20287</v>
      </c>
      <c r="K1539" s="36" t="s">
        <v>20288</v>
      </c>
      <c r="L1539" s="36" t="s">
        <v>20289</v>
      </c>
      <c r="M1539" s="36" t="s">
        <v>20290</v>
      </c>
      <c r="N1539" s="36" t="s">
        <v>20291</v>
      </c>
      <c r="O1539" s="36" t="s">
        <v>20292</v>
      </c>
      <c r="P1539" s="36" t="s">
        <v>20279</v>
      </c>
    </row>
    <row r="1540" spans="1:16">
      <c r="A1540" s="139">
        <v>1539</v>
      </c>
      <c r="B1540" s="36" t="s">
        <v>20293</v>
      </c>
      <c r="C1540" s="36" t="s">
        <v>20165</v>
      </c>
      <c r="D1540" s="36" t="s">
        <v>20166</v>
      </c>
      <c r="E1540" s="36" t="s">
        <v>20167</v>
      </c>
      <c r="F1540" s="36" t="s">
        <v>20294</v>
      </c>
      <c r="G1540" s="36" t="s">
        <v>20295</v>
      </c>
      <c r="H1540" s="36" t="s">
        <v>20296</v>
      </c>
      <c r="I1540" s="36" t="s">
        <v>20297</v>
      </c>
      <c r="J1540" s="36" t="s">
        <v>20298</v>
      </c>
      <c r="K1540" s="36" t="s">
        <v>20299</v>
      </c>
      <c r="L1540" s="36" t="s">
        <v>20300</v>
      </c>
      <c r="M1540" s="36" t="s">
        <v>20301</v>
      </c>
      <c r="N1540" s="36" t="s">
        <v>20302</v>
      </c>
      <c r="O1540" s="36" t="s">
        <v>20303</v>
      </c>
      <c r="P1540" s="36" t="s">
        <v>20293</v>
      </c>
    </row>
    <row r="1541" spans="1:16">
      <c r="A1541" s="139">
        <v>1540</v>
      </c>
      <c r="B1541" s="36" t="s">
        <v>4368</v>
      </c>
      <c r="C1541" s="36" t="s">
        <v>4369</v>
      </c>
      <c r="D1541" s="36" t="s">
        <v>4370</v>
      </c>
      <c r="E1541" s="36" t="s">
        <v>4371</v>
      </c>
      <c r="F1541" s="36" t="s">
        <v>4372</v>
      </c>
      <c r="G1541" s="36" t="s">
        <v>4373</v>
      </c>
      <c r="H1541" s="36" t="s">
        <v>4374</v>
      </c>
      <c r="I1541" s="36" t="s">
        <v>4375</v>
      </c>
      <c r="J1541" s="36" t="s">
        <v>4376</v>
      </c>
      <c r="K1541" s="36" t="s">
        <v>4377</v>
      </c>
      <c r="L1541" s="36" t="s">
        <v>4378</v>
      </c>
      <c r="M1541" s="36" t="s">
        <v>4379</v>
      </c>
      <c r="N1541" s="36" t="s">
        <v>4380</v>
      </c>
      <c r="O1541" s="36" t="s">
        <v>4381</v>
      </c>
      <c r="P1541" s="36" t="s">
        <v>4382</v>
      </c>
    </row>
    <row r="1542" spans="1:16">
      <c r="A1542" s="139">
        <v>1541</v>
      </c>
      <c r="B1542" s="36" t="s">
        <v>20304</v>
      </c>
      <c r="C1542" s="36" t="s">
        <v>20305</v>
      </c>
      <c r="D1542" s="36" t="s">
        <v>20306</v>
      </c>
      <c r="E1542" s="36" t="s">
        <v>20307</v>
      </c>
      <c r="F1542" s="36" t="s">
        <v>20308</v>
      </c>
      <c r="G1542" s="36" t="s">
        <v>20309</v>
      </c>
      <c r="H1542" s="36" t="s">
        <v>20310</v>
      </c>
      <c r="I1542" s="36" t="s">
        <v>20311</v>
      </c>
      <c r="J1542" s="36" t="s">
        <v>20312</v>
      </c>
      <c r="K1542" s="36" t="s">
        <v>20313</v>
      </c>
      <c r="L1542" s="36" t="s">
        <v>20314</v>
      </c>
      <c r="M1542" s="36" t="s">
        <v>20315</v>
      </c>
      <c r="N1542" s="36" t="s">
        <v>20316</v>
      </c>
      <c r="O1542" s="36" t="s">
        <v>20317</v>
      </c>
      <c r="P1542" s="36" t="s">
        <v>20304</v>
      </c>
    </row>
    <row r="1543" spans="1:16">
      <c r="A1543" s="139">
        <v>1542</v>
      </c>
      <c r="B1543" s="36" t="s">
        <v>20318</v>
      </c>
      <c r="C1543" s="36" t="s">
        <v>20319</v>
      </c>
      <c r="D1543" s="36" t="s">
        <v>20320</v>
      </c>
      <c r="E1543" s="36" t="s">
        <v>20321</v>
      </c>
      <c r="F1543" s="36" t="s">
        <v>20322</v>
      </c>
      <c r="G1543" s="36" t="s">
        <v>20323</v>
      </c>
      <c r="H1543" s="36" t="s">
        <v>20324</v>
      </c>
      <c r="I1543" s="36" t="s">
        <v>20325</v>
      </c>
      <c r="J1543" s="36" t="s">
        <v>20326</v>
      </c>
      <c r="K1543" s="36" t="s">
        <v>20327</v>
      </c>
      <c r="L1543" s="36" t="s">
        <v>20328</v>
      </c>
      <c r="M1543" s="36" t="s">
        <v>20329</v>
      </c>
      <c r="N1543" s="36" t="s">
        <v>20330</v>
      </c>
      <c r="O1543" s="36" t="s">
        <v>20331</v>
      </c>
      <c r="P1543" s="36" t="s">
        <v>20318</v>
      </c>
    </row>
    <row r="1544" spans="1:16">
      <c r="A1544" s="139">
        <v>1543</v>
      </c>
      <c r="B1544" s="36" t="s">
        <v>20332</v>
      </c>
      <c r="C1544" s="36" t="s">
        <v>20333</v>
      </c>
      <c r="D1544" s="36" t="s">
        <v>20334</v>
      </c>
      <c r="E1544" s="36" t="s">
        <v>20335</v>
      </c>
      <c r="F1544" s="36" t="s">
        <v>20336</v>
      </c>
      <c r="G1544" s="36" t="s">
        <v>20337</v>
      </c>
      <c r="H1544" s="36" t="s">
        <v>20338</v>
      </c>
      <c r="I1544" s="36" t="s">
        <v>20339</v>
      </c>
      <c r="J1544" s="36" t="s">
        <v>20340</v>
      </c>
      <c r="K1544" s="36" t="s">
        <v>20341</v>
      </c>
      <c r="L1544" s="36" t="s">
        <v>20342</v>
      </c>
      <c r="M1544" s="36" t="s">
        <v>20343</v>
      </c>
      <c r="N1544" s="36" t="s">
        <v>20344</v>
      </c>
      <c r="O1544" s="36" t="s">
        <v>20345</v>
      </c>
      <c r="P1544" s="36" t="s">
        <v>20346</v>
      </c>
    </row>
    <row r="1545" spans="1:16">
      <c r="A1545" s="139">
        <v>1544</v>
      </c>
      <c r="B1545" s="36" t="s">
        <v>20347</v>
      </c>
      <c r="C1545" s="36" t="s">
        <v>20348</v>
      </c>
      <c r="D1545" s="36" t="s">
        <v>20349</v>
      </c>
      <c r="E1545" s="36" t="s">
        <v>20350</v>
      </c>
      <c r="F1545" s="36" t="s">
        <v>14391</v>
      </c>
      <c r="G1545" s="36" t="s">
        <v>20351</v>
      </c>
      <c r="H1545" s="36" t="s">
        <v>20352</v>
      </c>
      <c r="I1545" s="36" t="s">
        <v>20353</v>
      </c>
      <c r="J1545" s="36" t="s">
        <v>20354</v>
      </c>
      <c r="K1545" s="36" t="s">
        <v>20355</v>
      </c>
      <c r="L1545" s="36" t="s">
        <v>20356</v>
      </c>
      <c r="M1545" s="36" t="s">
        <v>20357</v>
      </c>
      <c r="N1545" s="36" t="s">
        <v>20358</v>
      </c>
      <c r="O1545" s="36" t="s">
        <v>20359</v>
      </c>
      <c r="P1545" s="36" t="s">
        <v>20347</v>
      </c>
    </row>
    <row r="1546" spans="1:16">
      <c r="A1546" s="139">
        <v>1545</v>
      </c>
      <c r="B1546" s="36" t="s">
        <v>20360</v>
      </c>
      <c r="C1546" s="36" t="s">
        <v>20361</v>
      </c>
      <c r="D1546" s="36" t="s">
        <v>6974</v>
      </c>
      <c r="E1546" s="36" t="s">
        <v>20362</v>
      </c>
      <c r="F1546" s="36" t="s">
        <v>14391</v>
      </c>
      <c r="G1546" s="36" t="s">
        <v>20363</v>
      </c>
      <c r="H1546" s="36" t="s">
        <v>20364</v>
      </c>
      <c r="I1546" s="36" t="s">
        <v>20365</v>
      </c>
      <c r="J1546" s="36" t="s">
        <v>20366</v>
      </c>
      <c r="K1546" s="36" t="s">
        <v>20367</v>
      </c>
      <c r="L1546" s="36" t="s">
        <v>20368</v>
      </c>
      <c r="M1546" s="36" t="s">
        <v>20369</v>
      </c>
      <c r="N1546" s="36" t="s">
        <v>20370</v>
      </c>
      <c r="O1546" s="36" t="s">
        <v>20371</v>
      </c>
      <c r="P1546" s="36" t="s">
        <v>20360</v>
      </c>
    </row>
    <row r="1547" spans="1:16">
      <c r="A1547" s="139">
        <v>1546</v>
      </c>
      <c r="B1547" s="36" t="s">
        <v>20372</v>
      </c>
      <c r="C1547" s="36" t="s">
        <v>20373</v>
      </c>
      <c r="D1547" s="36" t="s">
        <v>20374</v>
      </c>
      <c r="E1547" s="36" t="s">
        <v>20375</v>
      </c>
      <c r="F1547" s="36" t="s">
        <v>20376</v>
      </c>
      <c r="G1547" s="36" t="s">
        <v>20377</v>
      </c>
      <c r="H1547" s="36" t="s">
        <v>20378</v>
      </c>
      <c r="I1547" s="36" t="s">
        <v>20379</v>
      </c>
      <c r="J1547" s="36" t="s">
        <v>20380</v>
      </c>
      <c r="K1547" s="36" t="s">
        <v>20381</v>
      </c>
      <c r="L1547" s="36" t="s">
        <v>20382</v>
      </c>
      <c r="M1547" s="36" t="s">
        <v>20383</v>
      </c>
      <c r="N1547" s="36" t="s">
        <v>20383</v>
      </c>
      <c r="O1547" s="36" t="s">
        <v>20384</v>
      </c>
      <c r="P1547" s="36" t="s">
        <v>20372</v>
      </c>
    </row>
    <row r="1548" spans="1:16">
      <c r="A1548" s="139">
        <v>1547</v>
      </c>
      <c r="B1548" s="36" t="s">
        <v>20385</v>
      </c>
      <c r="C1548" s="36" t="s">
        <v>20386</v>
      </c>
      <c r="D1548" s="36" t="s">
        <v>20387</v>
      </c>
      <c r="E1548" s="36" t="s">
        <v>20388</v>
      </c>
      <c r="F1548" s="36" t="s">
        <v>20385</v>
      </c>
      <c r="G1548" s="36" t="s">
        <v>20385</v>
      </c>
      <c r="H1548" s="36" t="s">
        <v>20385</v>
      </c>
      <c r="I1548" s="36" t="s">
        <v>20385</v>
      </c>
      <c r="J1548" s="36" t="s">
        <v>20385</v>
      </c>
      <c r="K1548" s="36" t="s">
        <v>20385</v>
      </c>
      <c r="L1548" s="36" t="s">
        <v>20389</v>
      </c>
      <c r="M1548" s="36" t="s">
        <v>20385</v>
      </c>
      <c r="N1548" s="36" t="s">
        <v>20390</v>
      </c>
      <c r="O1548" s="36" t="s">
        <v>20391</v>
      </c>
      <c r="P1548" s="36" t="s">
        <v>20385</v>
      </c>
    </row>
    <row r="1549" spans="1:16">
      <c r="A1549" s="139">
        <v>1548</v>
      </c>
      <c r="B1549" s="36" t="s">
        <v>20392</v>
      </c>
      <c r="C1549" s="36" t="s">
        <v>20393</v>
      </c>
      <c r="D1549" s="36" t="s">
        <v>20394</v>
      </c>
      <c r="E1549" s="36" t="s">
        <v>20395</v>
      </c>
      <c r="F1549" s="36" t="s">
        <v>20396</v>
      </c>
      <c r="G1549" s="36" t="s">
        <v>20397</v>
      </c>
      <c r="H1549" s="36" t="s">
        <v>20398</v>
      </c>
      <c r="I1549" s="36" t="s">
        <v>20399</v>
      </c>
      <c r="J1549" s="36" t="s">
        <v>20400</v>
      </c>
      <c r="K1549" s="36" t="s">
        <v>20401</v>
      </c>
      <c r="L1549" s="36" t="s">
        <v>20402</v>
      </c>
      <c r="M1549" s="36" t="s">
        <v>20403</v>
      </c>
      <c r="N1549" s="36" t="s">
        <v>20404</v>
      </c>
      <c r="O1549" s="36" t="s">
        <v>20405</v>
      </c>
      <c r="P1549" s="36" t="s">
        <v>20392</v>
      </c>
    </row>
    <row r="1550" spans="1:16" ht="15" customHeight="1">
      <c r="A1550" s="139">
        <v>1549</v>
      </c>
      <c r="B1550" s="36" t="s">
        <v>20406</v>
      </c>
      <c r="C1550" s="36" t="s">
        <v>20407</v>
      </c>
      <c r="D1550" s="36" t="s">
        <v>20408</v>
      </c>
      <c r="E1550" s="36" t="s">
        <v>20409</v>
      </c>
      <c r="F1550" s="36" t="s">
        <v>20410</v>
      </c>
      <c r="G1550" s="36" t="s">
        <v>20411</v>
      </c>
      <c r="H1550" s="36" t="s">
        <v>20412</v>
      </c>
      <c r="I1550" s="36" t="s">
        <v>20413</v>
      </c>
      <c r="J1550" s="36" t="s">
        <v>20414</v>
      </c>
      <c r="K1550" s="36" t="s">
        <v>20415</v>
      </c>
      <c r="L1550" s="36" t="s">
        <v>20416</v>
      </c>
      <c r="M1550" s="36" t="s">
        <v>20417</v>
      </c>
      <c r="N1550" s="36" t="s">
        <v>20418</v>
      </c>
      <c r="O1550" s="36" t="s">
        <v>20419</v>
      </c>
      <c r="P1550" s="36" t="s">
        <v>20406</v>
      </c>
    </row>
    <row r="1551" spans="1:16" ht="15" customHeight="1">
      <c r="A1551" s="139">
        <v>1550</v>
      </c>
      <c r="B1551" s="36" t="s">
        <v>20420</v>
      </c>
      <c r="C1551" s="36" t="s">
        <v>20421</v>
      </c>
      <c r="D1551" s="36" t="s">
        <v>20422</v>
      </c>
      <c r="E1551" s="36" t="s">
        <v>20423</v>
      </c>
      <c r="F1551" s="36" t="s">
        <v>20424</v>
      </c>
      <c r="G1551" s="36" t="s">
        <v>20425</v>
      </c>
      <c r="H1551" s="36" t="s">
        <v>20426</v>
      </c>
      <c r="I1551" s="36" t="s">
        <v>20427</v>
      </c>
      <c r="J1551" s="36" t="s">
        <v>20428</v>
      </c>
      <c r="K1551" s="36" t="s">
        <v>20429</v>
      </c>
      <c r="L1551" s="36" t="s">
        <v>20430</v>
      </c>
      <c r="M1551" s="36" t="s">
        <v>20431</v>
      </c>
      <c r="N1551" s="36" t="s">
        <v>20432</v>
      </c>
      <c r="O1551" s="36" t="s">
        <v>20433</v>
      </c>
      <c r="P1551" s="36" t="s">
        <v>20420</v>
      </c>
    </row>
    <row r="1552" spans="1:16">
      <c r="A1552" s="139">
        <v>1551</v>
      </c>
      <c r="B1552" s="36" t="s">
        <v>20434</v>
      </c>
      <c r="C1552" s="36" t="s">
        <v>20435</v>
      </c>
      <c r="D1552" s="36" t="s">
        <v>20436</v>
      </c>
      <c r="E1552" s="36" t="s">
        <v>20437</v>
      </c>
      <c r="F1552" s="36" t="s">
        <v>20438</v>
      </c>
      <c r="G1552" s="36" t="s">
        <v>20439</v>
      </c>
      <c r="H1552" s="36" t="s">
        <v>20440</v>
      </c>
      <c r="I1552" s="36" t="s">
        <v>20441</v>
      </c>
      <c r="J1552" s="36" t="s">
        <v>20442</v>
      </c>
      <c r="K1552" s="36" t="s">
        <v>20443</v>
      </c>
      <c r="L1552" s="36" t="s">
        <v>20444</v>
      </c>
      <c r="M1552" s="36" t="s">
        <v>20444</v>
      </c>
      <c r="N1552" s="36" t="s">
        <v>20444</v>
      </c>
      <c r="O1552" s="36" t="s">
        <v>20445</v>
      </c>
      <c r="P1552" s="36" t="s">
        <v>20434</v>
      </c>
    </row>
    <row r="1553" spans="1:16">
      <c r="A1553" s="139">
        <v>1552</v>
      </c>
      <c r="B1553" s="36" t="s">
        <v>13574</v>
      </c>
      <c r="C1553" s="36" t="s">
        <v>13562</v>
      </c>
      <c r="D1553" s="36" t="s">
        <v>13563</v>
      </c>
      <c r="E1553" s="36" t="s">
        <v>20446</v>
      </c>
      <c r="F1553" s="36" t="s">
        <v>20447</v>
      </c>
      <c r="G1553" s="36" t="s">
        <v>20448</v>
      </c>
      <c r="H1553" s="36" t="s">
        <v>20449</v>
      </c>
      <c r="I1553" s="36" t="s">
        <v>20450</v>
      </c>
      <c r="J1553" s="36" t="s">
        <v>20451</v>
      </c>
      <c r="K1553" s="36" t="s">
        <v>13581</v>
      </c>
      <c r="L1553" s="36" t="s">
        <v>20452</v>
      </c>
      <c r="M1553" s="36" t="s">
        <v>20453</v>
      </c>
      <c r="N1553" s="36" t="s">
        <v>20454</v>
      </c>
      <c r="O1553" s="36" t="s">
        <v>20455</v>
      </c>
      <c r="P1553" s="36" t="s">
        <v>13574</v>
      </c>
    </row>
    <row r="1554" spans="1:16" ht="15" customHeight="1">
      <c r="A1554" s="139">
        <v>1553</v>
      </c>
      <c r="B1554" s="36" t="s">
        <v>20456</v>
      </c>
      <c r="C1554" s="36" t="s">
        <v>14751</v>
      </c>
      <c r="D1554" s="36" t="s">
        <v>14752</v>
      </c>
      <c r="E1554" s="36" t="s">
        <v>14753</v>
      </c>
      <c r="F1554" s="36" t="s">
        <v>20457</v>
      </c>
      <c r="G1554" s="36" t="s">
        <v>20458</v>
      </c>
      <c r="H1554" s="36" t="s">
        <v>14756</v>
      </c>
      <c r="I1554" s="36" t="s">
        <v>20459</v>
      </c>
      <c r="J1554" s="36" t="s">
        <v>20460</v>
      </c>
      <c r="K1554" s="36" t="s">
        <v>20461</v>
      </c>
      <c r="L1554" s="36" t="s">
        <v>20462</v>
      </c>
      <c r="M1554" s="36" t="s">
        <v>20463</v>
      </c>
      <c r="N1554" s="36" t="s">
        <v>20464</v>
      </c>
      <c r="O1554" s="36" t="s">
        <v>20465</v>
      </c>
      <c r="P1554" s="36" t="s">
        <v>20456</v>
      </c>
    </row>
    <row r="1555" spans="1:16">
      <c r="A1555" s="139">
        <v>1554</v>
      </c>
      <c r="B1555" s="36" t="s">
        <v>20466</v>
      </c>
      <c r="C1555" s="36" t="s">
        <v>20467</v>
      </c>
      <c r="D1555" s="36" t="s">
        <v>20468</v>
      </c>
      <c r="E1555" s="36" t="s">
        <v>20469</v>
      </c>
      <c r="F1555" s="36" t="s">
        <v>20470</v>
      </c>
      <c r="G1555" s="36" t="s">
        <v>20471</v>
      </c>
      <c r="H1555" s="36" t="s">
        <v>20472</v>
      </c>
      <c r="I1555" s="36" t="s">
        <v>20473</v>
      </c>
      <c r="J1555" s="36" t="s">
        <v>20474</v>
      </c>
      <c r="K1555" s="36" t="s">
        <v>20475</v>
      </c>
      <c r="L1555" s="36" t="s">
        <v>20476</v>
      </c>
      <c r="M1555" s="36" t="s">
        <v>20477</v>
      </c>
      <c r="N1555" s="36" t="s">
        <v>20478</v>
      </c>
      <c r="O1555" s="36" t="s">
        <v>20479</v>
      </c>
      <c r="P1555" s="36" t="s">
        <v>20466</v>
      </c>
    </row>
    <row r="1556" spans="1:16" ht="15" customHeight="1">
      <c r="A1556" s="139">
        <v>1555</v>
      </c>
      <c r="B1556" s="36" t="s">
        <v>20480</v>
      </c>
      <c r="C1556" s="36" t="s">
        <v>20480</v>
      </c>
      <c r="D1556" s="36" t="s">
        <v>20480</v>
      </c>
      <c r="E1556" s="36" t="s">
        <v>20481</v>
      </c>
      <c r="F1556" s="36" t="s">
        <v>20482</v>
      </c>
      <c r="G1556" s="36" t="s">
        <v>20483</v>
      </c>
      <c r="H1556" s="36" t="s">
        <v>20484</v>
      </c>
      <c r="I1556" s="36" t="s">
        <v>20485</v>
      </c>
      <c r="J1556" s="36" t="s">
        <v>20486</v>
      </c>
      <c r="K1556" s="36" t="s">
        <v>20487</v>
      </c>
      <c r="L1556" s="36" t="s">
        <v>20488</v>
      </c>
      <c r="M1556" s="36" t="s">
        <v>20489</v>
      </c>
      <c r="N1556" s="36" t="s">
        <v>20489</v>
      </c>
      <c r="O1556" s="36" t="s">
        <v>20490</v>
      </c>
      <c r="P1556" s="36" t="s">
        <v>20480</v>
      </c>
    </row>
    <row r="1557" spans="1:16">
      <c r="A1557" s="139">
        <v>1556</v>
      </c>
      <c r="B1557" s="36" t="s">
        <v>20491</v>
      </c>
      <c r="C1557" s="36" t="s">
        <v>20492</v>
      </c>
      <c r="D1557" s="36" t="s">
        <v>20493</v>
      </c>
      <c r="E1557" s="36" t="s">
        <v>20494</v>
      </c>
      <c r="F1557" s="36" t="s">
        <v>20495</v>
      </c>
      <c r="G1557" s="36" t="s">
        <v>20496</v>
      </c>
      <c r="H1557" s="36" t="s">
        <v>20497</v>
      </c>
      <c r="I1557" s="36" t="s">
        <v>20498</v>
      </c>
      <c r="J1557" s="36" t="s">
        <v>20499</v>
      </c>
      <c r="K1557" s="36" t="s">
        <v>20500</v>
      </c>
      <c r="L1557" s="36" t="s">
        <v>20501</v>
      </c>
      <c r="M1557" s="36" t="s">
        <v>20502</v>
      </c>
      <c r="N1557" s="36" t="s">
        <v>20503</v>
      </c>
      <c r="O1557" s="36" t="s">
        <v>20504</v>
      </c>
      <c r="P1557" s="36" t="s">
        <v>20491</v>
      </c>
    </row>
    <row r="1558" spans="1:16">
      <c r="A1558" s="139">
        <v>1557</v>
      </c>
      <c r="B1558" s="36" t="s">
        <v>20505</v>
      </c>
      <c r="C1558" s="36" t="s">
        <v>20506</v>
      </c>
      <c r="D1558" s="36" t="s">
        <v>20507</v>
      </c>
      <c r="E1558" s="36" t="s">
        <v>20508</v>
      </c>
      <c r="F1558" s="36" t="s">
        <v>20509</v>
      </c>
      <c r="G1558" s="36" t="s">
        <v>20510</v>
      </c>
      <c r="H1558" s="36" t="s">
        <v>20511</v>
      </c>
      <c r="I1558" s="36" t="s">
        <v>20512</v>
      </c>
      <c r="J1558" s="36" t="s">
        <v>20513</v>
      </c>
      <c r="K1558" s="36" t="s">
        <v>20514</v>
      </c>
      <c r="L1558" s="36" t="s">
        <v>20515</v>
      </c>
      <c r="M1558" s="36" t="s">
        <v>20516</v>
      </c>
      <c r="N1558" s="36" t="s">
        <v>20517</v>
      </c>
      <c r="O1558" s="36" t="s">
        <v>20518</v>
      </c>
      <c r="P1558" s="36" t="s">
        <v>20505</v>
      </c>
    </row>
    <row r="1559" spans="1:16">
      <c r="A1559" s="139">
        <v>1558</v>
      </c>
      <c r="B1559" s="36" t="s">
        <v>20519</v>
      </c>
      <c r="C1559" s="36" t="s">
        <v>20520</v>
      </c>
      <c r="D1559" s="36" t="s">
        <v>20521</v>
      </c>
      <c r="E1559" s="36" t="s">
        <v>20522</v>
      </c>
      <c r="F1559" s="36" t="s">
        <v>20523</v>
      </c>
      <c r="G1559" s="36" t="s">
        <v>20524</v>
      </c>
      <c r="H1559" s="36" t="s">
        <v>20525</v>
      </c>
      <c r="I1559" s="36" t="s">
        <v>20526</v>
      </c>
      <c r="J1559" s="36" t="s">
        <v>20527</v>
      </c>
      <c r="K1559" s="36" t="s">
        <v>20528</v>
      </c>
      <c r="L1559" s="36" t="s">
        <v>20529</v>
      </c>
      <c r="M1559" s="36" t="s">
        <v>20530</v>
      </c>
      <c r="N1559" s="36" t="s">
        <v>20531</v>
      </c>
      <c r="O1559" s="36" t="s">
        <v>20532</v>
      </c>
      <c r="P1559" s="36" t="s">
        <v>20519</v>
      </c>
    </row>
    <row r="1560" spans="1:16">
      <c r="A1560" s="139">
        <v>1559</v>
      </c>
      <c r="B1560" s="36" t="s">
        <v>20533</v>
      </c>
      <c r="C1560" s="36" t="s">
        <v>20534</v>
      </c>
      <c r="D1560" s="36" t="s">
        <v>20535</v>
      </c>
      <c r="E1560" s="36" t="s">
        <v>20536</v>
      </c>
      <c r="F1560" s="36" t="s">
        <v>20537</v>
      </c>
      <c r="G1560" s="36" t="s">
        <v>20538</v>
      </c>
      <c r="H1560" s="36" t="s">
        <v>20539</v>
      </c>
      <c r="I1560" s="36" t="s">
        <v>20540</v>
      </c>
      <c r="J1560" s="36" t="s">
        <v>20541</v>
      </c>
      <c r="K1560" s="36" t="s">
        <v>20542</v>
      </c>
      <c r="L1560" s="36" t="s">
        <v>20543</v>
      </c>
      <c r="M1560" s="36" t="s">
        <v>20544</v>
      </c>
      <c r="N1560" s="36" t="s">
        <v>20545</v>
      </c>
      <c r="O1560" s="36" t="s">
        <v>20546</v>
      </c>
      <c r="P1560" s="36" t="s">
        <v>20533</v>
      </c>
    </row>
    <row r="1561" spans="1:16">
      <c r="A1561" s="139">
        <v>1560</v>
      </c>
      <c r="B1561" s="36" t="s">
        <v>20547</v>
      </c>
      <c r="C1561" s="36" t="s">
        <v>20548</v>
      </c>
      <c r="D1561" s="36" t="s">
        <v>20549</v>
      </c>
      <c r="E1561" s="36" t="s">
        <v>20550</v>
      </c>
      <c r="F1561" s="36" t="s">
        <v>20551</v>
      </c>
      <c r="G1561" s="36" t="s">
        <v>20552</v>
      </c>
      <c r="H1561" s="36" t="s">
        <v>20553</v>
      </c>
      <c r="I1561" s="36" t="s">
        <v>20554</v>
      </c>
      <c r="J1561" s="36" t="s">
        <v>20555</v>
      </c>
      <c r="K1561" s="36" t="s">
        <v>20556</v>
      </c>
      <c r="L1561" s="36" t="s">
        <v>20557</v>
      </c>
      <c r="M1561" s="36" t="s">
        <v>20558</v>
      </c>
      <c r="N1561" s="36" t="s">
        <v>20559</v>
      </c>
      <c r="O1561" s="36" t="s">
        <v>20560</v>
      </c>
      <c r="P1561" s="36" t="s">
        <v>20547</v>
      </c>
    </row>
    <row r="1562" spans="1:16">
      <c r="A1562" s="139">
        <v>1561</v>
      </c>
      <c r="B1562" s="36" t="s">
        <v>20561</v>
      </c>
      <c r="C1562" s="36" t="s">
        <v>20562</v>
      </c>
      <c r="D1562" s="36" t="s">
        <v>20563</v>
      </c>
      <c r="E1562" s="36" t="s">
        <v>20564</v>
      </c>
      <c r="F1562" s="36" t="s">
        <v>20565</v>
      </c>
      <c r="G1562" s="36" t="s">
        <v>20566</v>
      </c>
      <c r="H1562" s="36" t="s">
        <v>20567</v>
      </c>
      <c r="I1562" s="36" t="s">
        <v>20568</v>
      </c>
      <c r="J1562" s="36" t="s">
        <v>20569</v>
      </c>
      <c r="K1562" s="36" t="s">
        <v>20570</v>
      </c>
      <c r="L1562" s="36" t="s">
        <v>20571</v>
      </c>
      <c r="M1562" s="36" t="s">
        <v>20572</v>
      </c>
      <c r="N1562" s="36" t="s">
        <v>20573</v>
      </c>
      <c r="O1562" s="36" t="s">
        <v>20574</v>
      </c>
      <c r="P1562" s="36" t="s">
        <v>20561</v>
      </c>
    </row>
    <row r="1563" spans="1:16">
      <c r="A1563" s="139">
        <v>1562</v>
      </c>
      <c r="B1563" s="36" t="s">
        <v>20575</v>
      </c>
      <c r="C1563" s="36" t="s">
        <v>20576</v>
      </c>
      <c r="D1563" s="36" t="s">
        <v>20577</v>
      </c>
      <c r="E1563" s="36" t="s">
        <v>20578</v>
      </c>
      <c r="F1563" s="36" t="s">
        <v>20579</v>
      </c>
      <c r="G1563" s="36" t="s">
        <v>20580</v>
      </c>
      <c r="H1563" s="36" t="s">
        <v>20581</v>
      </c>
      <c r="I1563" s="36" t="s">
        <v>20582</v>
      </c>
      <c r="J1563" s="36" t="s">
        <v>20583</v>
      </c>
      <c r="K1563" s="36" t="s">
        <v>20584</v>
      </c>
      <c r="L1563" s="36" t="s">
        <v>20585</v>
      </c>
      <c r="M1563" s="36" t="s">
        <v>20586</v>
      </c>
      <c r="N1563" s="36" t="s">
        <v>20587</v>
      </c>
      <c r="O1563" s="36" t="s">
        <v>20588</v>
      </c>
      <c r="P1563" s="36" t="s">
        <v>20575</v>
      </c>
    </row>
    <row r="1564" spans="1:16">
      <c r="A1564" s="139">
        <v>1563</v>
      </c>
      <c r="B1564" s="36" t="s">
        <v>20589</v>
      </c>
      <c r="C1564" s="36" t="s">
        <v>20590</v>
      </c>
      <c r="D1564" s="36" t="s">
        <v>20590</v>
      </c>
      <c r="E1564" s="36" t="s">
        <v>20590</v>
      </c>
      <c r="F1564" s="36" t="s">
        <v>20590</v>
      </c>
      <c r="G1564" s="36" t="s">
        <v>20590</v>
      </c>
      <c r="H1564" s="36" t="s">
        <v>20590</v>
      </c>
      <c r="I1564" s="36" t="s">
        <v>20590</v>
      </c>
      <c r="J1564" s="36" t="s">
        <v>20590</v>
      </c>
      <c r="K1564" s="36" t="s">
        <v>20590</v>
      </c>
      <c r="L1564" s="36" t="s">
        <v>20590</v>
      </c>
      <c r="M1564" s="36" t="s">
        <v>20590</v>
      </c>
      <c r="N1564" s="36" t="s">
        <v>20590</v>
      </c>
      <c r="O1564" s="36" t="s">
        <v>20590</v>
      </c>
      <c r="P1564" s="36" t="s">
        <v>20589</v>
      </c>
    </row>
    <row r="1565" spans="1:16">
      <c r="A1565" s="139">
        <v>1564</v>
      </c>
      <c r="B1565" s="36" t="s">
        <v>20591</v>
      </c>
      <c r="C1565" s="36" t="s">
        <v>20592</v>
      </c>
      <c r="D1565" s="36" t="s">
        <v>20593</v>
      </c>
      <c r="E1565" s="36" t="s">
        <v>20594</v>
      </c>
      <c r="F1565" s="36" t="s">
        <v>20595</v>
      </c>
      <c r="G1565" s="36" t="s">
        <v>20596</v>
      </c>
      <c r="H1565" s="36" t="s">
        <v>20597</v>
      </c>
      <c r="I1565" s="36" t="s">
        <v>20598</v>
      </c>
      <c r="J1565" s="36" t="s">
        <v>20599</v>
      </c>
      <c r="K1565" s="36" t="s">
        <v>20600</v>
      </c>
      <c r="L1565" s="36" t="s">
        <v>20601</v>
      </c>
      <c r="M1565" s="36" t="s">
        <v>20602</v>
      </c>
      <c r="N1565" s="36" t="s">
        <v>20603</v>
      </c>
      <c r="O1565" s="36" t="s">
        <v>20604</v>
      </c>
      <c r="P1565" s="36" t="s">
        <v>20591</v>
      </c>
    </row>
    <row r="1566" spans="1:16" ht="13.95" customHeight="1">
      <c r="A1566" s="139">
        <v>1565</v>
      </c>
      <c r="B1566" s="36" t="s">
        <v>20605</v>
      </c>
      <c r="C1566" s="36" t="s">
        <v>20606</v>
      </c>
      <c r="D1566" s="36" t="s">
        <v>20607</v>
      </c>
      <c r="E1566" s="36" t="s">
        <v>20608</v>
      </c>
      <c r="F1566" s="36" t="s">
        <v>20609</v>
      </c>
      <c r="G1566" s="36" t="s">
        <v>20610</v>
      </c>
      <c r="H1566" s="36" t="s">
        <v>20611</v>
      </c>
      <c r="I1566" s="36" t="s">
        <v>20612</v>
      </c>
      <c r="J1566" s="36" t="s">
        <v>20613</v>
      </c>
      <c r="K1566" s="36" t="s">
        <v>20614</v>
      </c>
      <c r="L1566" s="36" t="s">
        <v>20615</v>
      </c>
      <c r="M1566" s="36" t="s">
        <v>20616</v>
      </c>
      <c r="N1566" s="36" t="s">
        <v>20617</v>
      </c>
      <c r="O1566" s="36" t="s">
        <v>20618</v>
      </c>
      <c r="P1566" s="36" t="s">
        <v>20605</v>
      </c>
    </row>
    <row r="1567" spans="1:16">
      <c r="A1567" s="139">
        <v>1566</v>
      </c>
      <c r="B1567" s="36" t="s">
        <v>20619</v>
      </c>
      <c r="C1567" s="36" t="s">
        <v>20620</v>
      </c>
      <c r="D1567" s="36" t="s">
        <v>20621</v>
      </c>
      <c r="E1567" s="36" t="s">
        <v>20622</v>
      </c>
      <c r="F1567" s="36" t="s">
        <v>20623</v>
      </c>
      <c r="G1567" s="36" t="s">
        <v>20624</v>
      </c>
      <c r="H1567" s="36" t="s">
        <v>20625</v>
      </c>
      <c r="I1567" s="36" t="s">
        <v>20626</v>
      </c>
      <c r="J1567" s="36" t="s">
        <v>20627</v>
      </c>
      <c r="K1567" s="36" t="s">
        <v>20628</v>
      </c>
      <c r="L1567" s="36" t="s">
        <v>20629</v>
      </c>
      <c r="M1567" s="36" t="s">
        <v>20630</v>
      </c>
      <c r="N1567" s="36" t="s">
        <v>20631</v>
      </c>
      <c r="O1567" s="36" t="s">
        <v>20632</v>
      </c>
      <c r="P1567" s="36" t="s">
        <v>20619</v>
      </c>
    </row>
    <row r="1568" spans="1:16">
      <c r="A1568" s="139">
        <v>1567</v>
      </c>
      <c r="B1568" s="36" t="s">
        <v>20633</v>
      </c>
      <c r="C1568" s="36" t="s">
        <v>20634</v>
      </c>
      <c r="D1568" s="36" t="s">
        <v>20635</v>
      </c>
      <c r="E1568" s="36" t="s">
        <v>20636</v>
      </c>
      <c r="F1568" s="36" t="s">
        <v>20637</v>
      </c>
      <c r="G1568" s="36" t="s">
        <v>20638</v>
      </c>
      <c r="H1568" s="36" t="s">
        <v>20639</v>
      </c>
      <c r="I1568" s="36" t="s">
        <v>20640</v>
      </c>
      <c r="J1568" s="36" t="s">
        <v>20641</v>
      </c>
      <c r="K1568" s="36" t="s">
        <v>20642</v>
      </c>
      <c r="L1568" s="36" t="s">
        <v>20643</v>
      </c>
      <c r="M1568" s="36" t="s">
        <v>20644</v>
      </c>
      <c r="N1568" s="36" t="s">
        <v>20645</v>
      </c>
      <c r="O1568" s="36" t="s">
        <v>20646</v>
      </c>
      <c r="P1568" s="36" t="s">
        <v>20633</v>
      </c>
    </row>
    <row r="1569" spans="1:16">
      <c r="A1569" s="139">
        <v>1568</v>
      </c>
      <c r="B1569" s="36" t="s">
        <v>20647</v>
      </c>
      <c r="C1569" s="36" t="s">
        <v>20648</v>
      </c>
      <c r="D1569" s="36" t="s">
        <v>20649</v>
      </c>
      <c r="E1569" s="36" t="s">
        <v>20650</v>
      </c>
      <c r="F1569" s="36" t="s">
        <v>20651</v>
      </c>
      <c r="G1569" s="36" t="s">
        <v>20652</v>
      </c>
      <c r="H1569" s="36" t="s">
        <v>20653</v>
      </c>
      <c r="I1569" s="36" t="s">
        <v>20654</v>
      </c>
      <c r="J1569" s="36" t="s">
        <v>20655</v>
      </c>
      <c r="K1569" s="36" t="s">
        <v>20656</v>
      </c>
      <c r="L1569" s="36" t="s">
        <v>20657</v>
      </c>
      <c r="M1569" s="36" t="s">
        <v>20658</v>
      </c>
      <c r="N1569" s="36" t="s">
        <v>20659</v>
      </c>
      <c r="O1569" s="36" t="s">
        <v>20660</v>
      </c>
      <c r="P1569" s="36" t="s">
        <v>20647</v>
      </c>
    </row>
    <row r="1570" spans="1:16">
      <c r="A1570" s="139">
        <v>1569</v>
      </c>
      <c r="B1570" s="36" t="s">
        <v>20661</v>
      </c>
      <c r="C1570" s="36" t="s">
        <v>20662</v>
      </c>
      <c r="D1570" s="36" t="s">
        <v>20663</v>
      </c>
      <c r="E1570" s="36" t="s">
        <v>20664</v>
      </c>
      <c r="F1570" s="36" t="s">
        <v>20665</v>
      </c>
      <c r="G1570" s="36" t="s">
        <v>20666</v>
      </c>
      <c r="H1570" s="36" t="s">
        <v>20667</v>
      </c>
      <c r="I1570" s="36" t="s">
        <v>20668</v>
      </c>
      <c r="J1570" s="36" t="s">
        <v>20669</v>
      </c>
      <c r="K1570" s="36" t="s">
        <v>20670</v>
      </c>
      <c r="L1570" s="36" t="s">
        <v>20671</v>
      </c>
      <c r="M1570" s="36" t="s">
        <v>20672</v>
      </c>
      <c r="N1570" s="36" t="s">
        <v>20673</v>
      </c>
      <c r="O1570" s="36" t="s">
        <v>20674</v>
      </c>
      <c r="P1570" s="36" t="s">
        <v>20661</v>
      </c>
    </row>
    <row r="1571" spans="1:16">
      <c r="A1571" s="139">
        <v>1570</v>
      </c>
      <c r="B1571" s="36" t="s">
        <v>20675</v>
      </c>
      <c r="C1571" s="36" t="s">
        <v>20676</v>
      </c>
      <c r="D1571" s="36" t="s">
        <v>20677</v>
      </c>
      <c r="E1571" s="36" t="s">
        <v>20678</v>
      </c>
      <c r="F1571" s="36" t="s">
        <v>20679</v>
      </c>
      <c r="G1571" s="36" t="s">
        <v>20680</v>
      </c>
      <c r="H1571" s="36" t="s">
        <v>20681</v>
      </c>
      <c r="I1571" s="36" t="s">
        <v>20682</v>
      </c>
      <c r="J1571" s="36" t="s">
        <v>20683</v>
      </c>
      <c r="K1571" s="36" t="s">
        <v>20684</v>
      </c>
      <c r="L1571" s="36" t="s">
        <v>20685</v>
      </c>
      <c r="M1571" s="36" t="s">
        <v>20686</v>
      </c>
      <c r="N1571" s="36" t="s">
        <v>20687</v>
      </c>
      <c r="O1571" s="36" t="s">
        <v>20688</v>
      </c>
      <c r="P1571" s="36" t="s">
        <v>20675</v>
      </c>
    </row>
    <row r="1572" spans="1:16">
      <c r="A1572" s="139">
        <v>1571</v>
      </c>
      <c r="B1572" s="36" t="s">
        <v>20689</v>
      </c>
      <c r="C1572" s="36" t="s">
        <v>20690</v>
      </c>
      <c r="D1572" s="36" t="s">
        <v>20691</v>
      </c>
      <c r="E1572" s="36" t="s">
        <v>20692</v>
      </c>
      <c r="F1572" s="36" t="s">
        <v>20693</v>
      </c>
      <c r="G1572" s="36" t="s">
        <v>20694</v>
      </c>
      <c r="H1572" s="36" t="s">
        <v>20695</v>
      </c>
      <c r="I1572" s="36" t="s">
        <v>20696</v>
      </c>
      <c r="J1572" s="36" t="s">
        <v>20697</v>
      </c>
      <c r="K1572" s="36" t="s">
        <v>20698</v>
      </c>
      <c r="L1572" s="36" t="s">
        <v>20699</v>
      </c>
      <c r="M1572" s="36" t="s">
        <v>20700</v>
      </c>
      <c r="N1572" s="36" t="s">
        <v>20701</v>
      </c>
      <c r="O1572" s="36" t="s">
        <v>20702</v>
      </c>
      <c r="P1572" s="36" t="s">
        <v>20689</v>
      </c>
    </row>
    <row r="1573" spans="1:16">
      <c r="A1573" s="139">
        <v>1572</v>
      </c>
      <c r="B1573" s="36" t="s">
        <v>20703</v>
      </c>
      <c r="C1573" s="36" t="s">
        <v>20704</v>
      </c>
      <c r="D1573" s="36" t="s">
        <v>20705</v>
      </c>
      <c r="E1573" s="36" t="s">
        <v>20706</v>
      </c>
      <c r="F1573" s="36" t="s">
        <v>20707</v>
      </c>
      <c r="G1573" s="36" t="s">
        <v>20708</v>
      </c>
      <c r="H1573" s="36" t="s">
        <v>20709</v>
      </c>
      <c r="I1573" s="36" t="s">
        <v>20710</v>
      </c>
      <c r="J1573" s="36" t="s">
        <v>20711</v>
      </c>
      <c r="K1573" s="36" t="s">
        <v>20712</v>
      </c>
      <c r="L1573" s="36" t="s">
        <v>20713</v>
      </c>
      <c r="M1573" s="36" t="s">
        <v>20714</v>
      </c>
      <c r="N1573" s="36" t="s">
        <v>20715</v>
      </c>
      <c r="O1573" s="36" t="s">
        <v>20716</v>
      </c>
      <c r="P1573" s="36" t="s">
        <v>20703</v>
      </c>
    </row>
    <row r="1574" spans="1:16">
      <c r="A1574" s="139">
        <v>1573</v>
      </c>
      <c r="B1574" s="36" t="s">
        <v>20717</v>
      </c>
      <c r="C1574" s="36" t="s">
        <v>20718</v>
      </c>
      <c r="D1574" s="36" t="s">
        <v>20719</v>
      </c>
      <c r="E1574" s="36" t="s">
        <v>20720</v>
      </c>
      <c r="F1574" s="36" t="s">
        <v>20721</v>
      </c>
      <c r="G1574" s="36" t="s">
        <v>20722</v>
      </c>
      <c r="H1574" s="36" t="s">
        <v>20723</v>
      </c>
      <c r="I1574" s="36" t="s">
        <v>20724</v>
      </c>
      <c r="J1574" s="36" t="s">
        <v>20725</v>
      </c>
      <c r="K1574" s="36" t="s">
        <v>20726</v>
      </c>
      <c r="L1574" s="36" t="s">
        <v>20727</v>
      </c>
      <c r="M1574" s="36" t="s">
        <v>20728</v>
      </c>
      <c r="N1574" s="36" t="s">
        <v>20729</v>
      </c>
      <c r="O1574" s="36" t="s">
        <v>20730</v>
      </c>
      <c r="P1574" s="36" t="s">
        <v>20717</v>
      </c>
    </row>
    <row r="1575" spans="1:16" ht="13.95" customHeight="1">
      <c r="A1575" s="139">
        <v>1574</v>
      </c>
      <c r="B1575" s="36" t="s">
        <v>20731</v>
      </c>
      <c r="C1575" s="36" t="s">
        <v>20732</v>
      </c>
      <c r="D1575" s="36" t="s">
        <v>20733</v>
      </c>
      <c r="E1575" s="36" t="s">
        <v>20734</v>
      </c>
      <c r="F1575" s="36" t="s">
        <v>20735</v>
      </c>
      <c r="G1575" s="36" t="s">
        <v>20736</v>
      </c>
      <c r="H1575" s="36" t="s">
        <v>20737</v>
      </c>
      <c r="I1575" s="36" t="s">
        <v>20738</v>
      </c>
      <c r="J1575" s="36" t="s">
        <v>20739</v>
      </c>
      <c r="K1575" s="36" t="s">
        <v>20740</v>
      </c>
      <c r="L1575" s="36" t="s">
        <v>20741</v>
      </c>
      <c r="M1575" s="36" t="s">
        <v>20742</v>
      </c>
      <c r="N1575" s="36" t="s">
        <v>20743</v>
      </c>
      <c r="O1575" s="36" t="s">
        <v>20744</v>
      </c>
      <c r="P1575" s="36" t="s">
        <v>20731</v>
      </c>
    </row>
    <row r="1576" spans="1:16" ht="13.95" customHeight="1">
      <c r="A1576" s="139">
        <v>1575</v>
      </c>
      <c r="B1576" s="36" t="s">
        <v>20745</v>
      </c>
      <c r="C1576" s="36" t="s">
        <v>20746</v>
      </c>
      <c r="D1576" s="36" t="s">
        <v>20747</v>
      </c>
      <c r="E1576" s="36" t="s">
        <v>20748</v>
      </c>
      <c r="F1576" s="36" t="s">
        <v>20749</v>
      </c>
      <c r="G1576" s="36" t="s">
        <v>20750</v>
      </c>
      <c r="H1576" s="36" t="s">
        <v>20751</v>
      </c>
      <c r="I1576" s="36" t="s">
        <v>20752</v>
      </c>
      <c r="J1576" s="36" t="s">
        <v>20753</v>
      </c>
      <c r="K1576" s="36" t="s">
        <v>20754</v>
      </c>
      <c r="L1576" s="36" t="s">
        <v>20755</v>
      </c>
      <c r="M1576" s="36" t="s">
        <v>20756</v>
      </c>
      <c r="N1576" s="36" t="s">
        <v>20757</v>
      </c>
      <c r="O1576" s="36" t="s">
        <v>20758</v>
      </c>
      <c r="P1576" s="36" t="s">
        <v>20745</v>
      </c>
    </row>
    <row r="1577" spans="1:16">
      <c r="A1577" s="139">
        <v>1576</v>
      </c>
      <c r="B1577" s="36" t="s">
        <v>20759</v>
      </c>
      <c r="C1577" s="36" t="s">
        <v>20760</v>
      </c>
      <c r="D1577" s="36" t="s">
        <v>20761</v>
      </c>
      <c r="E1577" s="36" t="s">
        <v>20762</v>
      </c>
      <c r="F1577" s="36" t="s">
        <v>20763</v>
      </c>
      <c r="G1577" s="36" t="s">
        <v>20764</v>
      </c>
      <c r="H1577" s="36" t="s">
        <v>20765</v>
      </c>
      <c r="I1577" s="36" t="s">
        <v>20766</v>
      </c>
      <c r="J1577" s="36" t="s">
        <v>20767</v>
      </c>
      <c r="K1577" s="36" t="s">
        <v>20768</v>
      </c>
      <c r="L1577" s="36" t="s">
        <v>20769</v>
      </c>
      <c r="M1577" s="36" t="s">
        <v>20770</v>
      </c>
      <c r="N1577" s="36" t="s">
        <v>20771</v>
      </c>
      <c r="O1577" s="36" t="s">
        <v>20772</v>
      </c>
      <c r="P1577" s="36" t="s">
        <v>20759</v>
      </c>
    </row>
    <row r="1578" spans="1:16">
      <c r="A1578" s="139">
        <v>1577</v>
      </c>
      <c r="B1578" s="36" t="s">
        <v>20773</v>
      </c>
      <c r="C1578" s="36" t="s">
        <v>20774</v>
      </c>
      <c r="D1578" s="36" t="s">
        <v>20775</v>
      </c>
      <c r="E1578" s="36" t="s">
        <v>20776</v>
      </c>
      <c r="F1578" s="36" t="s">
        <v>20777</v>
      </c>
      <c r="G1578" s="36" t="s">
        <v>20778</v>
      </c>
      <c r="H1578" s="36" t="s">
        <v>20779</v>
      </c>
      <c r="I1578" s="36" t="s">
        <v>20780</v>
      </c>
      <c r="J1578" s="36" t="s">
        <v>20781</v>
      </c>
      <c r="K1578" s="36" t="s">
        <v>20782</v>
      </c>
      <c r="L1578" s="36" t="s">
        <v>20783</v>
      </c>
      <c r="M1578" s="36" t="s">
        <v>20784</v>
      </c>
      <c r="N1578" s="36" t="s">
        <v>20785</v>
      </c>
      <c r="O1578" s="36" t="s">
        <v>20786</v>
      </c>
      <c r="P1578" s="36" t="s">
        <v>20773</v>
      </c>
    </row>
    <row r="1579" spans="1:16">
      <c r="A1579" s="139">
        <v>1578</v>
      </c>
      <c r="B1579" s="36" t="s">
        <v>4368</v>
      </c>
      <c r="C1579" s="36" t="s">
        <v>4369</v>
      </c>
      <c r="D1579" s="36" t="s">
        <v>4370</v>
      </c>
      <c r="E1579" s="36" t="s">
        <v>4371</v>
      </c>
      <c r="F1579" s="36" t="s">
        <v>4372</v>
      </c>
      <c r="G1579" s="36" t="s">
        <v>4373</v>
      </c>
      <c r="H1579" s="36" t="s">
        <v>4374</v>
      </c>
      <c r="I1579" s="36" t="s">
        <v>4375</v>
      </c>
      <c r="J1579" s="36" t="s">
        <v>4376</v>
      </c>
      <c r="K1579" s="36" t="s">
        <v>4377</v>
      </c>
      <c r="L1579" s="36" t="s">
        <v>4378</v>
      </c>
      <c r="M1579" s="36" t="s">
        <v>4379</v>
      </c>
      <c r="N1579" s="36" t="s">
        <v>4380</v>
      </c>
      <c r="O1579" s="36" t="s">
        <v>4381</v>
      </c>
      <c r="P1579" s="36" t="s">
        <v>4382</v>
      </c>
    </row>
    <row r="1580" spans="1:16">
      <c r="A1580" s="139">
        <v>1579</v>
      </c>
      <c r="B1580" s="36" t="s">
        <v>4398</v>
      </c>
      <c r="C1580" s="36" t="s">
        <v>20787</v>
      </c>
      <c r="D1580" s="36" t="s">
        <v>4400</v>
      </c>
      <c r="E1580" s="36" t="s">
        <v>4401</v>
      </c>
      <c r="F1580" s="36" t="s">
        <v>4402</v>
      </c>
      <c r="G1580" s="36" t="s">
        <v>4403</v>
      </c>
      <c r="H1580" s="36" t="s">
        <v>4404</v>
      </c>
      <c r="I1580" s="36" t="s">
        <v>4405</v>
      </c>
      <c r="J1580" s="36" t="s">
        <v>4406</v>
      </c>
      <c r="K1580" s="36" t="s">
        <v>4407</v>
      </c>
      <c r="L1580" s="36" t="s">
        <v>4408</v>
      </c>
      <c r="M1580" s="36" t="s">
        <v>4409</v>
      </c>
      <c r="N1580" s="36" t="s">
        <v>4410</v>
      </c>
      <c r="O1580" s="36" t="s">
        <v>4411</v>
      </c>
      <c r="P1580" s="36" t="s">
        <v>4398</v>
      </c>
    </row>
    <row r="1581" spans="1:16">
      <c r="A1581" s="139">
        <v>1580</v>
      </c>
      <c r="B1581" s="36" t="s">
        <v>7665</v>
      </c>
      <c r="C1581" s="36" t="s">
        <v>20788</v>
      </c>
      <c r="D1581" s="36" t="s">
        <v>7667</v>
      </c>
      <c r="E1581" s="36" t="s">
        <v>7668</v>
      </c>
      <c r="F1581" s="36" t="s">
        <v>7669</v>
      </c>
      <c r="G1581" s="36" t="s">
        <v>7670</v>
      </c>
      <c r="H1581" s="36" t="s">
        <v>7671</v>
      </c>
      <c r="I1581" s="36" t="s">
        <v>7672</v>
      </c>
      <c r="J1581" s="36" t="s">
        <v>7673</v>
      </c>
      <c r="K1581" s="36" t="s">
        <v>7674</v>
      </c>
      <c r="L1581" s="36" t="s">
        <v>7675</v>
      </c>
      <c r="M1581" s="36" t="s">
        <v>7676</v>
      </c>
      <c r="N1581" s="36" t="s">
        <v>7677</v>
      </c>
      <c r="O1581" s="36" t="s">
        <v>7678</v>
      </c>
      <c r="P1581" s="36" t="s">
        <v>7665</v>
      </c>
    </row>
    <row r="1582" spans="1:16">
      <c r="A1582" s="139">
        <v>1581</v>
      </c>
      <c r="B1582" s="36" t="s">
        <v>20789</v>
      </c>
      <c r="C1582" s="36" t="s">
        <v>20790</v>
      </c>
      <c r="D1582" s="36" t="s">
        <v>20791</v>
      </c>
      <c r="E1582" s="36" t="s">
        <v>20792</v>
      </c>
      <c r="F1582" s="36" t="s">
        <v>20793</v>
      </c>
      <c r="G1582" s="36" t="s">
        <v>20794</v>
      </c>
      <c r="H1582" s="36" t="s">
        <v>20795</v>
      </c>
      <c r="I1582" s="36" t="s">
        <v>20796</v>
      </c>
      <c r="J1582" s="36" t="s">
        <v>20797</v>
      </c>
      <c r="K1582" s="36" t="s">
        <v>20798</v>
      </c>
      <c r="L1582" s="36" t="s">
        <v>20799</v>
      </c>
      <c r="M1582" s="36" t="s">
        <v>20800</v>
      </c>
      <c r="N1582" s="36" t="s">
        <v>20801</v>
      </c>
      <c r="O1582" s="36" t="s">
        <v>20802</v>
      </c>
      <c r="P1582" s="36" t="s">
        <v>20789</v>
      </c>
    </row>
    <row r="1583" spans="1:16">
      <c r="A1583" s="139">
        <v>1582</v>
      </c>
      <c r="B1583" s="36" t="s">
        <v>20803</v>
      </c>
      <c r="C1583" s="36" t="s">
        <v>20804</v>
      </c>
      <c r="D1583" s="36" t="s">
        <v>20805</v>
      </c>
      <c r="E1583" s="36" t="s">
        <v>20806</v>
      </c>
      <c r="F1583" s="36" t="s">
        <v>20807</v>
      </c>
      <c r="G1583" s="36" t="s">
        <v>20808</v>
      </c>
      <c r="H1583" s="36" t="s">
        <v>20809</v>
      </c>
      <c r="I1583" s="36" t="s">
        <v>20810</v>
      </c>
      <c r="J1583" s="36" t="s">
        <v>20811</v>
      </c>
      <c r="K1583" s="36" t="s">
        <v>20812</v>
      </c>
      <c r="L1583" s="36" t="s">
        <v>20813</v>
      </c>
      <c r="M1583" s="36" t="s">
        <v>20814</v>
      </c>
      <c r="N1583" s="36" t="s">
        <v>20815</v>
      </c>
      <c r="O1583" s="36" t="s">
        <v>20816</v>
      </c>
      <c r="P1583" s="36" t="s">
        <v>20803</v>
      </c>
    </row>
    <row r="1584" spans="1:16">
      <c r="A1584" s="139">
        <v>1583</v>
      </c>
      <c r="B1584" s="36" t="s">
        <v>20817</v>
      </c>
      <c r="C1584" s="36" t="s">
        <v>20818</v>
      </c>
      <c r="D1584" s="36" t="s">
        <v>20819</v>
      </c>
      <c r="E1584" s="36" t="s">
        <v>20820</v>
      </c>
      <c r="F1584" s="36" t="s">
        <v>20821</v>
      </c>
      <c r="G1584" s="36" t="s">
        <v>20822</v>
      </c>
      <c r="H1584" s="36" t="s">
        <v>20823</v>
      </c>
      <c r="I1584" s="36" t="s">
        <v>20824</v>
      </c>
      <c r="J1584" s="36" t="s">
        <v>20825</v>
      </c>
      <c r="K1584" s="36" t="s">
        <v>20826</v>
      </c>
      <c r="L1584" s="36" t="s">
        <v>20827</v>
      </c>
      <c r="M1584" s="36" t="s">
        <v>20828</v>
      </c>
      <c r="N1584" s="36" t="s">
        <v>20829</v>
      </c>
      <c r="O1584" s="36" t="s">
        <v>20830</v>
      </c>
      <c r="P1584" s="36" t="s">
        <v>20817</v>
      </c>
    </row>
    <row r="1585" spans="1:16">
      <c r="A1585" s="139">
        <v>1584</v>
      </c>
      <c r="B1585" s="36" t="s">
        <v>7679</v>
      </c>
      <c r="C1585" s="36" t="s">
        <v>20831</v>
      </c>
      <c r="D1585" s="36" t="s">
        <v>7681</v>
      </c>
      <c r="E1585" s="36" t="s">
        <v>7682</v>
      </c>
      <c r="F1585" s="36" t="s">
        <v>7683</v>
      </c>
      <c r="G1585" s="36" t="s">
        <v>7684</v>
      </c>
      <c r="H1585" s="36" t="s">
        <v>7685</v>
      </c>
      <c r="I1585" s="36" t="s">
        <v>7686</v>
      </c>
      <c r="J1585" s="36" t="s">
        <v>7687</v>
      </c>
      <c r="K1585" s="36" t="s">
        <v>7688</v>
      </c>
      <c r="L1585" s="36" t="s">
        <v>7689</v>
      </c>
      <c r="M1585" s="36" t="s">
        <v>7690</v>
      </c>
      <c r="N1585" s="36" t="s">
        <v>7691</v>
      </c>
      <c r="O1585" s="36" t="s">
        <v>7692</v>
      </c>
      <c r="P1585" s="36" t="s">
        <v>7679</v>
      </c>
    </row>
    <row r="1586" spans="1:16">
      <c r="A1586" s="139">
        <v>1585</v>
      </c>
      <c r="B1586" s="36" t="s">
        <v>20832</v>
      </c>
      <c r="C1586" s="36" t="s">
        <v>20833</v>
      </c>
      <c r="D1586" s="36" t="s">
        <v>20834</v>
      </c>
      <c r="E1586" s="36" t="s">
        <v>20835</v>
      </c>
      <c r="F1586" s="36" t="s">
        <v>20836</v>
      </c>
      <c r="G1586" s="36" t="s">
        <v>20837</v>
      </c>
      <c r="H1586" s="36" t="s">
        <v>20838</v>
      </c>
      <c r="I1586" s="36" t="s">
        <v>20839</v>
      </c>
      <c r="J1586" s="36" t="s">
        <v>20840</v>
      </c>
      <c r="K1586" s="36" t="s">
        <v>20841</v>
      </c>
      <c r="L1586" s="36" t="s">
        <v>20842</v>
      </c>
      <c r="M1586" s="36" t="s">
        <v>20843</v>
      </c>
      <c r="N1586" s="36" t="s">
        <v>20844</v>
      </c>
      <c r="O1586" s="36" t="s">
        <v>20845</v>
      </c>
      <c r="P1586" s="36" t="s">
        <v>20832</v>
      </c>
    </row>
    <row r="1587" spans="1:16">
      <c r="A1587" s="139">
        <v>1586</v>
      </c>
      <c r="B1587" s="36" t="s">
        <v>20846</v>
      </c>
      <c r="C1587" s="36" t="s">
        <v>20847</v>
      </c>
      <c r="D1587" s="36" t="s">
        <v>19975</v>
      </c>
      <c r="E1587" s="36" t="s">
        <v>20848</v>
      </c>
      <c r="F1587" s="36" t="s">
        <v>20849</v>
      </c>
      <c r="G1587" s="36" t="s">
        <v>20850</v>
      </c>
      <c r="H1587" s="36" t="s">
        <v>20851</v>
      </c>
      <c r="I1587" s="36" t="s">
        <v>20852</v>
      </c>
      <c r="J1587" s="36" t="s">
        <v>20853</v>
      </c>
      <c r="K1587" s="36" t="s">
        <v>20854</v>
      </c>
      <c r="L1587" s="36" t="s">
        <v>20855</v>
      </c>
      <c r="M1587" s="36" t="s">
        <v>20856</v>
      </c>
      <c r="N1587" s="36" t="s">
        <v>20857</v>
      </c>
      <c r="O1587" s="36" t="s">
        <v>20858</v>
      </c>
      <c r="P1587" s="36" t="s">
        <v>20846</v>
      </c>
    </row>
    <row r="1588" spans="1:16">
      <c r="A1588" s="139">
        <v>1587</v>
      </c>
      <c r="B1588" s="36" t="s">
        <v>20859</v>
      </c>
      <c r="C1588" s="36" t="s">
        <v>20860</v>
      </c>
      <c r="D1588" s="36" t="s">
        <v>20861</v>
      </c>
      <c r="E1588" s="36" t="s">
        <v>20862</v>
      </c>
      <c r="F1588" s="36" t="s">
        <v>20863</v>
      </c>
      <c r="G1588" s="36" t="s">
        <v>20864</v>
      </c>
      <c r="H1588" s="36" t="s">
        <v>20865</v>
      </c>
      <c r="I1588" s="36" t="s">
        <v>20866</v>
      </c>
      <c r="J1588" s="36" t="s">
        <v>20867</v>
      </c>
      <c r="K1588" s="36" t="s">
        <v>20868</v>
      </c>
      <c r="L1588" s="36" t="s">
        <v>20869</v>
      </c>
      <c r="M1588" s="36" t="s">
        <v>20864</v>
      </c>
      <c r="N1588" s="36" t="s">
        <v>20870</v>
      </c>
      <c r="O1588" s="36" t="s">
        <v>20868</v>
      </c>
      <c r="P1588" s="36" t="s">
        <v>20859</v>
      </c>
    </row>
    <row r="1589" spans="1:16">
      <c r="A1589" s="139">
        <v>1588</v>
      </c>
      <c r="B1589" s="36" t="s">
        <v>20871</v>
      </c>
      <c r="C1589" s="36" t="s">
        <v>20872</v>
      </c>
      <c r="D1589" s="36" t="s">
        <v>20873</v>
      </c>
      <c r="E1589" s="36" t="s">
        <v>20874</v>
      </c>
      <c r="F1589" s="36" t="s">
        <v>20875</v>
      </c>
      <c r="G1589" s="36" t="s">
        <v>20876</v>
      </c>
      <c r="H1589" s="36" t="s">
        <v>20877</v>
      </c>
      <c r="I1589" s="36" t="s">
        <v>20878</v>
      </c>
      <c r="J1589" s="36" t="s">
        <v>20879</v>
      </c>
      <c r="K1589" s="36" t="s">
        <v>20880</v>
      </c>
      <c r="L1589" s="36" t="s">
        <v>20881</v>
      </c>
      <c r="M1589" s="36" t="s">
        <v>20882</v>
      </c>
      <c r="N1589" s="36" t="s">
        <v>20883</v>
      </c>
      <c r="O1589" s="36" t="s">
        <v>20884</v>
      </c>
      <c r="P1589" s="36" t="s">
        <v>20871</v>
      </c>
    </row>
    <row r="1590" spans="1:16" ht="15" customHeight="1">
      <c r="A1590" s="139">
        <v>1589</v>
      </c>
      <c r="B1590" s="36" t="s">
        <v>20885</v>
      </c>
      <c r="C1590" s="36" t="s">
        <v>20886</v>
      </c>
      <c r="D1590" s="36" t="s">
        <v>20887</v>
      </c>
      <c r="E1590" s="36" t="s">
        <v>20888</v>
      </c>
      <c r="F1590" s="36" t="s">
        <v>20889</v>
      </c>
      <c r="G1590" s="36" t="s">
        <v>20890</v>
      </c>
      <c r="H1590" s="36" t="s">
        <v>20891</v>
      </c>
      <c r="I1590" s="36" t="s">
        <v>20892</v>
      </c>
      <c r="J1590" s="36" t="s">
        <v>20893</v>
      </c>
      <c r="K1590" s="36" t="s">
        <v>20894</v>
      </c>
      <c r="L1590" s="36" t="s">
        <v>20895</v>
      </c>
      <c r="M1590" s="36" t="s">
        <v>20896</v>
      </c>
      <c r="N1590" s="36" t="s">
        <v>20897</v>
      </c>
      <c r="O1590" s="36" t="s">
        <v>20898</v>
      </c>
      <c r="P1590" s="36" t="s">
        <v>20885</v>
      </c>
    </row>
    <row r="1591" spans="1:16" ht="15" customHeight="1">
      <c r="A1591" s="139">
        <v>1590</v>
      </c>
      <c r="B1591" s="36" t="s">
        <v>20899</v>
      </c>
      <c r="C1591" s="36" t="s">
        <v>20900</v>
      </c>
      <c r="D1591" s="36" t="s">
        <v>20901</v>
      </c>
      <c r="E1591" s="36" t="s">
        <v>20902</v>
      </c>
      <c r="F1591" s="36" t="s">
        <v>20903</v>
      </c>
      <c r="G1591" s="36" t="s">
        <v>20903</v>
      </c>
      <c r="H1591" s="36" t="s">
        <v>20904</v>
      </c>
      <c r="I1591" s="36" t="s">
        <v>20905</v>
      </c>
      <c r="J1591" s="36" t="s">
        <v>20906</v>
      </c>
      <c r="K1591" s="36" t="s">
        <v>20907</v>
      </c>
      <c r="L1591" s="36" t="s">
        <v>20908</v>
      </c>
      <c r="M1591" s="36" t="s">
        <v>20909</v>
      </c>
      <c r="N1591" s="36" t="s">
        <v>20910</v>
      </c>
      <c r="O1591" s="36" t="s">
        <v>20907</v>
      </c>
      <c r="P1591" s="36" t="s">
        <v>20899</v>
      </c>
    </row>
    <row r="1592" spans="1:16" ht="15" customHeight="1">
      <c r="A1592" s="139">
        <v>1591</v>
      </c>
      <c r="B1592" s="36" t="s">
        <v>20911</v>
      </c>
      <c r="C1592" s="36" t="s">
        <v>20912</v>
      </c>
      <c r="D1592" s="36" t="s">
        <v>20913</v>
      </c>
      <c r="E1592" s="36" t="s">
        <v>20914</v>
      </c>
      <c r="F1592" s="36" t="s">
        <v>20915</v>
      </c>
      <c r="G1592" s="36" t="s">
        <v>20916</v>
      </c>
      <c r="H1592" s="36" t="s">
        <v>20917</v>
      </c>
      <c r="I1592" s="36" t="s">
        <v>20918</v>
      </c>
      <c r="J1592" s="36" t="s">
        <v>20919</v>
      </c>
      <c r="K1592" s="36" t="s">
        <v>20920</v>
      </c>
      <c r="L1592" s="36" t="s">
        <v>20921</v>
      </c>
      <c r="M1592" s="36" t="s">
        <v>20922</v>
      </c>
      <c r="N1592" s="36" t="s">
        <v>20923</v>
      </c>
      <c r="O1592" s="36" t="s">
        <v>20924</v>
      </c>
      <c r="P1592" s="36" t="s">
        <v>20911</v>
      </c>
    </row>
    <row r="1593" spans="1:16" ht="15" customHeight="1">
      <c r="A1593" s="139">
        <v>1592</v>
      </c>
      <c r="B1593" s="36" t="s">
        <v>20925</v>
      </c>
      <c r="C1593" s="36" t="s">
        <v>20926</v>
      </c>
      <c r="D1593" s="36" t="s">
        <v>20927</v>
      </c>
      <c r="E1593" s="36" t="s">
        <v>20928</v>
      </c>
      <c r="F1593" s="36" t="s">
        <v>20929</v>
      </c>
      <c r="G1593" s="36" t="s">
        <v>20930</v>
      </c>
      <c r="H1593" s="36" t="s">
        <v>20931</v>
      </c>
      <c r="I1593" s="36" t="s">
        <v>20932</v>
      </c>
      <c r="J1593" s="36" t="s">
        <v>20933</v>
      </c>
      <c r="K1593" s="36" t="s">
        <v>20934</v>
      </c>
      <c r="L1593" s="36" t="s">
        <v>20935</v>
      </c>
      <c r="M1593" s="36" t="s">
        <v>20936</v>
      </c>
      <c r="N1593" s="36" t="s">
        <v>20937</v>
      </c>
      <c r="O1593" s="36" t="s">
        <v>20938</v>
      </c>
      <c r="P1593" s="36" t="s">
        <v>20925</v>
      </c>
    </row>
    <row r="1594" spans="1:16" ht="15" customHeight="1">
      <c r="A1594" s="139">
        <v>1593</v>
      </c>
      <c r="B1594" s="36" t="s">
        <v>20939</v>
      </c>
      <c r="C1594" s="36" t="s">
        <v>20940</v>
      </c>
      <c r="D1594" s="36" t="s">
        <v>20941</v>
      </c>
      <c r="E1594" s="36" t="s">
        <v>20942</v>
      </c>
      <c r="F1594" s="36" t="s">
        <v>20943</v>
      </c>
      <c r="G1594" s="36" t="s">
        <v>20944</v>
      </c>
      <c r="H1594" s="36" t="s">
        <v>20945</v>
      </c>
      <c r="I1594" s="36" t="s">
        <v>20946</v>
      </c>
      <c r="J1594" s="36" t="s">
        <v>20947</v>
      </c>
      <c r="K1594" s="36" t="s">
        <v>20948</v>
      </c>
      <c r="L1594" s="36" t="s">
        <v>20949</v>
      </c>
      <c r="M1594" s="36" t="s">
        <v>20950</v>
      </c>
      <c r="N1594" s="36" t="s">
        <v>20951</v>
      </c>
      <c r="O1594" s="36" t="s">
        <v>20952</v>
      </c>
      <c r="P1594" s="36" t="s">
        <v>20939</v>
      </c>
    </row>
    <row r="1595" spans="1:16" ht="15" customHeight="1">
      <c r="A1595" s="139">
        <v>1594</v>
      </c>
      <c r="B1595" s="36" t="s">
        <v>20953</v>
      </c>
      <c r="C1595" s="36" t="s">
        <v>20954</v>
      </c>
      <c r="D1595" s="36" t="s">
        <v>20954</v>
      </c>
      <c r="E1595" s="36" t="s">
        <v>20955</v>
      </c>
      <c r="F1595" s="36" t="s">
        <v>20956</v>
      </c>
      <c r="G1595" s="36" t="s">
        <v>20957</v>
      </c>
      <c r="H1595" s="36" t="s">
        <v>20953</v>
      </c>
      <c r="I1595" s="36" t="s">
        <v>20956</v>
      </c>
      <c r="J1595" s="36" t="s">
        <v>20958</v>
      </c>
      <c r="K1595" s="36" t="s">
        <v>20959</v>
      </c>
      <c r="L1595" s="36" t="s">
        <v>20960</v>
      </c>
      <c r="M1595" s="36" t="s">
        <v>20961</v>
      </c>
      <c r="N1595" s="36" t="s">
        <v>20953</v>
      </c>
      <c r="O1595" s="36" t="s">
        <v>20953</v>
      </c>
      <c r="P1595" s="36" t="s">
        <v>20953</v>
      </c>
    </row>
    <row r="1596" spans="1:16" ht="15" customHeight="1">
      <c r="A1596" s="139">
        <v>1595</v>
      </c>
      <c r="B1596" s="36" t="s">
        <v>20962</v>
      </c>
      <c r="C1596" s="36" t="s">
        <v>20963</v>
      </c>
      <c r="D1596" s="36" t="s">
        <v>20964</v>
      </c>
      <c r="E1596" s="36" t="s">
        <v>20965</v>
      </c>
      <c r="F1596" s="36" t="s">
        <v>20966</v>
      </c>
      <c r="G1596" s="36" t="s">
        <v>20967</v>
      </c>
      <c r="H1596" s="36" t="s">
        <v>20962</v>
      </c>
      <c r="I1596" s="36" t="s">
        <v>20968</v>
      </c>
      <c r="J1596" s="36" t="s">
        <v>20969</v>
      </c>
      <c r="K1596" s="36" t="s">
        <v>20970</v>
      </c>
      <c r="L1596" s="36" t="s">
        <v>20971</v>
      </c>
      <c r="M1596" s="36" t="s">
        <v>20972</v>
      </c>
      <c r="N1596" s="36" t="s">
        <v>20973</v>
      </c>
      <c r="O1596" s="36" t="s">
        <v>20974</v>
      </c>
      <c r="P1596" s="36" t="s">
        <v>20962</v>
      </c>
    </row>
    <row r="1597" spans="1:16" ht="15" customHeight="1">
      <c r="A1597" s="139">
        <v>1596</v>
      </c>
      <c r="B1597" s="36" t="s">
        <v>20975</v>
      </c>
      <c r="C1597" s="36" t="s">
        <v>20976</v>
      </c>
      <c r="D1597" s="36" t="s">
        <v>20977</v>
      </c>
      <c r="E1597" s="36" t="s">
        <v>20977</v>
      </c>
      <c r="F1597" s="36" t="s">
        <v>20978</v>
      </c>
      <c r="G1597" s="36" t="s">
        <v>20979</v>
      </c>
      <c r="H1597" s="36" t="s">
        <v>20975</v>
      </c>
      <c r="I1597" s="36" t="s">
        <v>20978</v>
      </c>
      <c r="J1597" s="36" t="s">
        <v>20980</v>
      </c>
      <c r="K1597" s="36" t="s">
        <v>20981</v>
      </c>
      <c r="L1597" s="36" t="s">
        <v>20982</v>
      </c>
      <c r="M1597" s="36" t="s">
        <v>20983</v>
      </c>
      <c r="N1597" s="36" t="s">
        <v>20984</v>
      </c>
      <c r="O1597" s="36" t="s">
        <v>20985</v>
      </c>
      <c r="P1597" s="36" t="s">
        <v>20975</v>
      </c>
    </row>
    <row r="1598" spans="1:16" ht="15" customHeight="1">
      <c r="A1598" s="139">
        <v>1597</v>
      </c>
      <c r="B1598" s="36" t="s">
        <v>20977</v>
      </c>
      <c r="C1598" s="36" t="s">
        <v>20977</v>
      </c>
      <c r="D1598" s="36" t="s">
        <v>20977</v>
      </c>
      <c r="E1598" s="36" t="s">
        <v>20977</v>
      </c>
      <c r="F1598" s="36" t="s">
        <v>20977</v>
      </c>
      <c r="G1598" s="36" t="s">
        <v>20977</v>
      </c>
      <c r="H1598" s="36" t="s">
        <v>20977</v>
      </c>
      <c r="I1598" s="36" t="s">
        <v>20977</v>
      </c>
      <c r="J1598" s="36" t="s">
        <v>20977</v>
      </c>
      <c r="K1598" s="36" t="s">
        <v>20977</v>
      </c>
      <c r="L1598" s="36" t="s">
        <v>20977</v>
      </c>
      <c r="M1598" s="36" t="s">
        <v>20977</v>
      </c>
      <c r="N1598" s="36" t="s">
        <v>20977</v>
      </c>
      <c r="O1598" s="36" t="s">
        <v>20977</v>
      </c>
      <c r="P1598" s="36" t="s">
        <v>20977</v>
      </c>
    </row>
    <row r="1599" spans="1:16" ht="15" customHeight="1">
      <c r="A1599" s="139">
        <v>1598</v>
      </c>
      <c r="B1599" s="36" t="s">
        <v>20986</v>
      </c>
      <c r="C1599" s="36" t="s">
        <v>20986</v>
      </c>
      <c r="D1599" s="36" t="s">
        <v>20986</v>
      </c>
      <c r="E1599" s="36" t="s">
        <v>20986</v>
      </c>
      <c r="F1599" s="36" t="s">
        <v>20986</v>
      </c>
      <c r="G1599" s="36" t="s">
        <v>20986</v>
      </c>
      <c r="H1599" s="36" t="s">
        <v>20986</v>
      </c>
      <c r="I1599" s="36" t="s">
        <v>20986</v>
      </c>
      <c r="J1599" s="36" t="s">
        <v>20986</v>
      </c>
      <c r="K1599" s="36" t="s">
        <v>20986</v>
      </c>
      <c r="L1599" s="36" t="s">
        <v>20986</v>
      </c>
      <c r="M1599" s="36" t="s">
        <v>20986</v>
      </c>
      <c r="N1599" s="36" t="s">
        <v>20986</v>
      </c>
      <c r="O1599" s="36" t="s">
        <v>20986</v>
      </c>
      <c r="P1599" s="36" t="s">
        <v>20986</v>
      </c>
    </row>
    <row r="1600" spans="1:16" ht="15" customHeight="1">
      <c r="A1600" s="139">
        <v>1599</v>
      </c>
      <c r="B1600" s="36" t="s">
        <v>20987</v>
      </c>
      <c r="C1600" s="36" t="s">
        <v>20988</v>
      </c>
      <c r="D1600" s="36" t="s">
        <v>20989</v>
      </c>
      <c r="E1600" s="36" t="s">
        <v>20990</v>
      </c>
      <c r="F1600" s="36" t="s">
        <v>20991</v>
      </c>
      <c r="G1600" s="36" t="s">
        <v>20992</v>
      </c>
      <c r="H1600" s="36" t="s">
        <v>20991</v>
      </c>
      <c r="I1600" s="36" t="s">
        <v>20991</v>
      </c>
      <c r="J1600" s="36" t="s">
        <v>20993</v>
      </c>
      <c r="K1600" s="36" t="s">
        <v>20994</v>
      </c>
      <c r="L1600" s="36" t="s">
        <v>20994</v>
      </c>
      <c r="M1600" s="36" t="s">
        <v>20994</v>
      </c>
      <c r="N1600" s="36" t="s">
        <v>20994</v>
      </c>
      <c r="O1600" s="36" t="s">
        <v>20994</v>
      </c>
      <c r="P1600" s="36" t="s">
        <v>20987</v>
      </c>
    </row>
    <row r="1601" spans="1:16" ht="15" customHeight="1">
      <c r="A1601" s="139">
        <v>1600</v>
      </c>
      <c r="B1601" s="36" t="s">
        <v>20995</v>
      </c>
      <c r="C1601" s="36" t="s">
        <v>20996</v>
      </c>
      <c r="D1601" s="36" t="s">
        <v>20997</v>
      </c>
      <c r="E1601" s="36" t="s">
        <v>20998</v>
      </c>
      <c r="F1601" s="36" t="s">
        <v>20999</v>
      </c>
      <c r="G1601" s="36" t="s">
        <v>21000</v>
      </c>
      <c r="H1601" s="36" t="s">
        <v>20995</v>
      </c>
      <c r="I1601" s="36" t="s">
        <v>20999</v>
      </c>
      <c r="J1601" s="36" t="s">
        <v>21001</v>
      </c>
      <c r="K1601" s="36" t="s">
        <v>21002</v>
      </c>
      <c r="L1601" s="36" t="s">
        <v>21003</v>
      </c>
      <c r="M1601" s="36" t="s">
        <v>21004</v>
      </c>
      <c r="N1601" s="36" t="s">
        <v>21005</v>
      </c>
      <c r="O1601" s="36" t="s">
        <v>21006</v>
      </c>
      <c r="P1601" s="36" t="s">
        <v>20995</v>
      </c>
    </row>
    <row r="1602" spans="1:16" ht="15" customHeight="1">
      <c r="A1602" s="139">
        <v>1601</v>
      </c>
      <c r="B1602" s="36" t="s">
        <v>21007</v>
      </c>
      <c r="C1602" s="36" t="s">
        <v>21008</v>
      </c>
      <c r="D1602" s="36" t="s">
        <v>21009</v>
      </c>
      <c r="E1602" s="36" t="s">
        <v>21010</v>
      </c>
      <c r="F1602" s="36" t="s">
        <v>21011</v>
      </c>
      <c r="G1602" s="36" t="s">
        <v>21007</v>
      </c>
      <c r="H1602" s="36" t="s">
        <v>21012</v>
      </c>
      <c r="I1602" s="36" t="s">
        <v>21013</v>
      </c>
      <c r="J1602" s="36" t="s">
        <v>21014</v>
      </c>
      <c r="K1602" s="36" t="s">
        <v>21007</v>
      </c>
      <c r="L1602" s="36" t="s">
        <v>21015</v>
      </c>
      <c r="M1602" s="36" t="s">
        <v>21016</v>
      </c>
      <c r="N1602" s="36" t="s">
        <v>21017</v>
      </c>
      <c r="O1602" s="36" t="s">
        <v>21018</v>
      </c>
      <c r="P1602" s="36" t="s">
        <v>21007</v>
      </c>
    </row>
    <row r="1603" spans="1:16" ht="15" customHeight="1">
      <c r="A1603" s="139">
        <v>1602</v>
      </c>
      <c r="B1603" s="36" t="s">
        <v>21019</v>
      </c>
      <c r="C1603" s="36" t="s">
        <v>21019</v>
      </c>
      <c r="D1603" s="192" t="s">
        <v>21020</v>
      </c>
      <c r="E1603" s="36" t="s">
        <v>21019</v>
      </c>
      <c r="F1603" s="36" t="s">
        <v>21019</v>
      </c>
      <c r="G1603" s="36" t="s">
        <v>21019</v>
      </c>
      <c r="H1603" s="36" t="s">
        <v>21021</v>
      </c>
      <c r="I1603" s="36" t="s">
        <v>21019</v>
      </c>
      <c r="J1603" s="36" t="s">
        <v>21019</v>
      </c>
      <c r="K1603" s="36" t="s">
        <v>21019</v>
      </c>
      <c r="L1603" s="36" t="s">
        <v>21019</v>
      </c>
      <c r="M1603" s="36" t="s">
        <v>21019</v>
      </c>
      <c r="N1603" s="36" t="s">
        <v>21019</v>
      </c>
      <c r="O1603" s="36" t="s">
        <v>21019</v>
      </c>
      <c r="P1603" s="36" t="s">
        <v>21019</v>
      </c>
    </row>
    <row r="1604" spans="1:16" ht="15" customHeight="1">
      <c r="A1604" s="139">
        <v>1603</v>
      </c>
      <c r="B1604" s="36" t="s">
        <v>21022</v>
      </c>
      <c r="C1604" s="36" t="s">
        <v>21023</v>
      </c>
      <c r="D1604" s="36" t="s">
        <v>21024</v>
      </c>
      <c r="E1604" s="36" t="s">
        <v>21022</v>
      </c>
      <c r="F1604" s="36" t="s">
        <v>21022</v>
      </c>
      <c r="G1604" s="36" t="s">
        <v>21022</v>
      </c>
      <c r="H1604" s="36" t="s">
        <v>21022</v>
      </c>
      <c r="I1604" s="36" t="s">
        <v>21022</v>
      </c>
      <c r="J1604" s="36" t="s">
        <v>21024</v>
      </c>
      <c r="K1604" s="36" t="s">
        <v>21023</v>
      </c>
      <c r="L1604" s="36" t="s">
        <v>21023</v>
      </c>
      <c r="M1604" s="36" t="s">
        <v>21023</v>
      </c>
      <c r="N1604" s="36" t="s">
        <v>21024</v>
      </c>
      <c r="O1604" s="36" t="s">
        <v>21022</v>
      </c>
      <c r="P1604" s="36" t="s">
        <v>21022</v>
      </c>
    </row>
    <row r="1605" spans="1:16" ht="15" customHeight="1">
      <c r="A1605" s="139">
        <v>1604</v>
      </c>
      <c r="B1605" s="36" t="s">
        <v>21025</v>
      </c>
      <c r="C1605" s="36" t="s">
        <v>21026</v>
      </c>
      <c r="D1605" s="36" t="s">
        <v>21027</v>
      </c>
      <c r="E1605" s="36" t="s">
        <v>21025</v>
      </c>
      <c r="F1605" s="36" t="s">
        <v>21025</v>
      </c>
      <c r="G1605" s="36" t="s">
        <v>21025</v>
      </c>
      <c r="H1605" s="36" t="s">
        <v>21025</v>
      </c>
      <c r="I1605" s="36" t="s">
        <v>21025</v>
      </c>
      <c r="J1605" s="36" t="s">
        <v>21027</v>
      </c>
      <c r="K1605" s="36" t="s">
        <v>21026</v>
      </c>
      <c r="L1605" s="36" t="s">
        <v>21026</v>
      </c>
      <c r="M1605" s="36" t="s">
        <v>21026</v>
      </c>
      <c r="N1605" s="36" t="s">
        <v>21027</v>
      </c>
      <c r="O1605" s="36" t="s">
        <v>21025</v>
      </c>
      <c r="P1605" s="36" t="s">
        <v>21025</v>
      </c>
    </row>
    <row r="1606" spans="1:16" ht="15" customHeight="1">
      <c r="A1606" s="139">
        <v>1605</v>
      </c>
      <c r="B1606" s="36" t="s">
        <v>21028</v>
      </c>
      <c r="C1606" s="36" t="s">
        <v>21029</v>
      </c>
      <c r="D1606" s="36" t="s">
        <v>21030</v>
      </c>
      <c r="E1606" s="36" t="s">
        <v>21028</v>
      </c>
      <c r="F1606" s="36" t="s">
        <v>21028</v>
      </c>
      <c r="G1606" s="36" t="s">
        <v>21028</v>
      </c>
      <c r="H1606" s="36" t="s">
        <v>21028</v>
      </c>
      <c r="I1606" s="36" t="s">
        <v>21028</v>
      </c>
      <c r="J1606" s="36" t="s">
        <v>21030</v>
      </c>
      <c r="K1606" s="36" t="s">
        <v>21029</v>
      </c>
      <c r="L1606" s="36" t="s">
        <v>21029</v>
      </c>
      <c r="M1606" s="36" t="s">
        <v>21029</v>
      </c>
      <c r="N1606" s="36" t="s">
        <v>21030</v>
      </c>
      <c r="O1606" s="36" t="s">
        <v>21028</v>
      </c>
      <c r="P1606" s="36" t="s">
        <v>21028</v>
      </c>
    </row>
    <row r="1607" spans="1:16" ht="15" customHeight="1">
      <c r="A1607" s="139">
        <v>1606</v>
      </c>
      <c r="B1607" s="36" t="s">
        <v>21031</v>
      </c>
      <c r="C1607" s="36" t="s">
        <v>21032</v>
      </c>
      <c r="D1607" s="36" t="s">
        <v>21033</v>
      </c>
      <c r="E1607" s="36" t="s">
        <v>21031</v>
      </c>
      <c r="F1607" s="36" t="s">
        <v>21031</v>
      </c>
      <c r="G1607" s="36" t="s">
        <v>21031</v>
      </c>
      <c r="H1607" s="36" t="s">
        <v>21031</v>
      </c>
      <c r="I1607" s="36" t="s">
        <v>21031</v>
      </c>
      <c r="J1607" s="36" t="s">
        <v>21033</v>
      </c>
      <c r="K1607" s="36" t="s">
        <v>21032</v>
      </c>
      <c r="L1607" s="36" t="s">
        <v>21032</v>
      </c>
      <c r="M1607" s="36" t="s">
        <v>21032</v>
      </c>
      <c r="N1607" s="36" t="s">
        <v>21033</v>
      </c>
      <c r="O1607" s="36" t="s">
        <v>21031</v>
      </c>
      <c r="P1607" s="36" t="s">
        <v>21031</v>
      </c>
    </row>
    <row r="1608" spans="1:16" ht="15" customHeight="1">
      <c r="A1608" s="139">
        <v>1607</v>
      </c>
      <c r="B1608" s="36" t="s">
        <v>21034</v>
      </c>
      <c r="C1608" s="36" t="s">
        <v>21035</v>
      </c>
      <c r="D1608" s="36" t="s">
        <v>21036</v>
      </c>
      <c r="E1608" s="36" t="s">
        <v>21037</v>
      </c>
      <c r="F1608" s="36" t="s">
        <v>21038</v>
      </c>
      <c r="G1608" s="36" t="s">
        <v>21039</v>
      </c>
      <c r="H1608" s="36" t="s">
        <v>21040</v>
      </c>
      <c r="I1608" s="36" t="s">
        <v>21041</v>
      </c>
      <c r="J1608" s="36" t="s">
        <v>21042</v>
      </c>
      <c r="K1608" s="36" t="s">
        <v>21043</v>
      </c>
      <c r="L1608" s="36" t="s">
        <v>21036</v>
      </c>
      <c r="M1608" s="36" t="s">
        <v>21044</v>
      </c>
      <c r="N1608" s="36" t="s">
        <v>21045</v>
      </c>
      <c r="O1608" s="36" t="s">
        <v>21043</v>
      </c>
      <c r="P1608" s="36" t="s">
        <v>21034</v>
      </c>
    </row>
    <row r="1609" spans="1:16" ht="15" customHeight="1">
      <c r="A1609" s="139">
        <v>1608</v>
      </c>
      <c r="B1609" s="36" t="s">
        <v>21046</v>
      </c>
      <c r="C1609" s="36" t="s">
        <v>21047</v>
      </c>
      <c r="D1609" s="36" t="s">
        <v>21048</v>
      </c>
      <c r="E1609" s="36" t="s">
        <v>17823</v>
      </c>
      <c r="F1609" s="36" t="s">
        <v>21049</v>
      </c>
      <c r="G1609" s="36" t="s">
        <v>21050</v>
      </c>
      <c r="H1609" s="36" t="s">
        <v>21051</v>
      </c>
      <c r="I1609" s="36" t="s">
        <v>21052</v>
      </c>
      <c r="J1609" s="36" t="s">
        <v>21053</v>
      </c>
      <c r="K1609" s="36" t="s">
        <v>17827</v>
      </c>
      <c r="L1609" s="36" t="s">
        <v>21054</v>
      </c>
      <c r="M1609" s="36" t="s">
        <v>14885</v>
      </c>
      <c r="N1609" s="36" t="s">
        <v>21055</v>
      </c>
      <c r="O1609" s="36" t="s">
        <v>17827</v>
      </c>
      <c r="P1609" s="36" t="s">
        <v>21046</v>
      </c>
    </row>
    <row r="1610" spans="1:16" ht="15" customHeight="1">
      <c r="A1610" s="139">
        <v>1609</v>
      </c>
      <c r="B1610" s="36" t="s">
        <v>21056</v>
      </c>
      <c r="C1610" s="36" t="s">
        <v>21057</v>
      </c>
      <c r="D1610" s="36" t="s">
        <v>21058</v>
      </c>
      <c r="E1610" s="36" t="s">
        <v>21059</v>
      </c>
      <c r="F1610" s="36" t="s">
        <v>21060</v>
      </c>
      <c r="G1610" s="36" t="s">
        <v>21061</v>
      </c>
      <c r="H1610" s="36" t="s">
        <v>21062</v>
      </c>
      <c r="I1610" s="36" t="s">
        <v>21063</v>
      </c>
      <c r="J1610" s="36" t="s">
        <v>21064</v>
      </c>
      <c r="K1610" s="36" t="s">
        <v>21065</v>
      </c>
      <c r="L1610" s="36" t="s">
        <v>21066</v>
      </c>
      <c r="M1610" s="36" t="s">
        <v>21067</v>
      </c>
      <c r="N1610" s="36" t="s">
        <v>21068</v>
      </c>
      <c r="O1610" s="36" t="s">
        <v>21069</v>
      </c>
      <c r="P1610" s="36" t="s">
        <v>21056</v>
      </c>
    </row>
    <row r="1611" spans="1:16" ht="15" customHeight="1">
      <c r="A1611" s="139">
        <v>1610</v>
      </c>
      <c r="B1611" s="36" t="s">
        <v>21070</v>
      </c>
      <c r="C1611" s="36" t="s">
        <v>21071</v>
      </c>
      <c r="D1611" s="36" t="s">
        <v>21072</v>
      </c>
      <c r="E1611" s="36" t="s">
        <v>21073</v>
      </c>
      <c r="F1611" s="36" t="s">
        <v>21074</v>
      </c>
      <c r="G1611" s="36" t="s">
        <v>21075</v>
      </c>
      <c r="H1611" s="36" t="s">
        <v>21076</v>
      </c>
      <c r="I1611" s="36" t="s">
        <v>21077</v>
      </c>
      <c r="J1611" s="36" t="s">
        <v>21078</v>
      </c>
      <c r="K1611" s="36" t="s">
        <v>21079</v>
      </c>
      <c r="L1611" s="36" t="s">
        <v>21080</v>
      </c>
      <c r="M1611" s="36" t="s">
        <v>21081</v>
      </c>
      <c r="N1611" s="36" t="s">
        <v>21082</v>
      </c>
      <c r="O1611" s="36" t="s">
        <v>21083</v>
      </c>
      <c r="P1611" s="36" t="s">
        <v>21070</v>
      </c>
    </row>
    <row r="1612" spans="1:16" ht="15" customHeight="1">
      <c r="A1612" s="139">
        <v>1611</v>
      </c>
      <c r="B1612" s="36" t="s">
        <v>21084</v>
      </c>
      <c r="C1612" s="36" t="s">
        <v>21085</v>
      </c>
      <c r="D1612" s="36" t="s">
        <v>21086</v>
      </c>
      <c r="E1612" s="36" t="s">
        <v>21087</v>
      </c>
      <c r="F1612" s="36" t="s">
        <v>21088</v>
      </c>
      <c r="G1612" s="36" t="s">
        <v>21089</v>
      </c>
      <c r="H1612" s="36" t="s">
        <v>21090</v>
      </c>
      <c r="I1612" s="36" t="s">
        <v>21091</v>
      </c>
      <c r="J1612" s="36" t="s">
        <v>21092</v>
      </c>
      <c r="K1612" s="36" t="s">
        <v>21093</v>
      </c>
      <c r="L1612" s="36" t="s">
        <v>21094</v>
      </c>
      <c r="M1612" s="36" t="s">
        <v>21095</v>
      </c>
      <c r="N1612" s="36" t="s">
        <v>21096</v>
      </c>
      <c r="O1612" s="36" t="s">
        <v>21097</v>
      </c>
      <c r="P1612" s="36" t="s">
        <v>21084</v>
      </c>
    </row>
    <row r="1613" spans="1:16" ht="15" customHeight="1">
      <c r="A1613" s="139">
        <v>1612</v>
      </c>
      <c r="B1613" s="36" t="s">
        <v>21098</v>
      </c>
      <c r="C1613" s="36" t="s">
        <v>21099</v>
      </c>
      <c r="D1613" s="36" t="s">
        <v>21100</v>
      </c>
      <c r="E1613" s="36" t="s">
        <v>21101</v>
      </c>
      <c r="F1613" s="36" t="s">
        <v>21102</v>
      </c>
      <c r="G1613" s="36" t="s">
        <v>21103</v>
      </c>
      <c r="H1613" s="36" t="s">
        <v>21104</v>
      </c>
      <c r="I1613" s="36" t="s">
        <v>21105</v>
      </c>
      <c r="J1613" s="36" t="s">
        <v>21106</v>
      </c>
      <c r="K1613" s="36" t="s">
        <v>21107</v>
      </c>
      <c r="L1613" s="36" t="s">
        <v>21108</v>
      </c>
      <c r="M1613" s="36" t="s">
        <v>21109</v>
      </c>
      <c r="N1613" s="36" t="s">
        <v>21110</v>
      </c>
      <c r="O1613" s="36" t="s">
        <v>21111</v>
      </c>
      <c r="P1613" s="36" t="s">
        <v>21098</v>
      </c>
    </row>
    <row r="1614" spans="1:16" ht="15" customHeight="1">
      <c r="A1614" s="139">
        <v>1613</v>
      </c>
      <c r="B1614" s="36" t="s">
        <v>21112</v>
      </c>
      <c r="C1614" s="36" t="s">
        <v>21113</v>
      </c>
      <c r="D1614" s="36" t="s">
        <v>21114</v>
      </c>
      <c r="E1614" s="36" t="s">
        <v>21115</v>
      </c>
      <c r="F1614" s="36" t="s">
        <v>21116</v>
      </c>
      <c r="G1614" s="36" t="s">
        <v>21117</v>
      </c>
      <c r="H1614" s="36" t="s">
        <v>21118</v>
      </c>
      <c r="I1614" s="36" t="s">
        <v>21119</v>
      </c>
      <c r="J1614" s="36" t="s">
        <v>21120</v>
      </c>
      <c r="K1614" s="36" t="s">
        <v>21121</v>
      </c>
      <c r="L1614" s="36" t="s">
        <v>21122</v>
      </c>
      <c r="M1614" s="36" t="s">
        <v>21123</v>
      </c>
      <c r="N1614" s="36" t="s">
        <v>21124</v>
      </c>
      <c r="O1614" s="36" t="s">
        <v>21125</v>
      </c>
      <c r="P1614" s="36" t="s">
        <v>21112</v>
      </c>
    </row>
    <row r="1615" spans="1:16" ht="15" customHeight="1">
      <c r="A1615" s="139">
        <v>1614</v>
      </c>
      <c r="B1615" s="36" t="s">
        <v>21126</v>
      </c>
      <c r="C1615" s="36" t="s">
        <v>21127</v>
      </c>
      <c r="D1615" s="36" t="s">
        <v>21128</v>
      </c>
      <c r="E1615" s="36" t="s">
        <v>21129</v>
      </c>
      <c r="F1615" s="36" t="s">
        <v>21130</v>
      </c>
      <c r="G1615" s="36" t="s">
        <v>21131</v>
      </c>
      <c r="H1615" s="36" t="s">
        <v>21132</v>
      </c>
      <c r="I1615" s="36" t="s">
        <v>21133</v>
      </c>
      <c r="J1615" s="36" t="s">
        <v>21134</v>
      </c>
      <c r="K1615" s="36" t="s">
        <v>21135</v>
      </c>
      <c r="L1615" s="36" t="s">
        <v>21136</v>
      </c>
      <c r="M1615" s="36" t="s">
        <v>21137</v>
      </c>
      <c r="N1615" s="36" t="s">
        <v>21138</v>
      </c>
      <c r="O1615" s="36" t="s">
        <v>21139</v>
      </c>
      <c r="P1615" s="36" t="s">
        <v>21126</v>
      </c>
    </row>
    <row r="1616" spans="1:16" ht="15" customHeight="1">
      <c r="A1616" s="139">
        <v>1615</v>
      </c>
      <c r="B1616" s="36" t="s">
        <v>21140</v>
      </c>
      <c r="C1616" s="36" t="s">
        <v>21141</v>
      </c>
      <c r="D1616" s="36" t="s">
        <v>21142</v>
      </c>
      <c r="E1616" s="36" t="s">
        <v>21143</v>
      </c>
      <c r="F1616" s="36" t="s">
        <v>21144</v>
      </c>
      <c r="G1616" s="36" t="s">
        <v>21145</v>
      </c>
      <c r="H1616" s="36" t="s">
        <v>21146</v>
      </c>
      <c r="I1616" s="36" t="s">
        <v>21147</v>
      </c>
      <c r="J1616" s="36" t="s">
        <v>21148</v>
      </c>
      <c r="K1616" s="36" t="s">
        <v>21149</v>
      </c>
      <c r="L1616" s="36" t="s">
        <v>21150</v>
      </c>
      <c r="M1616" s="36" t="s">
        <v>21151</v>
      </c>
      <c r="N1616" s="36" t="s">
        <v>21152</v>
      </c>
      <c r="O1616" s="36" t="s">
        <v>21153</v>
      </c>
      <c r="P1616" s="36" t="s">
        <v>21140</v>
      </c>
    </row>
    <row r="1617" spans="1:16" ht="15" customHeight="1">
      <c r="A1617" s="139">
        <v>1616</v>
      </c>
      <c r="B1617" s="36" t="s">
        <v>21154</v>
      </c>
      <c r="C1617" s="36" t="s">
        <v>21155</v>
      </c>
      <c r="D1617" s="36" t="s">
        <v>21156</v>
      </c>
      <c r="E1617" s="36" t="s">
        <v>21157</v>
      </c>
      <c r="F1617" s="36" t="s">
        <v>21158</v>
      </c>
      <c r="G1617" s="36" t="s">
        <v>21159</v>
      </c>
      <c r="H1617" s="36" t="s">
        <v>21160</v>
      </c>
      <c r="I1617" s="36" t="s">
        <v>21161</v>
      </c>
      <c r="J1617" s="36" t="s">
        <v>21162</v>
      </c>
      <c r="K1617" s="36" t="s">
        <v>21163</v>
      </c>
      <c r="L1617" s="36" t="s">
        <v>21164</v>
      </c>
      <c r="M1617" s="36" t="s">
        <v>21165</v>
      </c>
      <c r="N1617" s="36" t="s">
        <v>21166</v>
      </c>
      <c r="O1617" s="36" t="s">
        <v>21167</v>
      </c>
      <c r="P1617" s="36" t="s">
        <v>21168</v>
      </c>
    </row>
    <row r="1618" spans="1:16" ht="15" customHeight="1">
      <c r="A1618" s="139">
        <v>1617</v>
      </c>
      <c r="B1618" s="36" t="s">
        <v>21169</v>
      </c>
      <c r="C1618" s="36" t="s">
        <v>21169</v>
      </c>
      <c r="D1618" s="36" t="s">
        <v>21170</v>
      </c>
      <c r="E1618" s="36" t="s">
        <v>21171</v>
      </c>
      <c r="F1618" s="36" t="s">
        <v>21169</v>
      </c>
      <c r="G1618" s="36" t="s">
        <v>21169</v>
      </c>
      <c r="H1618" s="36" t="s">
        <v>21172</v>
      </c>
      <c r="I1618" s="36" t="s">
        <v>21173</v>
      </c>
      <c r="J1618" s="36" t="s">
        <v>21169</v>
      </c>
      <c r="K1618" s="36" t="s">
        <v>21174</v>
      </c>
      <c r="L1618" s="36" t="s">
        <v>21169</v>
      </c>
      <c r="M1618" s="36" t="s">
        <v>21169</v>
      </c>
      <c r="N1618" s="36" t="s">
        <v>21169</v>
      </c>
      <c r="O1618" s="36" t="s">
        <v>21174</v>
      </c>
      <c r="P1618" s="36" t="s">
        <v>21169</v>
      </c>
    </row>
    <row r="1619" spans="1:16" ht="15" customHeight="1">
      <c r="A1619" s="139">
        <v>1618</v>
      </c>
      <c r="B1619" s="36" t="s">
        <v>21175</v>
      </c>
      <c r="C1619" s="36" t="s">
        <v>21176</v>
      </c>
      <c r="D1619" s="36" t="s">
        <v>21177</v>
      </c>
      <c r="E1619" s="36" t="s">
        <v>21178</v>
      </c>
      <c r="F1619" s="36" t="s">
        <v>21179</v>
      </c>
      <c r="G1619" s="36" t="s">
        <v>21180</v>
      </c>
      <c r="H1619" s="36" t="s">
        <v>21181</v>
      </c>
      <c r="I1619" s="36" t="s">
        <v>21182</v>
      </c>
      <c r="J1619" s="36" t="s">
        <v>21183</v>
      </c>
      <c r="K1619" s="36" t="s">
        <v>21184</v>
      </c>
      <c r="L1619" s="36" t="s">
        <v>21185</v>
      </c>
      <c r="M1619" s="36" t="s">
        <v>21186</v>
      </c>
      <c r="N1619" s="36" t="s">
        <v>21187</v>
      </c>
      <c r="O1619" s="36" t="s">
        <v>21188</v>
      </c>
      <c r="P1619" s="36" t="s">
        <v>21175</v>
      </c>
    </row>
    <row r="1620" spans="1:16" ht="15" customHeight="1">
      <c r="A1620" s="139">
        <v>1619</v>
      </c>
      <c r="B1620" s="36" t="s">
        <v>21189</v>
      </c>
      <c r="C1620" s="36" t="s">
        <v>21190</v>
      </c>
      <c r="D1620" s="36" t="s">
        <v>21191</v>
      </c>
      <c r="E1620" s="36" t="s">
        <v>21192</v>
      </c>
      <c r="F1620" s="36" t="s">
        <v>21193</v>
      </c>
      <c r="G1620" s="36" t="s">
        <v>21189</v>
      </c>
      <c r="H1620" s="36" t="s">
        <v>21194</v>
      </c>
      <c r="I1620" s="36" t="s">
        <v>21195</v>
      </c>
      <c r="J1620" s="36" t="s">
        <v>21196</v>
      </c>
      <c r="K1620" s="36" t="s">
        <v>21197</v>
      </c>
      <c r="L1620" s="36" t="s">
        <v>21198</v>
      </c>
      <c r="M1620" s="36" t="s">
        <v>21199</v>
      </c>
      <c r="N1620" s="36" t="s">
        <v>21200</v>
      </c>
      <c r="O1620" s="36" t="s">
        <v>21201</v>
      </c>
      <c r="P1620" s="36" t="s">
        <v>21189</v>
      </c>
    </row>
    <row r="1621" spans="1:16" ht="15" customHeight="1">
      <c r="A1621" s="139">
        <v>1620</v>
      </c>
      <c r="B1621" s="36" t="s">
        <v>21202</v>
      </c>
      <c r="C1621" s="36" t="s">
        <v>21203</v>
      </c>
      <c r="D1621" s="36" t="s">
        <v>21204</v>
      </c>
      <c r="E1621" s="36" t="s">
        <v>21205</v>
      </c>
      <c r="F1621" s="36" t="s">
        <v>21206</v>
      </c>
      <c r="G1621" s="36" t="s">
        <v>21207</v>
      </c>
      <c r="H1621" s="36" t="s">
        <v>21208</v>
      </c>
      <c r="I1621" s="36" t="s">
        <v>21209</v>
      </c>
      <c r="J1621" s="36" t="s">
        <v>21210</v>
      </c>
      <c r="K1621" s="36" t="s">
        <v>21211</v>
      </c>
      <c r="L1621" s="36" t="s">
        <v>21212</v>
      </c>
      <c r="M1621" s="36" t="s">
        <v>21213</v>
      </c>
      <c r="N1621" s="36" t="s">
        <v>21214</v>
      </c>
      <c r="O1621" s="36" t="s">
        <v>21215</v>
      </c>
      <c r="P1621" s="36" t="s">
        <v>21202</v>
      </c>
    </row>
    <row r="1622" spans="1:16" ht="15" customHeight="1">
      <c r="A1622" s="139">
        <v>1621</v>
      </c>
      <c r="B1622" s="36" t="s">
        <v>21216</v>
      </c>
      <c r="C1622" s="36" t="s">
        <v>21217</v>
      </c>
      <c r="D1622" s="36" t="s">
        <v>21218</v>
      </c>
      <c r="E1622" s="36" t="s">
        <v>21219</v>
      </c>
      <c r="F1622" s="36" t="s">
        <v>21220</v>
      </c>
      <c r="G1622" s="36" t="s">
        <v>21221</v>
      </c>
      <c r="H1622" s="36" t="s">
        <v>21222</v>
      </c>
      <c r="I1622" s="36" t="s">
        <v>21223</v>
      </c>
      <c r="J1622" s="36" t="s">
        <v>21224</v>
      </c>
      <c r="K1622" s="36" t="s">
        <v>21225</v>
      </c>
      <c r="L1622" s="36" t="s">
        <v>21226</v>
      </c>
      <c r="M1622" s="36" t="s">
        <v>21227</v>
      </c>
      <c r="N1622" s="36" t="s">
        <v>21228</v>
      </c>
      <c r="O1622" s="36" t="s">
        <v>21229</v>
      </c>
      <c r="P1622" s="36" t="s">
        <v>21216</v>
      </c>
    </row>
    <row r="1623" spans="1:16" ht="15" customHeight="1">
      <c r="A1623" s="139">
        <v>1622</v>
      </c>
      <c r="B1623" s="36" t="s">
        <v>21230</v>
      </c>
      <c r="C1623" s="36" t="s">
        <v>21231</v>
      </c>
      <c r="D1623" s="36" t="s">
        <v>21232</v>
      </c>
      <c r="E1623" s="36" t="s">
        <v>21233</v>
      </c>
      <c r="F1623" s="36" t="s">
        <v>21234</v>
      </c>
      <c r="G1623" s="36" t="s">
        <v>21235</v>
      </c>
      <c r="H1623" s="36" t="s">
        <v>21236</v>
      </c>
      <c r="I1623" s="36" t="s">
        <v>21237</v>
      </c>
      <c r="J1623" s="36" t="s">
        <v>21238</v>
      </c>
      <c r="K1623" s="36" t="s">
        <v>21239</v>
      </c>
      <c r="L1623" s="36" t="s">
        <v>21240</v>
      </c>
      <c r="M1623" s="36" t="s">
        <v>21241</v>
      </c>
      <c r="N1623" s="36" t="s">
        <v>21242</v>
      </c>
      <c r="O1623" s="36" t="s">
        <v>21243</v>
      </c>
      <c r="P1623" s="36" t="s">
        <v>21230</v>
      </c>
    </row>
    <row r="1624" spans="1:16" ht="15" customHeight="1">
      <c r="A1624" s="139">
        <v>1623</v>
      </c>
      <c r="B1624" s="36" t="s">
        <v>21244</v>
      </c>
      <c r="C1624" s="36" t="s">
        <v>21245</v>
      </c>
      <c r="D1624" s="36" t="s">
        <v>21246</v>
      </c>
      <c r="E1624" s="36" t="s">
        <v>21247</v>
      </c>
      <c r="F1624" s="36" t="s">
        <v>21248</v>
      </c>
      <c r="G1624" s="36" t="s">
        <v>21249</v>
      </c>
      <c r="H1624" s="36" t="s">
        <v>21250</v>
      </c>
      <c r="I1624" s="36" t="s">
        <v>21248</v>
      </c>
      <c r="J1624" s="36" t="s">
        <v>21251</v>
      </c>
      <c r="K1624" s="36" t="s">
        <v>21252</v>
      </c>
      <c r="L1624" s="36" t="s">
        <v>21253</v>
      </c>
      <c r="M1624" s="36" t="s">
        <v>21254</v>
      </c>
      <c r="N1624" s="36" t="s">
        <v>21255</v>
      </c>
      <c r="O1624" s="36" t="s">
        <v>21256</v>
      </c>
      <c r="P1624" s="36" t="s">
        <v>21244</v>
      </c>
    </row>
    <row r="1625" spans="1:16" ht="15" customHeight="1">
      <c r="A1625" s="139">
        <v>1624</v>
      </c>
      <c r="B1625" s="36" t="s">
        <v>21257</v>
      </c>
      <c r="C1625" s="36" t="s">
        <v>21258</v>
      </c>
      <c r="D1625" s="36" t="s">
        <v>21259</v>
      </c>
      <c r="E1625" s="36" t="s">
        <v>21260</v>
      </c>
      <c r="F1625" s="36" t="s">
        <v>21261</v>
      </c>
      <c r="G1625" s="36" t="s">
        <v>21262</v>
      </c>
      <c r="H1625" s="36" t="s">
        <v>21263</v>
      </c>
      <c r="I1625" s="36" t="s">
        <v>21264</v>
      </c>
      <c r="J1625" s="36" t="s">
        <v>21265</v>
      </c>
      <c r="K1625" s="36" t="s">
        <v>21266</v>
      </c>
      <c r="L1625" s="36" t="s">
        <v>21267</v>
      </c>
      <c r="M1625" s="36" t="s">
        <v>21268</v>
      </c>
      <c r="N1625" s="36" t="s">
        <v>21269</v>
      </c>
      <c r="O1625" s="36" t="s">
        <v>21270</v>
      </c>
      <c r="P1625" s="36" t="s">
        <v>21257</v>
      </c>
    </row>
    <row r="1626" spans="1:16" ht="15" customHeight="1">
      <c r="A1626" s="139">
        <v>1625</v>
      </c>
      <c r="B1626" s="36" t="s">
        <v>21271</v>
      </c>
      <c r="C1626" s="36" t="s">
        <v>21272</v>
      </c>
      <c r="D1626" s="36" t="s">
        <v>21273</v>
      </c>
      <c r="E1626" s="36" t="s">
        <v>21274</v>
      </c>
      <c r="F1626" s="36" t="s">
        <v>21275</v>
      </c>
      <c r="G1626" s="36" t="s">
        <v>21276</v>
      </c>
      <c r="H1626" s="36" t="s">
        <v>21277</v>
      </c>
      <c r="I1626" s="36" t="s">
        <v>21278</v>
      </c>
      <c r="J1626" s="36" t="s">
        <v>21279</v>
      </c>
      <c r="K1626" s="36" t="s">
        <v>21280</v>
      </c>
      <c r="L1626" s="36" t="s">
        <v>21281</v>
      </c>
      <c r="M1626" s="36" t="s">
        <v>21282</v>
      </c>
      <c r="N1626" s="36" t="s">
        <v>21283</v>
      </c>
      <c r="O1626" s="36" t="s">
        <v>21284</v>
      </c>
      <c r="P1626" s="36" t="s">
        <v>21271</v>
      </c>
    </row>
    <row r="1627" spans="1:16" ht="15" customHeight="1">
      <c r="A1627" s="139">
        <v>1626</v>
      </c>
      <c r="B1627" s="36" t="s">
        <v>21285</v>
      </c>
      <c r="C1627" s="36" t="s">
        <v>21286</v>
      </c>
      <c r="D1627" s="36" t="s">
        <v>21287</v>
      </c>
      <c r="E1627" s="36" t="s">
        <v>21288</v>
      </c>
      <c r="F1627" s="36" t="s">
        <v>21289</v>
      </c>
      <c r="G1627" s="36" t="s">
        <v>21290</v>
      </c>
      <c r="H1627" s="36" t="s">
        <v>21291</v>
      </c>
      <c r="I1627" s="36" t="s">
        <v>21292</v>
      </c>
      <c r="J1627" s="36" t="s">
        <v>21293</v>
      </c>
      <c r="K1627" s="36" t="s">
        <v>21294</v>
      </c>
      <c r="L1627" s="36" t="s">
        <v>21295</v>
      </c>
      <c r="M1627" s="36" t="s">
        <v>21296</v>
      </c>
      <c r="N1627" s="36" t="s">
        <v>21297</v>
      </c>
      <c r="O1627" s="36" t="s">
        <v>21298</v>
      </c>
      <c r="P1627" s="36" t="s">
        <v>21285</v>
      </c>
    </row>
    <row r="1628" spans="1:16" ht="15" customHeight="1">
      <c r="A1628" s="139">
        <v>1627</v>
      </c>
      <c r="B1628" s="36" t="s">
        <v>21299</v>
      </c>
      <c r="C1628" s="36" t="s">
        <v>21300</v>
      </c>
      <c r="D1628" s="36" t="s">
        <v>21301</v>
      </c>
      <c r="E1628" s="36" t="s">
        <v>21302</v>
      </c>
      <c r="F1628" s="36" t="s">
        <v>21303</v>
      </c>
      <c r="G1628" s="36" t="s">
        <v>21304</v>
      </c>
      <c r="H1628" s="36" t="s">
        <v>21305</v>
      </c>
      <c r="I1628" s="36" t="s">
        <v>21306</v>
      </c>
      <c r="J1628" s="36" t="s">
        <v>21307</v>
      </c>
      <c r="K1628" s="36" t="s">
        <v>21308</v>
      </c>
      <c r="L1628" s="36" t="s">
        <v>21309</v>
      </c>
      <c r="M1628" s="36" t="s">
        <v>21310</v>
      </c>
      <c r="N1628" s="36" t="s">
        <v>21311</v>
      </c>
      <c r="O1628" s="36" t="s">
        <v>21312</v>
      </c>
      <c r="P1628" s="36" t="s">
        <v>21299</v>
      </c>
    </row>
    <row r="1629" spans="1:16" ht="15" customHeight="1">
      <c r="A1629" s="139">
        <v>1628</v>
      </c>
      <c r="B1629" s="36" t="s">
        <v>21313</v>
      </c>
      <c r="C1629" s="36" t="s">
        <v>21314</v>
      </c>
      <c r="D1629" s="36" t="s">
        <v>21315</v>
      </c>
      <c r="E1629" s="36" t="s">
        <v>21316</v>
      </c>
      <c r="F1629" s="36" t="s">
        <v>21317</v>
      </c>
      <c r="G1629" s="36" t="s">
        <v>21318</v>
      </c>
      <c r="H1629" s="36" t="s">
        <v>21319</v>
      </c>
      <c r="I1629" s="36" t="s">
        <v>21320</v>
      </c>
      <c r="J1629" s="36" t="s">
        <v>21321</v>
      </c>
      <c r="K1629" s="36" t="s">
        <v>21322</v>
      </c>
      <c r="L1629" s="36" t="s">
        <v>21323</v>
      </c>
      <c r="M1629" s="36" t="s">
        <v>21324</v>
      </c>
      <c r="N1629" s="36" t="s">
        <v>21325</v>
      </c>
      <c r="O1629" s="36" t="s">
        <v>21326</v>
      </c>
      <c r="P1629" s="36" t="s">
        <v>21313</v>
      </c>
    </row>
    <row r="1630" spans="1:16" ht="15" customHeight="1">
      <c r="A1630" s="139">
        <v>1629</v>
      </c>
      <c r="B1630" s="36" t="s">
        <v>21327</v>
      </c>
      <c r="C1630" s="36" t="s">
        <v>21328</v>
      </c>
      <c r="D1630" s="36" t="s">
        <v>21329</v>
      </c>
      <c r="E1630" s="36" t="s">
        <v>21330</v>
      </c>
      <c r="F1630" s="36" t="s">
        <v>21331</v>
      </c>
      <c r="G1630" s="36" t="s">
        <v>21332</v>
      </c>
      <c r="H1630" s="36" t="s">
        <v>21333</v>
      </c>
      <c r="I1630" s="36" t="s">
        <v>21334</v>
      </c>
      <c r="J1630" s="36" t="s">
        <v>21335</v>
      </c>
      <c r="K1630" s="36" t="s">
        <v>21336</v>
      </c>
      <c r="L1630" s="36" t="s">
        <v>21337</v>
      </c>
      <c r="M1630" s="36" t="s">
        <v>21338</v>
      </c>
      <c r="N1630" s="36" t="s">
        <v>21339</v>
      </c>
      <c r="O1630" s="36" t="s">
        <v>21340</v>
      </c>
      <c r="P1630" s="36" t="s">
        <v>21327</v>
      </c>
    </row>
    <row r="1631" spans="1:16" ht="15" customHeight="1">
      <c r="A1631" s="139">
        <v>1630</v>
      </c>
      <c r="B1631" s="36" t="s">
        <v>21341</v>
      </c>
      <c r="C1631" s="36" t="s">
        <v>21342</v>
      </c>
      <c r="D1631" s="36" t="s">
        <v>21343</v>
      </c>
      <c r="E1631" s="36" t="s">
        <v>21344</v>
      </c>
      <c r="F1631" s="36" t="s">
        <v>21345</v>
      </c>
      <c r="G1631" s="36" t="s">
        <v>21346</v>
      </c>
      <c r="H1631" s="36" t="s">
        <v>21347</v>
      </c>
      <c r="I1631" s="36" t="s">
        <v>21348</v>
      </c>
      <c r="J1631" s="36" t="s">
        <v>21349</v>
      </c>
      <c r="K1631" s="36" t="s">
        <v>21350</v>
      </c>
      <c r="L1631" s="36" t="s">
        <v>21351</v>
      </c>
      <c r="M1631" s="36" t="s">
        <v>21352</v>
      </c>
      <c r="N1631" s="36" t="s">
        <v>21353</v>
      </c>
      <c r="O1631" s="36" t="s">
        <v>21354</v>
      </c>
      <c r="P1631" s="36" t="s">
        <v>21341</v>
      </c>
    </row>
    <row r="1632" spans="1:16" ht="15" customHeight="1">
      <c r="A1632" s="139">
        <v>1631</v>
      </c>
      <c r="B1632" s="36" t="s">
        <v>21355</v>
      </c>
      <c r="C1632" s="36" t="s">
        <v>21356</v>
      </c>
      <c r="D1632" s="36" t="s">
        <v>21357</v>
      </c>
      <c r="E1632" s="36" t="s">
        <v>21358</v>
      </c>
      <c r="F1632" s="36" t="s">
        <v>21359</v>
      </c>
      <c r="G1632" s="36" t="s">
        <v>21360</v>
      </c>
      <c r="H1632" s="36" t="s">
        <v>21361</v>
      </c>
      <c r="I1632" s="36" t="s">
        <v>21362</v>
      </c>
      <c r="J1632" s="36" t="s">
        <v>21363</v>
      </c>
      <c r="K1632" s="36" t="s">
        <v>21364</v>
      </c>
      <c r="L1632" s="36" t="s">
        <v>21365</v>
      </c>
      <c r="M1632" s="36" t="s">
        <v>21366</v>
      </c>
      <c r="N1632" s="36" t="s">
        <v>21367</v>
      </c>
      <c r="O1632" s="36" t="s">
        <v>21368</v>
      </c>
      <c r="P1632" s="36" t="s">
        <v>21355</v>
      </c>
    </row>
    <row r="1633" spans="1:16" ht="15" customHeight="1">
      <c r="A1633" s="139">
        <v>1632</v>
      </c>
      <c r="B1633" s="36" t="s">
        <v>21369</v>
      </c>
      <c r="C1633" s="36" t="s">
        <v>21370</v>
      </c>
      <c r="D1633" s="36" t="s">
        <v>21371</v>
      </c>
      <c r="E1633" s="36" t="s">
        <v>21372</v>
      </c>
      <c r="F1633" s="36" t="s">
        <v>21373</v>
      </c>
      <c r="G1633" s="36" t="s">
        <v>21374</v>
      </c>
      <c r="H1633" s="36" t="s">
        <v>21375</v>
      </c>
      <c r="I1633" s="36" t="s">
        <v>21376</v>
      </c>
      <c r="J1633" s="36" t="s">
        <v>21377</v>
      </c>
      <c r="K1633" s="36" t="s">
        <v>21378</v>
      </c>
      <c r="L1633" s="36" t="s">
        <v>21379</v>
      </c>
      <c r="M1633" s="36" t="s">
        <v>21380</v>
      </c>
      <c r="N1633" s="36" t="s">
        <v>21381</v>
      </c>
      <c r="O1633" s="36" t="s">
        <v>21382</v>
      </c>
      <c r="P1633" s="36" t="s">
        <v>21369</v>
      </c>
    </row>
    <row r="1634" spans="1:16" ht="15" customHeight="1">
      <c r="A1634" s="139">
        <v>1633</v>
      </c>
      <c r="B1634" s="36" t="s">
        <v>21383</v>
      </c>
      <c r="C1634" s="36" t="s">
        <v>21384</v>
      </c>
      <c r="D1634" s="36" t="s">
        <v>21385</v>
      </c>
      <c r="E1634" s="36" t="s">
        <v>21386</v>
      </c>
      <c r="F1634" s="36" t="s">
        <v>21387</v>
      </c>
      <c r="G1634" s="36" t="s">
        <v>21388</v>
      </c>
      <c r="H1634" s="36" t="s">
        <v>21389</v>
      </c>
      <c r="I1634" s="36" t="s">
        <v>21390</v>
      </c>
      <c r="J1634" s="36" t="s">
        <v>21391</v>
      </c>
      <c r="K1634" s="36" t="s">
        <v>21392</v>
      </c>
      <c r="L1634" s="36" t="s">
        <v>21393</v>
      </c>
      <c r="M1634" s="36" t="s">
        <v>21394</v>
      </c>
      <c r="N1634" s="36" t="s">
        <v>21395</v>
      </c>
      <c r="O1634" s="36" t="s">
        <v>21396</v>
      </c>
      <c r="P1634" s="36" t="s">
        <v>21383</v>
      </c>
    </row>
    <row r="1635" spans="1:16" ht="15" customHeight="1">
      <c r="A1635" s="139">
        <v>1634</v>
      </c>
      <c r="B1635" s="36" t="s">
        <v>21397</v>
      </c>
      <c r="C1635" s="36" t="s">
        <v>21398</v>
      </c>
      <c r="D1635" s="36" t="s">
        <v>21399</v>
      </c>
      <c r="E1635" s="36" t="s">
        <v>21400</v>
      </c>
      <c r="F1635" s="36" t="s">
        <v>21401</v>
      </c>
      <c r="G1635" s="36" t="s">
        <v>21402</v>
      </c>
      <c r="H1635" s="36" t="s">
        <v>21403</v>
      </c>
      <c r="I1635" s="36" t="s">
        <v>21404</v>
      </c>
      <c r="J1635" s="36" t="s">
        <v>21405</v>
      </c>
      <c r="K1635" s="36" t="s">
        <v>21406</v>
      </c>
      <c r="L1635" s="36" t="s">
        <v>21407</v>
      </c>
      <c r="M1635" s="36" t="s">
        <v>21408</v>
      </c>
      <c r="N1635" s="36" t="s">
        <v>21409</v>
      </c>
      <c r="O1635" s="36" t="s">
        <v>21410</v>
      </c>
      <c r="P1635" s="36" t="s">
        <v>21397</v>
      </c>
    </row>
    <row r="1636" spans="1:16" ht="15" customHeight="1">
      <c r="A1636" s="139">
        <v>1635</v>
      </c>
      <c r="B1636" s="36" t="s">
        <v>21411</v>
      </c>
      <c r="C1636" s="36" t="s">
        <v>21412</v>
      </c>
      <c r="D1636" s="36" t="s">
        <v>21413</v>
      </c>
      <c r="E1636" s="36" t="s">
        <v>21414</v>
      </c>
      <c r="F1636" s="36" t="s">
        <v>21415</v>
      </c>
      <c r="G1636" s="36" t="s">
        <v>21416</v>
      </c>
      <c r="H1636" s="36" t="s">
        <v>21417</v>
      </c>
      <c r="I1636" s="36" t="s">
        <v>21418</v>
      </c>
      <c r="J1636" s="36" t="s">
        <v>21419</v>
      </c>
      <c r="K1636" s="36" t="s">
        <v>21420</v>
      </c>
      <c r="L1636" s="36" t="s">
        <v>21421</v>
      </c>
      <c r="M1636" s="36" t="s">
        <v>21422</v>
      </c>
      <c r="N1636" s="36" t="s">
        <v>21423</v>
      </c>
      <c r="O1636" s="36" t="s">
        <v>21424</v>
      </c>
      <c r="P1636" s="36" t="s">
        <v>21411</v>
      </c>
    </row>
    <row r="1637" spans="1:16" ht="15" customHeight="1">
      <c r="A1637" s="139">
        <v>1636</v>
      </c>
      <c r="B1637" s="36" t="s">
        <v>21425</v>
      </c>
      <c r="C1637" s="36" t="s">
        <v>21426</v>
      </c>
      <c r="D1637" s="36" t="s">
        <v>21427</v>
      </c>
      <c r="E1637" s="36" t="s">
        <v>21428</v>
      </c>
      <c r="F1637" s="36" t="s">
        <v>21429</v>
      </c>
      <c r="G1637" s="36" t="s">
        <v>21430</v>
      </c>
      <c r="H1637" s="36" t="s">
        <v>21431</v>
      </c>
      <c r="I1637" s="36" t="s">
        <v>21432</v>
      </c>
      <c r="J1637" s="36" t="s">
        <v>21433</v>
      </c>
      <c r="K1637" s="36" t="s">
        <v>21434</v>
      </c>
      <c r="L1637" s="36" t="s">
        <v>21435</v>
      </c>
      <c r="M1637" s="36" t="s">
        <v>21436</v>
      </c>
      <c r="N1637" s="36" t="s">
        <v>21437</v>
      </c>
      <c r="O1637" s="36" t="s">
        <v>21438</v>
      </c>
      <c r="P1637" s="36" t="s">
        <v>21439</v>
      </c>
    </row>
    <row r="1638" spans="1:16" ht="15" customHeight="1">
      <c r="A1638" s="139">
        <v>1637</v>
      </c>
      <c r="B1638" s="36" t="s">
        <v>21440</v>
      </c>
      <c r="C1638" s="36" t="s">
        <v>21441</v>
      </c>
      <c r="D1638" s="36" t="s">
        <v>21442</v>
      </c>
      <c r="E1638" s="36" t="s">
        <v>21443</v>
      </c>
      <c r="F1638" s="36" t="s">
        <v>21444</v>
      </c>
      <c r="G1638" s="36" t="s">
        <v>21445</v>
      </c>
      <c r="H1638" s="36" t="s">
        <v>21446</v>
      </c>
      <c r="I1638" s="36" t="s">
        <v>21447</v>
      </c>
      <c r="J1638" s="36" t="s">
        <v>21448</v>
      </c>
      <c r="K1638" s="36" t="s">
        <v>21449</v>
      </c>
      <c r="L1638" s="36" t="s">
        <v>21450</v>
      </c>
      <c r="M1638" s="36" t="s">
        <v>21451</v>
      </c>
      <c r="N1638" s="36" t="s">
        <v>21452</v>
      </c>
      <c r="O1638" s="36" t="s">
        <v>21453</v>
      </c>
      <c r="P1638" s="36" t="s">
        <v>21440</v>
      </c>
    </row>
    <row r="1639" spans="1:16" ht="15" customHeight="1">
      <c r="A1639" s="139">
        <v>1638</v>
      </c>
      <c r="B1639" s="36" t="s">
        <v>21454</v>
      </c>
      <c r="C1639" s="36" t="s">
        <v>21455</v>
      </c>
      <c r="D1639" s="36" t="s">
        <v>21456</v>
      </c>
      <c r="E1639" s="36" t="s">
        <v>21457</v>
      </c>
      <c r="F1639" s="36" t="s">
        <v>3807</v>
      </c>
      <c r="G1639" s="36" t="s">
        <v>21458</v>
      </c>
      <c r="H1639" s="36" t="s">
        <v>21459</v>
      </c>
      <c r="I1639" s="36" t="s">
        <v>3892</v>
      </c>
      <c r="J1639" s="36" t="s">
        <v>21460</v>
      </c>
      <c r="K1639" s="36" t="s">
        <v>21461</v>
      </c>
      <c r="L1639" s="36" t="s">
        <v>21462</v>
      </c>
      <c r="M1639" s="36" t="s">
        <v>3895</v>
      </c>
      <c r="N1639" s="36" t="s">
        <v>21463</v>
      </c>
      <c r="O1639" s="36" t="s">
        <v>21461</v>
      </c>
      <c r="P1639" s="36" t="s">
        <v>21454</v>
      </c>
    </row>
    <row r="1640" spans="1:16" ht="15" customHeight="1">
      <c r="A1640" s="139">
        <v>1639</v>
      </c>
      <c r="B1640" s="36" t="s">
        <v>21464</v>
      </c>
      <c r="C1640" s="36" t="s">
        <v>21465</v>
      </c>
      <c r="D1640" s="36" t="s">
        <v>21466</v>
      </c>
      <c r="E1640" s="36" t="s">
        <v>21467</v>
      </c>
      <c r="F1640" s="36" t="s">
        <v>21468</v>
      </c>
      <c r="G1640" s="36" t="s">
        <v>21469</v>
      </c>
      <c r="H1640" s="36" t="s">
        <v>21470</v>
      </c>
      <c r="I1640" s="36" t="s">
        <v>21471</v>
      </c>
      <c r="J1640" s="36" t="s">
        <v>21472</v>
      </c>
      <c r="K1640" s="36" t="s">
        <v>21473</v>
      </c>
      <c r="L1640" s="36" t="s">
        <v>21474</v>
      </c>
      <c r="M1640" s="36" t="s">
        <v>21475</v>
      </c>
      <c r="N1640" s="36" t="s">
        <v>21476</v>
      </c>
      <c r="O1640" s="36" t="s">
        <v>21477</v>
      </c>
      <c r="P1640" s="36" t="s">
        <v>21464</v>
      </c>
    </row>
    <row r="1641" spans="1:16" ht="15" customHeight="1">
      <c r="A1641" s="139">
        <v>1640</v>
      </c>
      <c r="B1641" s="36" t="s">
        <v>21478</v>
      </c>
      <c r="C1641" s="36" t="s">
        <v>21479</v>
      </c>
      <c r="D1641" s="36" t="s">
        <v>21480</v>
      </c>
      <c r="E1641" s="36" t="s">
        <v>21481</v>
      </c>
      <c r="F1641" s="36" t="s">
        <v>21482</v>
      </c>
      <c r="G1641" s="36" t="s">
        <v>21483</v>
      </c>
      <c r="H1641" s="36" t="s">
        <v>21484</v>
      </c>
      <c r="I1641" s="36" t="s">
        <v>21485</v>
      </c>
      <c r="J1641" s="36" t="s">
        <v>21486</v>
      </c>
      <c r="K1641" s="36" t="s">
        <v>21487</v>
      </c>
      <c r="L1641" s="36" t="s">
        <v>21488</v>
      </c>
      <c r="M1641" s="36" t="s">
        <v>21489</v>
      </c>
      <c r="N1641" s="36" t="s">
        <v>21490</v>
      </c>
      <c r="O1641" s="36" t="s">
        <v>21491</v>
      </c>
      <c r="P1641" s="36" t="s">
        <v>21478</v>
      </c>
    </row>
    <row r="1642" spans="1:16" ht="15" customHeight="1">
      <c r="A1642" s="139">
        <v>1641</v>
      </c>
      <c r="B1642" s="36" t="s">
        <v>21492</v>
      </c>
      <c r="C1642" s="36" t="s">
        <v>21493</v>
      </c>
      <c r="D1642" s="36" t="s">
        <v>21494</v>
      </c>
      <c r="E1642" s="36" t="s">
        <v>21495</v>
      </c>
      <c r="F1642" s="36" t="s">
        <v>21496</v>
      </c>
      <c r="G1642" s="36" t="s">
        <v>21497</v>
      </c>
      <c r="H1642" s="36" t="s">
        <v>21498</v>
      </c>
      <c r="I1642" s="36" t="s">
        <v>21499</v>
      </c>
      <c r="J1642" s="36" t="s">
        <v>21500</v>
      </c>
      <c r="K1642" s="36" t="s">
        <v>21501</v>
      </c>
      <c r="L1642" s="36" t="s">
        <v>21502</v>
      </c>
      <c r="M1642" s="36" t="s">
        <v>21503</v>
      </c>
      <c r="N1642" s="36" t="s">
        <v>21504</v>
      </c>
      <c r="O1642" s="36" t="s">
        <v>21505</v>
      </c>
      <c r="P1642" s="36" t="s">
        <v>21492</v>
      </c>
    </row>
    <row r="1643" spans="1:16" ht="15" customHeight="1">
      <c r="A1643" s="139">
        <v>1642</v>
      </c>
      <c r="B1643" s="36" t="s">
        <v>21506</v>
      </c>
      <c r="C1643" s="36" t="s">
        <v>21507</v>
      </c>
      <c r="D1643" s="36" t="s">
        <v>21508</v>
      </c>
      <c r="E1643" s="36" t="s">
        <v>21509</v>
      </c>
      <c r="F1643" s="36" t="s">
        <v>21510</v>
      </c>
      <c r="G1643" s="36" t="s">
        <v>21511</v>
      </c>
      <c r="H1643" s="36" t="s">
        <v>21512</v>
      </c>
      <c r="I1643" s="36" t="s">
        <v>21513</v>
      </c>
      <c r="J1643" s="36" t="s">
        <v>21514</v>
      </c>
      <c r="K1643" s="36" t="s">
        <v>21515</v>
      </c>
      <c r="L1643" s="36" t="s">
        <v>21516</v>
      </c>
      <c r="M1643" s="36" t="s">
        <v>21517</v>
      </c>
      <c r="N1643" s="36" t="s">
        <v>21518</v>
      </c>
      <c r="O1643" s="36" t="s">
        <v>21519</v>
      </c>
      <c r="P1643" s="36" t="s">
        <v>21506</v>
      </c>
    </row>
    <row r="1644" spans="1:16" ht="15" customHeight="1">
      <c r="A1644" s="139">
        <v>1643</v>
      </c>
      <c r="B1644" s="36" t="s">
        <v>21520</v>
      </c>
      <c r="C1644" s="36" t="s">
        <v>21521</v>
      </c>
      <c r="D1644" s="36" t="s">
        <v>21522</v>
      </c>
      <c r="E1644" s="36" t="s">
        <v>21523</v>
      </c>
      <c r="F1644" s="36" t="s">
        <v>21524</v>
      </c>
      <c r="G1644" s="36" t="s">
        <v>21525</v>
      </c>
      <c r="H1644" s="36" t="s">
        <v>21526</v>
      </c>
      <c r="I1644" s="36" t="s">
        <v>21527</v>
      </c>
      <c r="J1644" s="36" t="s">
        <v>21528</v>
      </c>
      <c r="K1644" s="36" t="s">
        <v>21529</v>
      </c>
      <c r="L1644" s="36" t="s">
        <v>21530</v>
      </c>
      <c r="M1644" s="36" t="s">
        <v>21531</v>
      </c>
      <c r="N1644" s="36" t="s">
        <v>21532</v>
      </c>
      <c r="O1644" s="36" t="s">
        <v>21533</v>
      </c>
      <c r="P1644" s="36" t="s">
        <v>21520</v>
      </c>
    </row>
    <row r="1645" spans="1:16" ht="15" customHeight="1">
      <c r="A1645" s="139">
        <v>1644</v>
      </c>
      <c r="B1645" s="36" t="s">
        <v>21534</v>
      </c>
      <c r="C1645" s="36" t="s">
        <v>21534</v>
      </c>
      <c r="D1645" s="36" t="s">
        <v>21535</v>
      </c>
      <c r="E1645" s="36" t="s">
        <v>21536</v>
      </c>
      <c r="F1645" s="36" t="s">
        <v>21537</v>
      </c>
      <c r="G1645" s="36" t="s">
        <v>21538</v>
      </c>
      <c r="H1645" s="36" t="s">
        <v>21539</v>
      </c>
      <c r="I1645" s="36" t="s">
        <v>21540</v>
      </c>
      <c r="J1645" s="36" t="s">
        <v>21534</v>
      </c>
      <c r="K1645" s="36" t="s">
        <v>21534</v>
      </c>
      <c r="L1645" s="36" t="s">
        <v>21541</v>
      </c>
      <c r="M1645" s="36" t="s">
        <v>21534</v>
      </c>
      <c r="N1645" s="36" t="s">
        <v>21534</v>
      </c>
      <c r="O1645" s="36" t="s">
        <v>21534</v>
      </c>
      <c r="P1645" s="36" t="s">
        <v>21534</v>
      </c>
    </row>
    <row r="1646" spans="1:16" ht="15" customHeight="1">
      <c r="A1646" s="139">
        <v>1645</v>
      </c>
      <c r="B1646" s="36" t="s">
        <v>21542</v>
      </c>
      <c r="C1646" s="36" t="s">
        <v>21543</v>
      </c>
      <c r="D1646" s="36" t="s">
        <v>21544</v>
      </c>
      <c r="E1646" s="36" t="s">
        <v>21545</v>
      </c>
      <c r="F1646" s="36" t="s">
        <v>21546</v>
      </c>
      <c r="G1646" s="36" t="s">
        <v>21547</v>
      </c>
      <c r="H1646" s="36" t="s">
        <v>21548</v>
      </c>
      <c r="I1646" s="36" t="s">
        <v>21549</v>
      </c>
      <c r="J1646" s="36" t="s">
        <v>21550</v>
      </c>
      <c r="K1646" s="36" t="s">
        <v>21551</v>
      </c>
      <c r="L1646" s="36" t="s">
        <v>21552</v>
      </c>
      <c r="M1646" s="36" t="s">
        <v>21553</v>
      </c>
      <c r="N1646" s="36" t="s">
        <v>21554</v>
      </c>
      <c r="O1646" s="36" t="s">
        <v>21555</v>
      </c>
      <c r="P1646" s="36" t="s">
        <v>21542</v>
      </c>
    </row>
    <row r="1647" spans="1:16" ht="15" customHeight="1">
      <c r="A1647" s="139">
        <v>1646</v>
      </c>
      <c r="B1647" s="36" t="s">
        <v>21556</v>
      </c>
      <c r="C1647" s="36" t="s">
        <v>21557</v>
      </c>
      <c r="D1647" s="36" t="s">
        <v>21558</v>
      </c>
      <c r="E1647" s="36" t="s">
        <v>21559</v>
      </c>
      <c r="F1647" s="36" t="s">
        <v>21560</v>
      </c>
      <c r="G1647" s="36" t="s">
        <v>21561</v>
      </c>
      <c r="H1647" s="36" t="s">
        <v>21562</v>
      </c>
      <c r="I1647" s="36" t="s">
        <v>21563</v>
      </c>
      <c r="J1647" s="36" t="s">
        <v>21557</v>
      </c>
      <c r="K1647" s="36" t="s">
        <v>21564</v>
      </c>
      <c r="L1647" s="36" t="s">
        <v>21565</v>
      </c>
      <c r="M1647" s="36" t="s">
        <v>21566</v>
      </c>
      <c r="N1647" s="36" t="s">
        <v>21567</v>
      </c>
      <c r="O1647" s="36" t="s">
        <v>21568</v>
      </c>
      <c r="P1647" s="36" t="s">
        <v>21556</v>
      </c>
    </row>
    <row r="1648" spans="1:16" ht="15" customHeight="1">
      <c r="A1648" s="139">
        <v>1647</v>
      </c>
      <c r="B1648" s="36" t="s">
        <v>21569</v>
      </c>
      <c r="C1648" s="36" t="s">
        <v>21570</v>
      </c>
      <c r="D1648" s="36" t="s">
        <v>21571</v>
      </c>
      <c r="E1648" s="36" t="s">
        <v>21572</v>
      </c>
      <c r="F1648" s="36" t="s">
        <v>21573</v>
      </c>
      <c r="G1648" s="36" t="s">
        <v>21574</v>
      </c>
      <c r="H1648" s="36" t="s">
        <v>21575</v>
      </c>
      <c r="I1648" s="36" t="s">
        <v>21576</v>
      </c>
      <c r="J1648" s="36" t="s">
        <v>21577</v>
      </c>
      <c r="K1648" s="36" t="s">
        <v>21578</v>
      </c>
      <c r="L1648" s="36" t="s">
        <v>21579</v>
      </c>
      <c r="M1648" s="36" t="s">
        <v>21580</v>
      </c>
      <c r="N1648" s="36" t="s">
        <v>21581</v>
      </c>
      <c r="O1648" s="36" t="s">
        <v>21582</v>
      </c>
      <c r="P1648" s="36" t="s">
        <v>21569</v>
      </c>
    </row>
    <row r="1649" spans="1:16" ht="15" customHeight="1">
      <c r="A1649" s="139">
        <v>1648</v>
      </c>
      <c r="B1649" s="36" t="s">
        <v>95</v>
      </c>
      <c r="C1649" s="36" t="s">
        <v>95</v>
      </c>
      <c r="D1649" s="36" t="s">
        <v>21583</v>
      </c>
      <c r="E1649" s="36" t="s">
        <v>21584</v>
      </c>
      <c r="F1649" s="36" t="s">
        <v>21585</v>
      </c>
      <c r="G1649" s="36" t="s">
        <v>21586</v>
      </c>
      <c r="H1649" s="36" t="s">
        <v>21587</v>
      </c>
      <c r="I1649" s="36" t="s">
        <v>21588</v>
      </c>
      <c r="J1649" s="36" t="s">
        <v>21589</v>
      </c>
      <c r="K1649" s="36" t="s">
        <v>21590</v>
      </c>
      <c r="L1649" s="36" t="s">
        <v>21591</v>
      </c>
      <c r="M1649" s="36" t="s">
        <v>95</v>
      </c>
      <c r="N1649" s="36" t="s">
        <v>95</v>
      </c>
      <c r="O1649" s="36" t="s">
        <v>21592</v>
      </c>
      <c r="P1649" s="36" t="s">
        <v>95</v>
      </c>
    </row>
    <row r="1650" spans="1:16" ht="15" customHeight="1">
      <c r="A1650" s="139">
        <v>1649</v>
      </c>
      <c r="B1650" s="36" t="s">
        <v>21593</v>
      </c>
      <c r="C1650" s="36" t="s">
        <v>21594</v>
      </c>
      <c r="D1650" s="36" t="s">
        <v>21595</v>
      </c>
      <c r="E1650" s="36" t="s">
        <v>21596</v>
      </c>
      <c r="F1650" s="36" t="s">
        <v>21597</v>
      </c>
      <c r="G1650" s="36" t="s">
        <v>21598</v>
      </c>
      <c r="H1650" s="36" t="s">
        <v>21599</v>
      </c>
      <c r="I1650" s="36" t="s">
        <v>21600</v>
      </c>
      <c r="J1650" s="36" t="s">
        <v>21601</v>
      </c>
      <c r="K1650" s="36" t="s">
        <v>21602</v>
      </c>
      <c r="L1650" s="36" t="s">
        <v>21603</v>
      </c>
      <c r="M1650" s="36" t="s">
        <v>21604</v>
      </c>
      <c r="N1650" s="36" t="s">
        <v>21605</v>
      </c>
      <c r="O1650" s="36" t="s">
        <v>21606</v>
      </c>
      <c r="P1650" s="36" t="s">
        <v>21593</v>
      </c>
    </row>
    <row r="1651" spans="1:16" ht="15" customHeight="1">
      <c r="A1651" s="139">
        <v>1650</v>
      </c>
      <c r="B1651" s="36" t="s">
        <v>21607</v>
      </c>
      <c r="C1651" s="36" t="s">
        <v>21608</v>
      </c>
      <c r="D1651" s="36" t="s">
        <v>21609</v>
      </c>
      <c r="E1651" s="36" t="s">
        <v>21610</v>
      </c>
      <c r="F1651" s="36" t="s">
        <v>21611</v>
      </c>
      <c r="G1651" s="36" t="s">
        <v>21612</v>
      </c>
      <c r="H1651" s="36" t="s">
        <v>21613</v>
      </c>
      <c r="I1651" s="36" t="s">
        <v>21614</v>
      </c>
      <c r="J1651" s="36" t="s">
        <v>21615</v>
      </c>
      <c r="K1651" s="36" t="s">
        <v>21616</v>
      </c>
      <c r="L1651" s="36" t="s">
        <v>21617</v>
      </c>
      <c r="M1651" s="36" t="s">
        <v>21618</v>
      </c>
      <c r="N1651" s="36" t="s">
        <v>21619</v>
      </c>
      <c r="O1651" s="36" t="s">
        <v>21620</v>
      </c>
      <c r="P1651" s="36" t="s">
        <v>21607</v>
      </c>
    </row>
    <row r="1652" spans="1:16" ht="15" customHeight="1">
      <c r="A1652" s="139">
        <v>1651</v>
      </c>
      <c r="B1652" s="36" t="s">
        <v>21621</v>
      </c>
      <c r="C1652" s="36" t="s">
        <v>21622</v>
      </c>
      <c r="D1652" s="36" t="s">
        <v>21623</v>
      </c>
      <c r="E1652" s="36" t="s">
        <v>21624</v>
      </c>
      <c r="F1652" s="36" t="s">
        <v>21625</v>
      </c>
      <c r="G1652" s="36" t="s">
        <v>21626</v>
      </c>
      <c r="H1652" s="36" t="s">
        <v>21627</v>
      </c>
      <c r="I1652" s="36" t="s">
        <v>21628</v>
      </c>
      <c r="J1652" s="36" t="s">
        <v>21629</v>
      </c>
      <c r="K1652" s="36" t="s">
        <v>21630</v>
      </c>
      <c r="L1652" s="36" t="s">
        <v>21631</v>
      </c>
      <c r="M1652" s="36" t="s">
        <v>21632</v>
      </c>
      <c r="N1652" s="36" t="s">
        <v>21633</v>
      </c>
      <c r="O1652" s="36" t="s">
        <v>21634</v>
      </c>
      <c r="P1652" s="36" t="s">
        <v>21621</v>
      </c>
    </row>
    <row r="1653" spans="1:16" ht="15" customHeight="1">
      <c r="A1653" s="139">
        <v>1652</v>
      </c>
      <c r="B1653" s="36" t="s">
        <v>21635</v>
      </c>
      <c r="C1653" s="36" t="s">
        <v>21636</v>
      </c>
      <c r="D1653" s="36" t="s">
        <v>21637</v>
      </c>
      <c r="E1653" s="36" t="s">
        <v>21638</v>
      </c>
      <c r="F1653" s="36" t="s">
        <v>21639</v>
      </c>
      <c r="G1653" s="36" t="s">
        <v>21640</v>
      </c>
      <c r="H1653" s="36" t="s">
        <v>21641</v>
      </c>
      <c r="I1653" s="36" t="s">
        <v>21642</v>
      </c>
      <c r="J1653" s="36" t="s">
        <v>21643</v>
      </c>
      <c r="K1653" s="36" t="s">
        <v>21644</v>
      </c>
      <c r="L1653" s="36" t="s">
        <v>21645</v>
      </c>
      <c r="M1653" s="36" t="s">
        <v>21646</v>
      </c>
      <c r="N1653" s="36" t="s">
        <v>21647</v>
      </c>
      <c r="O1653" s="36" t="s">
        <v>21648</v>
      </c>
      <c r="P1653" s="36" t="s">
        <v>21635</v>
      </c>
    </row>
    <row r="1654" spans="1:16" ht="15" customHeight="1">
      <c r="A1654" s="139">
        <v>1653</v>
      </c>
      <c r="B1654" s="36" t="s">
        <v>21649</v>
      </c>
      <c r="C1654" s="36" t="s">
        <v>21650</v>
      </c>
      <c r="D1654" s="36" t="s">
        <v>21651</v>
      </c>
      <c r="E1654" s="36" t="s">
        <v>21652</v>
      </c>
      <c r="F1654" s="36" t="s">
        <v>21653</v>
      </c>
      <c r="G1654" s="36" t="s">
        <v>21654</v>
      </c>
      <c r="H1654" s="36" t="s">
        <v>21655</v>
      </c>
      <c r="I1654" s="36" t="s">
        <v>21656</v>
      </c>
      <c r="J1654" s="36" t="s">
        <v>21657</v>
      </c>
      <c r="K1654" s="36" t="s">
        <v>21658</v>
      </c>
      <c r="L1654" s="36" t="s">
        <v>21659</v>
      </c>
      <c r="M1654" s="36" t="s">
        <v>21660</v>
      </c>
      <c r="N1654" s="36" t="s">
        <v>21661</v>
      </c>
      <c r="O1654" s="36" t="s">
        <v>21662</v>
      </c>
      <c r="P1654" s="36" t="s">
        <v>21649</v>
      </c>
    </row>
    <row r="1655" spans="1:16" ht="15" customHeight="1">
      <c r="A1655" s="139">
        <v>1654</v>
      </c>
      <c r="B1655" s="36" t="s">
        <v>21663</v>
      </c>
      <c r="C1655" s="36" t="s">
        <v>21664</v>
      </c>
      <c r="D1655" s="36" t="s">
        <v>21665</v>
      </c>
      <c r="E1655" s="36" t="s">
        <v>21666</v>
      </c>
      <c r="F1655" s="36" t="s">
        <v>21667</v>
      </c>
      <c r="G1655" s="36" t="s">
        <v>21668</v>
      </c>
      <c r="H1655" s="36" t="s">
        <v>21669</v>
      </c>
      <c r="I1655" s="36" t="s">
        <v>21670</v>
      </c>
      <c r="J1655" s="36" t="s">
        <v>21671</v>
      </c>
      <c r="K1655" s="36" t="s">
        <v>21672</v>
      </c>
      <c r="L1655" s="36" t="s">
        <v>21673</v>
      </c>
      <c r="M1655" s="36" t="s">
        <v>21674</v>
      </c>
      <c r="N1655" s="36" t="s">
        <v>21675</v>
      </c>
      <c r="O1655" s="36" t="s">
        <v>21676</v>
      </c>
      <c r="P1655" s="36" t="s">
        <v>21663</v>
      </c>
    </row>
    <row r="1656" spans="1:16" ht="15" customHeight="1">
      <c r="A1656" s="139">
        <v>1655</v>
      </c>
      <c r="B1656" s="36" t="s">
        <v>21677</v>
      </c>
      <c r="C1656" s="36" t="s">
        <v>21678</v>
      </c>
      <c r="D1656" s="36" t="s">
        <v>21679</v>
      </c>
      <c r="E1656" s="36" t="s">
        <v>21680</v>
      </c>
      <c r="F1656" s="36" t="s">
        <v>21681</v>
      </c>
      <c r="G1656" s="36" t="s">
        <v>21682</v>
      </c>
      <c r="H1656" s="36" t="s">
        <v>21683</v>
      </c>
      <c r="I1656" s="36" t="s">
        <v>21684</v>
      </c>
      <c r="J1656" s="36" t="s">
        <v>21685</v>
      </c>
      <c r="K1656" s="36" t="s">
        <v>21686</v>
      </c>
      <c r="L1656" s="36" t="s">
        <v>21687</v>
      </c>
      <c r="M1656" s="36" t="s">
        <v>21688</v>
      </c>
      <c r="N1656" s="36" t="s">
        <v>21689</v>
      </c>
      <c r="O1656" s="36" t="s">
        <v>21690</v>
      </c>
      <c r="P1656" s="36" t="s">
        <v>21677</v>
      </c>
    </row>
    <row r="1657" spans="1:16" ht="15" customHeight="1">
      <c r="A1657" s="139">
        <v>1656</v>
      </c>
      <c r="B1657" s="36" t="s">
        <v>21691</v>
      </c>
      <c r="C1657" s="36" t="s">
        <v>21692</v>
      </c>
      <c r="D1657" s="36" t="s">
        <v>21693</v>
      </c>
      <c r="E1657" s="36" t="s">
        <v>21694</v>
      </c>
      <c r="F1657" s="36" t="s">
        <v>21695</v>
      </c>
      <c r="G1657" s="36" t="s">
        <v>21696</v>
      </c>
      <c r="H1657" s="36" t="s">
        <v>21697</v>
      </c>
      <c r="I1657" s="36" t="s">
        <v>21698</v>
      </c>
      <c r="J1657" s="36" t="s">
        <v>21699</v>
      </c>
      <c r="K1657" s="36" t="s">
        <v>21700</v>
      </c>
      <c r="L1657" s="36" t="s">
        <v>21701</v>
      </c>
      <c r="M1657" s="36" t="s">
        <v>21702</v>
      </c>
      <c r="N1657" s="36" t="s">
        <v>21703</v>
      </c>
      <c r="O1657" s="36" t="s">
        <v>21704</v>
      </c>
      <c r="P1657" s="36" t="s">
        <v>21691</v>
      </c>
    </row>
    <row r="1658" spans="1:16" ht="15" customHeight="1">
      <c r="A1658" s="139">
        <v>1657</v>
      </c>
      <c r="B1658" s="36" t="s">
        <v>21705</v>
      </c>
      <c r="C1658" s="36" t="s">
        <v>21706</v>
      </c>
      <c r="D1658" s="36" t="s">
        <v>21707</v>
      </c>
      <c r="E1658" s="36" t="s">
        <v>21708</v>
      </c>
      <c r="F1658" s="36" t="s">
        <v>21709</v>
      </c>
      <c r="G1658" s="36" t="s">
        <v>21710</v>
      </c>
      <c r="H1658" s="36" t="s">
        <v>21711</v>
      </c>
      <c r="I1658" s="36" t="s">
        <v>21712</v>
      </c>
      <c r="J1658" s="36" t="s">
        <v>21713</v>
      </c>
      <c r="K1658" s="36" t="s">
        <v>21714</v>
      </c>
      <c r="L1658" s="36" t="s">
        <v>21715</v>
      </c>
      <c r="M1658" s="36" t="s">
        <v>21716</v>
      </c>
      <c r="N1658" s="36" t="s">
        <v>21717</v>
      </c>
      <c r="O1658" s="36" t="s">
        <v>21718</v>
      </c>
      <c r="P1658" s="36" t="s">
        <v>21705</v>
      </c>
    </row>
    <row r="1659" spans="1:16" ht="15" customHeight="1">
      <c r="A1659" s="139">
        <v>1658</v>
      </c>
      <c r="B1659" s="36" t="s">
        <v>21719</v>
      </c>
      <c r="C1659" s="36" t="s">
        <v>21720</v>
      </c>
      <c r="D1659" s="36" t="s">
        <v>21721</v>
      </c>
      <c r="E1659" s="36" t="s">
        <v>21722</v>
      </c>
      <c r="F1659" s="36" t="s">
        <v>21723</v>
      </c>
      <c r="G1659" s="36" t="s">
        <v>21724</v>
      </c>
      <c r="H1659" s="36" t="s">
        <v>21725</v>
      </c>
      <c r="I1659" s="36" t="s">
        <v>21726</v>
      </c>
      <c r="J1659" s="36" t="s">
        <v>21727</v>
      </c>
      <c r="K1659" s="36" t="s">
        <v>21728</v>
      </c>
      <c r="L1659" s="36" t="s">
        <v>21729</v>
      </c>
      <c r="M1659" s="36" t="s">
        <v>21730</v>
      </c>
      <c r="N1659" s="36" t="s">
        <v>21731</v>
      </c>
      <c r="O1659" s="36" t="s">
        <v>21732</v>
      </c>
      <c r="P1659" s="36" t="s">
        <v>21719</v>
      </c>
    </row>
    <row r="1660" spans="1:16" ht="15" customHeight="1">
      <c r="A1660" s="139">
        <v>1659</v>
      </c>
      <c r="B1660" s="36" t="s">
        <v>21733</v>
      </c>
      <c r="C1660" s="36" t="s">
        <v>21734</v>
      </c>
      <c r="D1660" s="36" t="s">
        <v>21735</v>
      </c>
      <c r="E1660" s="36" t="s">
        <v>21736</v>
      </c>
      <c r="F1660" s="36" t="s">
        <v>21737</v>
      </c>
      <c r="G1660" s="36" t="s">
        <v>21738</v>
      </c>
      <c r="H1660" s="36" t="s">
        <v>21739</v>
      </c>
      <c r="I1660" s="36" t="s">
        <v>21740</v>
      </c>
      <c r="J1660" s="36" t="s">
        <v>21741</v>
      </c>
      <c r="K1660" s="36" t="s">
        <v>21742</v>
      </c>
      <c r="L1660" s="36" t="s">
        <v>21743</v>
      </c>
      <c r="M1660" s="36" t="s">
        <v>21744</v>
      </c>
      <c r="N1660" s="36" t="s">
        <v>21745</v>
      </c>
      <c r="O1660" s="36" t="s">
        <v>21746</v>
      </c>
      <c r="P1660" s="36" t="s">
        <v>21733</v>
      </c>
    </row>
    <row r="1661" spans="1:16" ht="15" customHeight="1">
      <c r="A1661" s="139">
        <v>1660</v>
      </c>
      <c r="B1661" s="36" t="s">
        <v>21747</v>
      </c>
      <c r="C1661" s="36" t="s">
        <v>21748</v>
      </c>
      <c r="D1661" s="36" t="s">
        <v>21749</v>
      </c>
      <c r="E1661" s="36" t="s">
        <v>21750</v>
      </c>
      <c r="F1661" s="36" t="s">
        <v>21751</v>
      </c>
      <c r="G1661" s="36" t="s">
        <v>21752</v>
      </c>
      <c r="H1661" s="36" t="s">
        <v>21753</v>
      </c>
      <c r="I1661" s="36" t="s">
        <v>21754</v>
      </c>
      <c r="J1661" s="36" t="s">
        <v>21755</v>
      </c>
      <c r="K1661" s="36" t="s">
        <v>21756</v>
      </c>
      <c r="L1661" s="36" t="s">
        <v>21757</v>
      </c>
      <c r="M1661" s="36" t="s">
        <v>21758</v>
      </c>
      <c r="N1661" s="36" t="s">
        <v>21759</v>
      </c>
      <c r="O1661" s="36" t="s">
        <v>21760</v>
      </c>
      <c r="P1661" s="36" t="s">
        <v>21747</v>
      </c>
    </row>
    <row r="1662" spans="1:16" ht="15" customHeight="1">
      <c r="A1662" s="139">
        <v>1661</v>
      </c>
      <c r="B1662" s="36" t="s">
        <v>21761</v>
      </c>
      <c r="C1662" s="36" t="s">
        <v>21762</v>
      </c>
      <c r="D1662" s="36" t="s">
        <v>21763</v>
      </c>
      <c r="E1662" s="36" t="s">
        <v>21764</v>
      </c>
      <c r="F1662" s="36" t="s">
        <v>21765</v>
      </c>
      <c r="G1662" s="36" t="s">
        <v>21766</v>
      </c>
      <c r="H1662" s="36" t="s">
        <v>21767</v>
      </c>
      <c r="I1662" s="36" t="s">
        <v>21768</v>
      </c>
      <c r="J1662" s="36" t="s">
        <v>21769</v>
      </c>
      <c r="K1662" s="36" t="s">
        <v>21770</v>
      </c>
      <c r="L1662" s="36" t="s">
        <v>21771</v>
      </c>
      <c r="M1662" s="36" t="s">
        <v>21772</v>
      </c>
      <c r="N1662" s="36" t="s">
        <v>21773</v>
      </c>
      <c r="O1662" s="36" t="s">
        <v>21774</v>
      </c>
      <c r="P1662" s="36" t="s">
        <v>21761</v>
      </c>
    </row>
    <row r="1663" spans="1:16" ht="15" customHeight="1">
      <c r="A1663" s="139">
        <v>1662</v>
      </c>
      <c r="B1663" s="36" t="s">
        <v>21775</v>
      </c>
      <c r="C1663" s="36" t="s">
        <v>21776</v>
      </c>
      <c r="D1663" s="36" t="s">
        <v>21777</v>
      </c>
      <c r="E1663" s="36" t="s">
        <v>21778</v>
      </c>
      <c r="F1663" s="36" t="s">
        <v>21779</v>
      </c>
      <c r="G1663" s="36" t="s">
        <v>21780</v>
      </c>
      <c r="H1663" s="36" t="s">
        <v>21781</v>
      </c>
      <c r="I1663" s="36" t="s">
        <v>21782</v>
      </c>
      <c r="J1663" s="36" t="s">
        <v>21783</v>
      </c>
      <c r="K1663" s="36" t="s">
        <v>21784</v>
      </c>
      <c r="L1663" s="36" t="s">
        <v>21785</v>
      </c>
      <c r="M1663" s="36" t="s">
        <v>21786</v>
      </c>
      <c r="N1663" s="36" t="s">
        <v>21787</v>
      </c>
      <c r="O1663" s="36" t="s">
        <v>21788</v>
      </c>
      <c r="P1663" s="36" t="s">
        <v>21775</v>
      </c>
    </row>
    <row r="1664" spans="1:16" ht="15" customHeight="1">
      <c r="A1664" s="139">
        <v>1663</v>
      </c>
      <c r="B1664" s="36" t="s">
        <v>21789</v>
      </c>
      <c r="C1664" s="36" t="s">
        <v>21790</v>
      </c>
      <c r="D1664" s="36" t="s">
        <v>21791</v>
      </c>
      <c r="E1664" s="36" t="s">
        <v>21792</v>
      </c>
      <c r="F1664" s="36" t="s">
        <v>21793</v>
      </c>
      <c r="G1664" s="36" t="s">
        <v>21794</v>
      </c>
      <c r="H1664" s="36" t="s">
        <v>21795</v>
      </c>
      <c r="I1664" s="36" t="s">
        <v>21796</v>
      </c>
      <c r="J1664" s="36" t="s">
        <v>21797</v>
      </c>
      <c r="K1664" s="36" t="s">
        <v>21798</v>
      </c>
      <c r="L1664" s="36" t="s">
        <v>21799</v>
      </c>
      <c r="M1664" s="36" t="s">
        <v>21800</v>
      </c>
      <c r="N1664" s="36" t="s">
        <v>21801</v>
      </c>
      <c r="O1664" s="36" t="s">
        <v>21802</v>
      </c>
      <c r="P1664" s="36" t="s">
        <v>21789</v>
      </c>
    </row>
    <row r="1665" spans="1:16" ht="15" customHeight="1">
      <c r="A1665" s="139">
        <v>1664</v>
      </c>
      <c r="B1665" s="36" t="s">
        <v>21803</v>
      </c>
      <c r="C1665" s="36" t="s">
        <v>21804</v>
      </c>
      <c r="D1665" s="36" t="s">
        <v>21805</v>
      </c>
      <c r="E1665" s="36" t="s">
        <v>21806</v>
      </c>
      <c r="F1665" s="36" t="s">
        <v>21807</v>
      </c>
      <c r="G1665" s="36" t="s">
        <v>21808</v>
      </c>
      <c r="H1665" s="36" t="s">
        <v>21809</v>
      </c>
      <c r="I1665" s="36" t="s">
        <v>21810</v>
      </c>
      <c r="J1665" s="36" t="s">
        <v>21811</v>
      </c>
      <c r="K1665" s="36" t="s">
        <v>21812</v>
      </c>
      <c r="L1665" s="36" t="s">
        <v>21813</v>
      </c>
      <c r="M1665" s="36" t="s">
        <v>21814</v>
      </c>
      <c r="N1665" s="36" t="s">
        <v>21815</v>
      </c>
      <c r="O1665" s="36" t="s">
        <v>21816</v>
      </c>
      <c r="P1665" s="36" t="s">
        <v>21803</v>
      </c>
    </row>
    <row r="1666" spans="1:16" ht="15" customHeight="1">
      <c r="A1666" s="139">
        <v>1665</v>
      </c>
      <c r="B1666" s="36" t="s">
        <v>21817</v>
      </c>
      <c r="C1666" s="36" t="s">
        <v>21818</v>
      </c>
      <c r="D1666" s="36" t="s">
        <v>21819</v>
      </c>
      <c r="E1666" s="36" t="s">
        <v>21820</v>
      </c>
      <c r="F1666" s="36" t="s">
        <v>21821</v>
      </c>
      <c r="G1666" s="36" t="s">
        <v>21822</v>
      </c>
      <c r="H1666" s="36" t="s">
        <v>21823</v>
      </c>
      <c r="I1666" s="36" t="s">
        <v>21824</v>
      </c>
      <c r="J1666" s="36" t="s">
        <v>21825</v>
      </c>
      <c r="K1666" s="36" t="s">
        <v>21826</v>
      </c>
      <c r="L1666" s="36" t="s">
        <v>21827</v>
      </c>
      <c r="M1666" s="36" t="s">
        <v>21828</v>
      </c>
      <c r="N1666" s="36" t="s">
        <v>21829</v>
      </c>
      <c r="O1666" s="36" t="s">
        <v>21830</v>
      </c>
      <c r="P1666" s="36" t="s">
        <v>21817</v>
      </c>
    </row>
    <row r="1667" spans="1:16" ht="15" customHeight="1">
      <c r="A1667" s="139">
        <v>1666</v>
      </c>
      <c r="B1667" s="36" t="s">
        <v>21831</v>
      </c>
      <c r="C1667" s="36" t="s">
        <v>21831</v>
      </c>
      <c r="D1667" s="36" t="s">
        <v>21832</v>
      </c>
      <c r="E1667" s="36" t="s">
        <v>21833</v>
      </c>
      <c r="F1667" s="36" t="s">
        <v>21834</v>
      </c>
      <c r="G1667" s="36" t="s">
        <v>21835</v>
      </c>
      <c r="H1667" s="36" t="s">
        <v>21836</v>
      </c>
      <c r="I1667" s="36" t="s">
        <v>21837</v>
      </c>
      <c r="J1667" s="36" t="s">
        <v>21838</v>
      </c>
      <c r="K1667" s="36" t="s">
        <v>21839</v>
      </c>
      <c r="L1667" s="36" t="s">
        <v>21840</v>
      </c>
      <c r="M1667" s="36" t="s">
        <v>21841</v>
      </c>
      <c r="N1667" s="36" t="s">
        <v>21842</v>
      </c>
      <c r="O1667" s="36" t="s">
        <v>21843</v>
      </c>
      <c r="P1667" s="36" t="s">
        <v>21831</v>
      </c>
    </row>
    <row r="1668" spans="1:16" ht="15" customHeight="1">
      <c r="A1668" s="139">
        <v>1667</v>
      </c>
      <c r="B1668" s="36" t="s">
        <v>21844</v>
      </c>
      <c r="C1668" s="36" t="s">
        <v>21844</v>
      </c>
      <c r="D1668" s="36" t="s">
        <v>21845</v>
      </c>
      <c r="E1668" s="36" t="s">
        <v>21846</v>
      </c>
      <c r="F1668" s="36" t="s">
        <v>21847</v>
      </c>
      <c r="G1668" s="36" t="s">
        <v>21848</v>
      </c>
      <c r="H1668" s="36" t="s">
        <v>21849</v>
      </c>
      <c r="I1668" s="36" t="s">
        <v>21850</v>
      </c>
      <c r="J1668" s="36" t="s">
        <v>21851</v>
      </c>
      <c r="K1668" s="36" t="s">
        <v>21852</v>
      </c>
      <c r="L1668" s="36" t="s">
        <v>21853</v>
      </c>
      <c r="M1668" s="36" t="s">
        <v>21854</v>
      </c>
      <c r="N1668" s="36" t="s">
        <v>21855</v>
      </c>
      <c r="O1668" s="36" t="s">
        <v>21856</v>
      </c>
      <c r="P1668" s="36" t="s">
        <v>21844</v>
      </c>
    </row>
    <row r="1669" spans="1:16" ht="15" customHeight="1">
      <c r="A1669" s="139">
        <v>1668</v>
      </c>
      <c r="B1669" s="36" t="s">
        <v>21857</v>
      </c>
      <c r="C1669" s="36" t="s">
        <v>21858</v>
      </c>
      <c r="D1669" s="36" t="s">
        <v>21859</v>
      </c>
      <c r="E1669" s="36" t="s">
        <v>21860</v>
      </c>
      <c r="F1669" s="36" t="s">
        <v>21861</v>
      </c>
      <c r="G1669" s="36" t="s">
        <v>21862</v>
      </c>
      <c r="H1669" s="36" t="s">
        <v>21863</v>
      </c>
      <c r="I1669" s="36" t="s">
        <v>21864</v>
      </c>
      <c r="J1669" s="36" t="s">
        <v>21865</v>
      </c>
      <c r="K1669" s="36" t="s">
        <v>21866</v>
      </c>
      <c r="L1669" s="36" t="s">
        <v>21867</v>
      </c>
      <c r="M1669" s="36" t="s">
        <v>21868</v>
      </c>
      <c r="N1669" s="36" t="s">
        <v>21869</v>
      </c>
      <c r="O1669" s="36" t="s">
        <v>21870</v>
      </c>
      <c r="P1669" s="36" t="s">
        <v>21871</v>
      </c>
    </row>
    <row r="1670" spans="1:16" ht="15" customHeight="1">
      <c r="A1670" s="139">
        <v>1669</v>
      </c>
      <c r="B1670" s="36" t="s">
        <v>21872</v>
      </c>
      <c r="C1670" s="36" t="s">
        <v>21873</v>
      </c>
      <c r="D1670" s="36" t="s">
        <v>21874</v>
      </c>
      <c r="E1670" s="36" t="s">
        <v>21875</v>
      </c>
      <c r="F1670" s="36" t="s">
        <v>21876</v>
      </c>
      <c r="G1670" s="36" t="s">
        <v>21877</v>
      </c>
      <c r="H1670" s="36" t="s">
        <v>21878</v>
      </c>
      <c r="I1670" s="36" t="s">
        <v>21879</v>
      </c>
      <c r="J1670" s="36" t="s">
        <v>21880</v>
      </c>
      <c r="K1670" s="36" t="s">
        <v>21881</v>
      </c>
      <c r="L1670" s="36" t="s">
        <v>21882</v>
      </c>
      <c r="M1670" s="36" t="s">
        <v>21883</v>
      </c>
      <c r="N1670" s="36" t="s">
        <v>21884</v>
      </c>
      <c r="O1670" s="36" t="s">
        <v>21885</v>
      </c>
      <c r="P1670" s="36" t="s">
        <v>21872</v>
      </c>
    </row>
    <row r="1671" spans="1:16" ht="15" customHeight="1">
      <c r="A1671" s="139">
        <v>1670</v>
      </c>
      <c r="B1671" s="36" t="s">
        <v>21886</v>
      </c>
      <c r="C1671" s="36" t="s">
        <v>21887</v>
      </c>
      <c r="D1671" s="36" t="s">
        <v>21888</v>
      </c>
      <c r="E1671" s="36" t="s">
        <v>21889</v>
      </c>
      <c r="F1671" s="36" t="s">
        <v>21890</v>
      </c>
      <c r="G1671" s="36" t="s">
        <v>21891</v>
      </c>
      <c r="H1671" s="36" t="s">
        <v>21892</v>
      </c>
      <c r="I1671" s="36" t="s">
        <v>21893</v>
      </c>
      <c r="J1671" s="36" t="s">
        <v>21894</v>
      </c>
      <c r="K1671" s="36" t="s">
        <v>21895</v>
      </c>
      <c r="L1671" s="36" t="s">
        <v>21896</v>
      </c>
      <c r="M1671" s="36" t="s">
        <v>21897</v>
      </c>
      <c r="N1671" s="36" t="s">
        <v>21898</v>
      </c>
      <c r="O1671" s="36" t="s">
        <v>21899</v>
      </c>
      <c r="P1671" s="36" t="s">
        <v>21900</v>
      </c>
    </row>
    <row r="1672" spans="1:16" ht="15" customHeight="1">
      <c r="A1672" s="139">
        <v>1671</v>
      </c>
      <c r="B1672" s="36" t="s">
        <v>21901</v>
      </c>
      <c r="C1672" s="36" t="s">
        <v>21902</v>
      </c>
      <c r="D1672" s="36" t="s">
        <v>21903</v>
      </c>
      <c r="E1672" s="36" t="s">
        <v>21904</v>
      </c>
      <c r="F1672" s="36" t="s">
        <v>21905</v>
      </c>
      <c r="G1672" s="36" t="s">
        <v>21906</v>
      </c>
      <c r="H1672" s="36" t="s">
        <v>21907</v>
      </c>
      <c r="I1672" s="36" t="s">
        <v>21908</v>
      </c>
      <c r="J1672" s="36" t="s">
        <v>21909</v>
      </c>
      <c r="K1672" s="36" t="s">
        <v>21910</v>
      </c>
      <c r="L1672" s="36" t="s">
        <v>21911</v>
      </c>
      <c r="M1672" s="36" t="s">
        <v>21912</v>
      </c>
      <c r="N1672" s="36" t="s">
        <v>21913</v>
      </c>
      <c r="O1672" s="36" t="s">
        <v>21914</v>
      </c>
      <c r="P1672" s="36" t="s">
        <v>21901</v>
      </c>
    </row>
    <row r="1673" spans="1:16" ht="15" customHeight="1">
      <c r="A1673" s="139">
        <v>1672</v>
      </c>
      <c r="B1673" s="36" t="s">
        <v>21915</v>
      </c>
      <c r="C1673" s="36" t="s">
        <v>21916</v>
      </c>
      <c r="D1673" s="36" t="s">
        <v>21917</v>
      </c>
      <c r="E1673" s="36" t="s">
        <v>21918</v>
      </c>
      <c r="F1673" s="36" t="s">
        <v>21919</v>
      </c>
      <c r="G1673" s="36" t="s">
        <v>21920</v>
      </c>
      <c r="H1673" s="36" t="s">
        <v>21921</v>
      </c>
      <c r="I1673" s="36" t="s">
        <v>21922</v>
      </c>
      <c r="J1673" s="36" t="s">
        <v>21923</v>
      </c>
      <c r="K1673" s="36" t="s">
        <v>21924</v>
      </c>
      <c r="L1673" s="36" t="s">
        <v>21925</v>
      </c>
      <c r="M1673" s="36" t="s">
        <v>21926</v>
      </c>
      <c r="N1673" s="36" t="s">
        <v>21927</v>
      </c>
      <c r="O1673" s="36" t="s">
        <v>21928</v>
      </c>
      <c r="P1673" s="36" t="s">
        <v>21915</v>
      </c>
    </row>
    <row r="1674" spans="1:16" ht="15" customHeight="1">
      <c r="A1674" s="139">
        <v>1673</v>
      </c>
      <c r="B1674" s="36" t="s">
        <v>21929</v>
      </c>
      <c r="C1674" s="36" t="s">
        <v>21916</v>
      </c>
      <c r="D1674" s="36" t="s">
        <v>21930</v>
      </c>
      <c r="E1674" s="36" t="s">
        <v>21931</v>
      </c>
      <c r="F1674" s="36" t="s">
        <v>21932</v>
      </c>
      <c r="G1674" s="36" t="s">
        <v>21933</v>
      </c>
      <c r="H1674" s="36" t="s">
        <v>21934</v>
      </c>
      <c r="I1674" s="36" t="s">
        <v>21935</v>
      </c>
      <c r="J1674" s="36" t="s">
        <v>21936</v>
      </c>
      <c r="K1674" s="36" t="s">
        <v>21937</v>
      </c>
      <c r="L1674" s="36" t="s">
        <v>21938</v>
      </c>
      <c r="M1674" s="36" t="s">
        <v>21939</v>
      </c>
      <c r="N1674" s="36" t="s">
        <v>21940</v>
      </c>
      <c r="O1674" s="36" t="s">
        <v>21941</v>
      </c>
      <c r="P1674" s="36" t="s">
        <v>21929</v>
      </c>
    </row>
    <row r="1675" spans="1:16" ht="15" customHeight="1">
      <c r="A1675" s="139">
        <v>1674</v>
      </c>
      <c r="B1675" s="36" t="s">
        <v>21942</v>
      </c>
      <c r="C1675" s="36" t="s">
        <v>21943</v>
      </c>
      <c r="D1675" s="36" t="s">
        <v>21944</v>
      </c>
      <c r="E1675" s="36" t="s">
        <v>21945</v>
      </c>
      <c r="F1675" s="36" t="s">
        <v>21946</v>
      </c>
      <c r="G1675" s="36" t="s">
        <v>21947</v>
      </c>
      <c r="H1675" s="36" t="s">
        <v>21948</v>
      </c>
      <c r="I1675" s="36" t="s">
        <v>21949</v>
      </c>
      <c r="J1675" s="36" t="s">
        <v>21950</v>
      </c>
      <c r="K1675" s="36" t="s">
        <v>21951</v>
      </c>
      <c r="L1675" s="36" t="s">
        <v>21952</v>
      </c>
      <c r="M1675" s="36" t="s">
        <v>21953</v>
      </c>
      <c r="N1675" s="36" t="s">
        <v>21954</v>
      </c>
      <c r="O1675" s="36" t="s">
        <v>21955</v>
      </c>
      <c r="P1675" s="36" t="s">
        <v>21942</v>
      </c>
    </row>
    <row r="1676" spans="1:16" ht="15" customHeight="1">
      <c r="A1676" s="139">
        <v>1675</v>
      </c>
      <c r="B1676" s="36" t="s">
        <v>21956</v>
      </c>
      <c r="C1676" s="36" t="s">
        <v>21957</v>
      </c>
      <c r="D1676" s="36" t="s">
        <v>21958</v>
      </c>
      <c r="E1676" s="36" t="s">
        <v>21959</v>
      </c>
      <c r="F1676" s="36" t="s">
        <v>21960</v>
      </c>
      <c r="G1676" s="36" t="s">
        <v>21961</v>
      </c>
      <c r="H1676" s="36" t="s">
        <v>21962</v>
      </c>
      <c r="I1676" s="36" t="s">
        <v>21963</v>
      </c>
      <c r="J1676" s="36" t="s">
        <v>21964</v>
      </c>
      <c r="K1676" s="36" t="s">
        <v>21965</v>
      </c>
      <c r="L1676" s="36" t="s">
        <v>21966</v>
      </c>
      <c r="M1676" s="36" t="s">
        <v>21967</v>
      </c>
      <c r="N1676" s="36" t="s">
        <v>21968</v>
      </c>
      <c r="O1676" s="36" t="s">
        <v>21969</v>
      </c>
      <c r="P1676" s="36" t="s">
        <v>21956</v>
      </c>
    </row>
    <row r="1677" spans="1:16" ht="15" customHeight="1">
      <c r="A1677" s="139">
        <v>1676</v>
      </c>
      <c r="B1677" s="36" t="s">
        <v>21970</v>
      </c>
      <c r="C1677" s="36" t="s">
        <v>21971</v>
      </c>
      <c r="D1677" s="36" t="s">
        <v>21972</v>
      </c>
      <c r="E1677" s="36" t="s">
        <v>21973</v>
      </c>
      <c r="F1677" s="36" t="s">
        <v>21974</v>
      </c>
      <c r="G1677" s="36" t="s">
        <v>21975</v>
      </c>
      <c r="H1677" s="36" t="s">
        <v>21976</v>
      </c>
      <c r="I1677" s="36" t="s">
        <v>21977</v>
      </c>
      <c r="J1677" s="36" t="s">
        <v>21978</v>
      </c>
      <c r="K1677" s="36" t="s">
        <v>21979</v>
      </c>
      <c r="L1677" s="36" t="s">
        <v>21980</v>
      </c>
      <c r="M1677" s="36" t="s">
        <v>21981</v>
      </c>
      <c r="N1677" s="36" t="s">
        <v>21982</v>
      </c>
      <c r="O1677" s="36" t="s">
        <v>21983</v>
      </c>
      <c r="P1677" s="36" t="s">
        <v>21970</v>
      </c>
    </row>
    <row r="1678" spans="1:16" ht="15" customHeight="1">
      <c r="A1678" s="139">
        <v>1677</v>
      </c>
      <c r="B1678" s="36" t="s">
        <v>21984</v>
      </c>
      <c r="C1678" s="36" t="s">
        <v>21985</v>
      </c>
      <c r="D1678" s="36" t="s">
        <v>21986</v>
      </c>
      <c r="E1678" s="36" t="s">
        <v>21987</v>
      </c>
      <c r="F1678" s="36" t="s">
        <v>21988</v>
      </c>
      <c r="G1678" s="36" t="s">
        <v>21989</v>
      </c>
      <c r="H1678" s="36" t="s">
        <v>21990</v>
      </c>
      <c r="I1678" s="36" t="s">
        <v>21991</v>
      </c>
      <c r="J1678" s="36" t="s">
        <v>21992</v>
      </c>
      <c r="K1678" s="36" t="s">
        <v>21993</v>
      </c>
      <c r="L1678" s="36" t="s">
        <v>21994</v>
      </c>
      <c r="M1678" s="36" t="s">
        <v>21995</v>
      </c>
      <c r="N1678" s="36" t="s">
        <v>21996</v>
      </c>
      <c r="O1678" s="36" t="s">
        <v>21997</v>
      </c>
      <c r="P1678" s="36" t="s">
        <v>21984</v>
      </c>
    </row>
    <row r="1679" spans="1:16" ht="15" customHeight="1">
      <c r="A1679" s="139">
        <v>1678</v>
      </c>
      <c r="B1679" s="36" t="s">
        <v>21998</v>
      </c>
      <c r="C1679" s="36" t="s">
        <v>21999</v>
      </c>
      <c r="D1679" s="36" t="s">
        <v>22000</v>
      </c>
      <c r="E1679" s="36" t="s">
        <v>22001</v>
      </c>
      <c r="F1679" s="36" t="s">
        <v>22002</v>
      </c>
      <c r="G1679" s="36" t="s">
        <v>22003</v>
      </c>
      <c r="H1679" s="36" t="s">
        <v>22004</v>
      </c>
      <c r="I1679" s="36" t="s">
        <v>22005</v>
      </c>
      <c r="J1679" s="36" t="s">
        <v>22006</v>
      </c>
      <c r="K1679" s="36" t="s">
        <v>22007</v>
      </c>
      <c r="L1679" s="36" t="s">
        <v>22008</v>
      </c>
      <c r="M1679" s="36" t="s">
        <v>22009</v>
      </c>
      <c r="N1679" s="36" t="s">
        <v>22010</v>
      </c>
      <c r="O1679" s="36" t="s">
        <v>22011</v>
      </c>
      <c r="P1679" s="36" t="s">
        <v>21998</v>
      </c>
    </row>
    <row r="1680" spans="1:16" ht="15" customHeight="1">
      <c r="A1680" s="139">
        <v>1679</v>
      </c>
      <c r="B1680" s="36" t="s">
        <v>22012</v>
      </c>
      <c r="C1680" s="36" t="s">
        <v>22013</v>
      </c>
      <c r="D1680" s="36" t="s">
        <v>22014</v>
      </c>
      <c r="E1680" s="36" t="s">
        <v>22015</v>
      </c>
      <c r="F1680" s="36" t="s">
        <v>22016</v>
      </c>
      <c r="G1680" s="36" t="s">
        <v>22017</v>
      </c>
      <c r="H1680" s="36" t="s">
        <v>22018</v>
      </c>
      <c r="I1680" s="36" t="s">
        <v>22019</v>
      </c>
      <c r="J1680" s="36" t="s">
        <v>22020</v>
      </c>
      <c r="K1680" s="36" t="s">
        <v>22021</v>
      </c>
      <c r="L1680" s="36" t="s">
        <v>22022</v>
      </c>
      <c r="M1680" s="36" t="s">
        <v>22023</v>
      </c>
      <c r="N1680" s="36" t="s">
        <v>22024</v>
      </c>
      <c r="O1680" s="36" t="s">
        <v>22025</v>
      </c>
      <c r="P1680" s="36" t="s">
        <v>22012</v>
      </c>
    </row>
    <row r="1681" spans="1:16" ht="15" customHeight="1">
      <c r="A1681" s="139">
        <v>1680</v>
      </c>
      <c r="B1681" s="36" t="s">
        <v>22026</v>
      </c>
      <c r="C1681" s="36" t="s">
        <v>22027</v>
      </c>
      <c r="D1681" s="36" t="s">
        <v>22028</v>
      </c>
      <c r="E1681" s="36" t="s">
        <v>22029</v>
      </c>
      <c r="F1681" s="36" t="s">
        <v>22030</v>
      </c>
      <c r="G1681" s="36" t="s">
        <v>22031</v>
      </c>
      <c r="H1681" s="36" t="s">
        <v>22032</v>
      </c>
      <c r="I1681" s="36" t="s">
        <v>22033</v>
      </c>
      <c r="J1681" s="36" t="s">
        <v>22034</v>
      </c>
      <c r="K1681" s="36" t="s">
        <v>22035</v>
      </c>
      <c r="L1681" s="36" t="s">
        <v>22036</v>
      </c>
      <c r="M1681" s="36" t="s">
        <v>22037</v>
      </c>
      <c r="N1681" s="36" t="s">
        <v>22038</v>
      </c>
      <c r="O1681" s="36" t="s">
        <v>22039</v>
      </c>
      <c r="P1681" s="36" t="s">
        <v>22026</v>
      </c>
    </row>
    <row r="1682" spans="1:16" ht="15" customHeight="1">
      <c r="A1682" s="139">
        <v>1681</v>
      </c>
      <c r="B1682" s="36" t="s">
        <v>22040</v>
      </c>
      <c r="C1682" s="36" t="s">
        <v>22041</v>
      </c>
      <c r="D1682" s="36" t="s">
        <v>22042</v>
      </c>
      <c r="E1682" s="36" t="s">
        <v>22043</v>
      </c>
      <c r="F1682" s="36" t="s">
        <v>22044</v>
      </c>
      <c r="G1682" s="36" t="s">
        <v>22045</v>
      </c>
      <c r="H1682" s="36" t="s">
        <v>22046</v>
      </c>
      <c r="I1682" s="36" t="s">
        <v>22047</v>
      </c>
      <c r="J1682" s="36" t="s">
        <v>22048</v>
      </c>
      <c r="K1682" s="36" t="s">
        <v>22049</v>
      </c>
      <c r="L1682" s="36" t="s">
        <v>22050</v>
      </c>
      <c r="M1682" s="36" t="s">
        <v>22051</v>
      </c>
      <c r="N1682" s="36" t="s">
        <v>22052</v>
      </c>
      <c r="O1682" s="36" t="s">
        <v>22053</v>
      </c>
      <c r="P1682" s="36" t="s">
        <v>22040</v>
      </c>
    </row>
    <row r="1683" spans="1:16" ht="15" customHeight="1">
      <c r="A1683" s="139">
        <v>1682</v>
      </c>
      <c r="B1683" s="36" t="s">
        <v>22054</v>
      </c>
      <c r="C1683" s="36" t="s">
        <v>22055</v>
      </c>
      <c r="D1683" s="36" t="s">
        <v>22056</v>
      </c>
      <c r="E1683" s="36" t="s">
        <v>22057</v>
      </c>
      <c r="F1683" s="36" t="s">
        <v>22058</v>
      </c>
      <c r="G1683" s="36" t="s">
        <v>22059</v>
      </c>
      <c r="H1683" s="36" t="s">
        <v>22060</v>
      </c>
      <c r="I1683" s="36" t="s">
        <v>22061</v>
      </c>
      <c r="J1683" s="36" t="s">
        <v>22062</v>
      </c>
      <c r="K1683" s="36" t="s">
        <v>22063</v>
      </c>
      <c r="L1683" s="36" t="s">
        <v>22064</v>
      </c>
      <c r="M1683" s="36" t="s">
        <v>22065</v>
      </c>
      <c r="N1683" s="36" t="s">
        <v>22066</v>
      </c>
      <c r="O1683" s="36" t="s">
        <v>22067</v>
      </c>
      <c r="P1683" s="36" t="s">
        <v>22054</v>
      </c>
    </row>
    <row r="1684" spans="1:16" ht="15" customHeight="1">
      <c r="A1684" s="139">
        <v>1683</v>
      </c>
      <c r="B1684" s="36" t="s">
        <v>22068</v>
      </c>
      <c r="C1684" s="36" t="s">
        <v>22069</v>
      </c>
      <c r="D1684" s="36" t="s">
        <v>22070</v>
      </c>
      <c r="E1684" s="36" t="s">
        <v>22071</v>
      </c>
      <c r="F1684" s="36" t="s">
        <v>22072</v>
      </c>
      <c r="G1684" s="36" t="s">
        <v>22073</v>
      </c>
      <c r="H1684" s="36" t="s">
        <v>22074</v>
      </c>
      <c r="I1684" s="36" t="s">
        <v>22075</v>
      </c>
      <c r="J1684" s="36" t="s">
        <v>22076</v>
      </c>
      <c r="K1684" s="36" t="s">
        <v>22077</v>
      </c>
      <c r="L1684" s="36" t="s">
        <v>22078</v>
      </c>
      <c r="M1684" s="36" t="s">
        <v>22079</v>
      </c>
      <c r="N1684" s="36" t="s">
        <v>22080</v>
      </c>
      <c r="O1684" s="36" t="s">
        <v>22081</v>
      </c>
      <c r="P1684" s="36" t="s">
        <v>22068</v>
      </c>
    </row>
    <row r="1685" spans="1:16" ht="15" customHeight="1">
      <c r="A1685" s="139">
        <v>1684</v>
      </c>
      <c r="B1685" s="36" t="s">
        <v>22082</v>
      </c>
      <c r="C1685" s="36" t="s">
        <v>22083</v>
      </c>
      <c r="D1685" s="36" t="s">
        <v>22084</v>
      </c>
      <c r="E1685" s="36" t="s">
        <v>22085</v>
      </c>
      <c r="F1685" s="36" t="s">
        <v>22086</v>
      </c>
      <c r="G1685" s="36" t="s">
        <v>22087</v>
      </c>
      <c r="H1685" s="36" t="s">
        <v>22088</v>
      </c>
      <c r="I1685" s="36" t="s">
        <v>22089</v>
      </c>
      <c r="J1685" s="36" t="s">
        <v>22090</v>
      </c>
      <c r="K1685" s="36" t="s">
        <v>22091</v>
      </c>
      <c r="L1685" s="36" t="s">
        <v>22092</v>
      </c>
      <c r="M1685" s="36" t="s">
        <v>22093</v>
      </c>
      <c r="N1685" s="36" t="s">
        <v>22094</v>
      </c>
      <c r="O1685" s="36" t="s">
        <v>22095</v>
      </c>
      <c r="P1685" s="36" t="s">
        <v>22082</v>
      </c>
    </row>
    <row r="1686" spans="1:16" ht="15" customHeight="1">
      <c r="A1686" s="139">
        <v>1685</v>
      </c>
      <c r="B1686" s="36" t="s">
        <v>22096</v>
      </c>
      <c r="C1686" s="36" t="s">
        <v>22097</v>
      </c>
      <c r="D1686" s="36" t="s">
        <v>22098</v>
      </c>
      <c r="E1686" s="36" t="s">
        <v>22099</v>
      </c>
      <c r="F1686" s="36" t="s">
        <v>22100</v>
      </c>
      <c r="G1686" s="36" t="s">
        <v>22101</v>
      </c>
      <c r="H1686" s="36" t="s">
        <v>22102</v>
      </c>
      <c r="I1686" s="36" t="s">
        <v>22103</v>
      </c>
      <c r="J1686" s="36" t="s">
        <v>22104</v>
      </c>
      <c r="K1686" s="36" t="s">
        <v>22105</v>
      </c>
      <c r="L1686" s="36" t="s">
        <v>22106</v>
      </c>
      <c r="M1686" s="36" t="s">
        <v>22107</v>
      </c>
      <c r="N1686" s="36" t="s">
        <v>22108</v>
      </c>
      <c r="O1686" s="36" t="s">
        <v>22109</v>
      </c>
      <c r="P1686" s="36" t="s">
        <v>22096</v>
      </c>
    </row>
    <row r="1687" spans="1:16" ht="15" customHeight="1">
      <c r="A1687" s="139">
        <v>1686</v>
      </c>
      <c r="B1687" s="36" t="s">
        <v>22110</v>
      </c>
      <c r="C1687" s="36" t="s">
        <v>22111</v>
      </c>
      <c r="D1687" s="36" t="s">
        <v>22112</v>
      </c>
      <c r="E1687" s="36" t="s">
        <v>22113</v>
      </c>
      <c r="F1687" s="36" t="s">
        <v>22114</v>
      </c>
      <c r="G1687" s="36" t="s">
        <v>22115</v>
      </c>
      <c r="H1687" s="36" t="s">
        <v>22116</v>
      </c>
      <c r="I1687" s="36" t="s">
        <v>22117</v>
      </c>
      <c r="J1687" s="36" t="s">
        <v>22118</v>
      </c>
      <c r="K1687" s="36" t="s">
        <v>22119</v>
      </c>
      <c r="L1687" s="36" t="s">
        <v>22120</v>
      </c>
      <c r="M1687" s="36" t="s">
        <v>22121</v>
      </c>
      <c r="N1687" s="36" t="s">
        <v>22122</v>
      </c>
      <c r="O1687" s="36" t="s">
        <v>22123</v>
      </c>
      <c r="P1687" s="36" t="s">
        <v>22110</v>
      </c>
    </row>
    <row r="1688" spans="1:16" ht="15" customHeight="1">
      <c r="A1688" s="139">
        <v>1687</v>
      </c>
      <c r="B1688" s="36" t="s">
        <v>22124</v>
      </c>
      <c r="C1688" s="36" t="s">
        <v>22125</v>
      </c>
      <c r="D1688" s="36" t="s">
        <v>22126</v>
      </c>
      <c r="E1688" s="36" t="s">
        <v>22127</v>
      </c>
      <c r="F1688" s="36" t="s">
        <v>22128</v>
      </c>
      <c r="G1688" s="36" t="s">
        <v>22129</v>
      </c>
      <c r="H1688" s="36" t="s">
        <v>22130</v>
      </c>
      <c r="I1688" s="36" t="s">
        <v>22131</v>
      </c>
      <c r="J1688" s="36" t="s">
        <v>22132</v>
      </c>
      <c r="K1688" s="36" t="s">
        <v>22133</v>
      </c>
      <c r="L1688" s="36" t="s">
        <v>22134</v>
      </c>
      <c r="M1688" s="36" t="s">
        <v>22135</v>
      </c>
      <c r="N1688" s="36" t="s">
        <v>22136</v>
      </c>
      <c r="O1688" s="36" t="s">
        <v>22137</v>
      </c>
      <c r="P1688" s="36" t="s">
        <v>22124</v>
      </c>
    </row>
    <row r="1689" spans="1:16" ht="15" customHeight="1">
      <c r="A1689" s="139">
        <v>1688</v>
      </c>
      <c r="B1689" s="36" t="s">
        <v>22138</v>
      </c>
      <c r="C1689" s="36" t="s">
        <v>22139</v>
      </c>
      <c r="D1689" s="36" t="s">
        <v>22140</v>
      </c>
      <c r="E1689" s="36" t="s">
        <v>22141</v>
      </c>
      <c r="F1689" s="36" t="s">
        <v>22142</v>
      </c>
      <c r="G1689" s="36" t="s">
        <v>22143</v>
      </c>
      <c r="H1689" s="36" t="s">
        <v>22144</v>
      </c>
      <c r="I1689" s="36" t="s">
        <v>22145</v>
      </c>
      <c r="J1689" s="36" t="s">
        <v>22146</v>
      </c>
      <c r="K1689" s="36" t="s">
        <v>22147</v>
      </c>
      <c r="L1689" s="36" t="s">
        <v>22148</v>
      </c>
      <c r="M1689" s="36" t="s">
        <v>22149</v>
      </c>
      <c r="N1689" s="36" t="s">
        <v>22150</v>
      </c>
      <c r="O1689" s="36" t="s">
        <v>22151</v>
      </c>
      <c r="P1689" s="36" t="s">
        <v>22138</v>
      </c>
    </row>
    <row r="1690" spans="1:16" ht="15" customHeight="1">
      <c r="A1690" s="139">
        <v>1689</v>
      </c>
      <c r="B1690" s="36" t="s">
        <v>22152</v>
      </c>
      <c r="C1690" s="36" t="s">
        <v>22153</v>
      </c>
      <c r="D1690" s="36" t="s">
        <v>22154</v>
      </c>
      <c r="E1690" s="36" t="s">
        <v>22155</v>
      </c>
      <c r="F1690" s="36" t="s">
        <v>22156</v>
      </c>
      <c r="G1690" s="36" t="s">
        <v>22157</v>
      </c>
      <c r="H1690" s="36" t="s">
        <v>22158</v>
      </c>
      <c r="I1690" s="36" t="s">
        <v>22159</v>
      </c>
      <c r="J1690" s="36" t="s">
        <v>22160</v>
      </c>
      <c r="K1690" s="36" t="s">
        <v>22161</v>
      </c>
      <c r="L1690" s="36" t="s">
        <v>22162</v>
      </c>
      <c r="M1690" s="36" t="s">
        <v>22163</v>
      </c>
      <c r="N1690" s="36" t="s">
        <v>22164</v>
      </c>
      <c r="O1690" s="36" t="s">
        <v>22165</v>
      </c>
      <c r="P1690" s="36" t="s">
        <v>22152</v>
      </c>
    </row>
    <row r="1691" spans="1:16" ht="15" customHeight="1">
      <c r="A1691" s="139">
        <v>1690</v>
      </c>
      <c r="B1691" s="36" t="s">
        <v>22166</v>
      </c>
      <c r="C1691" s="36" t="s">
        <v>22167</v>
      </c>
      <c r="D1691" s="36" t="s">
        <v>22168</v>
      </c>
      <c r="E1691" s="36" t="s">
        <v>22169</v>
      </c>
      <c r="F1691" s="36" t="s">
        <v>22170</v>
      </c>
      <c r="G1691" s="36" t="s">
        <v>22171</v>
      </c>
      <c r="H1691" s="36" t="s">
        <v>22172</v>
      </c>
      <c r="I1691" s="36" t="s">
        <v>22173</v>
      </c>
      <c r="J1691" s="36" t="s">
        <v>22174</v>
      </c>
      <c r="K1691" s="36" t="s">
        <v>22175</v>
      </c>
      <c r="L1691" s="36" t="s">
        <v>22176</v>
      </c>
      <c r="M1691" s="36" t="s">
        <v>22177</v>
      </c>
      <c r="N1691" s="36" t="s">
        <v>22178</v>
      </c>
      <c r="O1691" s="36" t="s">
        <v>22179</v>
      </c>
      <c r="P1691" s="36" t="s">
        <v>22166</v>
      </c>
    </row>
    <row r="1692" spans="1:16" ht="15" customHeight="1">
      <c r="A1692" s="139">
        <v>1691</v>
      </c>
      <c r="B1692" s="36" t="s">
        <v>22180</v>
      </c>
      <c r="C1692" s="36" t="s">
        <v>22181</v>
      </c>
      <c r="D1692" s="36" t="s">
        <v>22182</v>
      </c>
      <c r="E1692" s="36" t="s">
        <v>22183</v>
      </c>
      <c r="F1692" s="36" t="s">
        <v>22184</v>
      </c>
      <c r="G1692" s="36" t="s">
        <v>22185</v>
      </c>
      <c r="H1692" s="36" t="s">
        <v>22186</v>
      </c>
      <c r="I1692" s="36" t="s">
        <v>22187</v>
      </c>
      <c r="J1692" s="36" t="s">
        <v>22188</v>
      </c>
      <c r="K1692" s="36" t="s">
        <v>22189</v>
      </c>
      <c r="L1692" s="36" t="s">
        <v>22190</v>
      </c>
      <c r="M1692" s="36" t="s">
        <v>22191</v>
      </c>
      <c r="N1692" s="36" t="s">
        <v>22192</v>
      </c>
      <c r="O1692" s="36" t="s">
        <v>22193</v>
      </c>
      <c r="P1692" s="36" t="s">
        <v>22180</v>
      </c>
    </row>
    <row r="1693" spans="1:16" ht="15" customHeight="1">
      <c r="A1693" s="139">
        <v>1692</v>
      </c>
      <c r="B1693" s="36" t="s">
        <v>22194</v>
      </c>
      <c r="C1693" s="36" t="s">
        <v>22195</v>
      </c>
      <c r="D1693" s="36" t="s">
        <v>22196</v>
      </c>
      <c r="E1693" s="36" t="s">
        <v>22197</v>
      </c>
      <c r="F1693" s="36" t="s">
        <v>22198</v>
      </c>
      <c r="G1693" s="36" t="s">
        <v>22199</v>
      </c>
      <c r="H1693" s="36" t="s">
        <v>22200</v>
      </c>
      <c r="I1693" s="36" t="s">
        <v>22201</v>
      </c>
      <c r="J1693" s="36" t="s">
        <v>22202</v>
      </c>
      <c r="K1693" s="36" t="s">
        <v>22203</v>
      </c>
      <c r="L1693" s="36" t="s">
        <v>22204</v>
      </c>
      <c r="M1693" s="36" t="s">
        <v>22205</v>
      </c>
      <c r="N1693" s="36" t="s">
        <v>22206</v>
      </c>
      <c r="O1693" s="36" t="s">
        <v>22207</v>
      </c>
      <c r="P1693" s="36" t="s">
        <v>22194</v>
      </c>
    </row>
    <row r="1694" spans="1:16" ht="15" customHeight="1">
      <c r="A1694" s="139">
        <v>1693</v>
      </c>
      <c r="B1694" s="36" t="s">
        <v>22208</v>
      </c>
      <c r="C1694" s="36" t="s">
        <v>22209</v>
      </c>
      <c r="D1694" s="36" t="s">
        <v>22210</v>
      </c>
      <c r="E1694" s="36" t="s">
        <v>22211</v>
      </c>
      <c r="F1694" s="36" t="s">
        <v>22212</v>
      </c>
      <c r="G1694" s="36" t="s">
        <v>22213</v>
      </c>
      <c r="H1694" s="36" t="s">
        <v>22214</v>
      </c>
      <c r="I1694" s="36" t="s">
        <v>22215</v>
      </c>
      <c r="J1694" s="36" t="s">
        <v>22216</v>
      </c>
      <c r="K1694" s="36" t="s">
        <v>22217</v>
      </c>
      <c r="L1694" s="36" t="s">
        <v>22218</v>
      </c>
      <c r="M1694" s="36" t="s">
        <v>22219</v>
      </c>
      <c r="N1694" s="36" t="s">
        <v>22219</v>
      </c>
      <c r="O1694" s="36" t="s">
        <v>22220</v>
      </c>
      <c r="P1694" s="36" t="s">
        <v>22208</v>
      </c>
    </row>
    <row r="1695" spans="1:16" ht="15" customHeight="1">
      <c r="A1695" s="139">
        <v>1694</v>
      </c>
      <c r="B1695" s="36" t="s">
        <v>22221</v>
      </c>
      <c r="C1695" s="36" t="s">
        <v>22222</v>
      </c>
      <c r="D1695" s="36" t="s">
        <v>22223</v>
      </c>
      <c r="E1695" s="36" t="s">
        <v>22221</v>
      </c>
      <c r="F1695" s="36" t="s">
        <v>22221</v>
      </c>
      <c r="G1695" s="36" t="s">
        <v>22221</v>
      </c>
      <c r="H1695" s="36" t="s">
        <v>22221</v>
      </c>
      <c r="I1695" s="36" t="s">
        <v>22224</v>
      </c>
      <c r="J1695" s="36" t="s">
        <v>22225</v>
      </c>
      <c r="K1695" s="36" t="s">
        <v>22226</v>
      </c>
      <c r="L1695" s="36" t="s">
        <v>22226</v>
      </c>
      <c r="M1695" s="36" t="s">
        <v>22226</v>
      </c>
      <c r="N1695" s="36" t="s">
        <v>22226</v>
      </c>
      <c r="O1695" s="36" t="s">
        <v>22224</v>
      </c>
      <c r="P1695" s="36" t="s">
        <v>22221</v>
      </c>
    </row>
    <row r="1696" spans="1:16" ht="15" customHeight="1">
      <c r="A1696" s="139">
        <v>1695</v>
      </c>
      <c r="B1696" s="36" t="s">
        <v>22227</v>
      </c>
      <c r="C1696" s="36" t="s">
        <v>22228</v>
      </c>
      <c r="D1696" s="36" t="s">
        <v>22229</v>
      </c>
      <c r="E1696" s="36" t="s">
        <v>22230</v>
      </c>
      <c r="F1696" s="36" t="s">
        <v>22231</v>
      </c>
      <c r="G1696" s="36" t="s">
        <v>22232</v>
      </c>
      <c r="H1696" s="36" t="s">
        <v>22233</v>
      </c>
      <c r="I1696" s="36" t="s">
        <v>22234</v>
      </c>
      <c r="J1696" s="36" t="s">
        <v>22235</v>
      </c>
      <c r="K1696" s="36" t="s">
        <v>22236</v>
      </c>
      <c r="L1696" s="36" t="s">
        <v>22237</v>
      </c>
      <c r="M1696" s="36" t="s">
        <v>22238</v>
      </c>
      <c r="N1696" s="36" t="s">
        <v>22239</v>
      </c>
      <c r="O1696" s="36" t="s">
        <v>22240</v>
      </c>
      <c r="P1696" s="36" t="s">
        <v>22227</v>
      </c>
    </row>
    <row r="1697" spans="1:16" ht="15" customHeight="1">
      <c r="A1697" s="139">
        <v>1696</v>
      </c>
      <c r="B1697" s="36" t="s">
        <v>22241</v>
      </c>
      <c r="C1697" s="36" t="s">
        <v>22242</v>
      </c>
      <c r="D1697" s="36" t="s">
        <v>22243</v>
      </c>
      <c r="E1697" s="36" t="s">
        <v>22244</v>
      </c>
      <c r="F1697" s="36" t="s">
        <v>22245</v>
      </c>
      <c r="G1697" s="36" t="s">
        <v>22246</v>
      </c>
      <c r="H1697" s="36" t="s">
        <v>22247</v>
      </c>
      <c r="I1697" s="36" t="s">
        <v>22248</v>
      </c>
      <c r="J1697" s="36" t="s">
        <v>22249</v>
      </c>
      <c r="K1697" s="36" t="s">
        <v>22250</v>
      </c>
      <c r="L1697" s="36" t="s">
        <v>22251</v>
      </c>
      <c r="M1697" s="36" t="s">
        <v>22252</v>
      </c>
      <c r="N1697" s="36" t="s">
        <v>22253</v>
      </c>
      <c r="O1697" s="36" t="s">
        <v>22254</v>
      </c>
      <c r="P1697" s="36" t="s">
        <v>22241</v>
      </c>
    </row>
    <row r="1698" spans="1:16" ht="15" customHeight="1">
      <c r="A1698" s="139">
        <v>1697</v>
      </c>
      <c r="B1698" s="36" t="s">
        <v>22255</v>
      </c>
      <c r="C1698" s="36" t="s">
        <v>22256</v>
      </c>
      <c r="D1698" s="36" t="s">
        <v>22257</v>
      </c>
      <c r="E1698" s="36" t="s">
        <v>22258</v>
      </c>
      <c r="F1698" s="36" t="s">
        <v>22259</v>
      </c>
      <c r="G1698" s="36" t="s">
        <v>22260</v>
      </c>
      <c r="H1698" s="36" t="s">
        <v>22261</v>
      </c>
      <c r="I1698" s="36" t="s">
        <v>22262</v>
      </c>
      <c r="J1698" s="36" t="s">
        <v>22263</v>
      </c>
      <c r="K1698" s="36" t="s">
        <v>22264</v>
      </c>
      <c r="L1698" s="36" t="s">
        <v>22265</v>
      </c>
      <c r="M1698" s="36" t="s">
        <v>22266</v>
      </c>
      <c r="N1698" s="36" t="s">
        <v>22266</v>
      </c>
      <c r="O1698" s="36" t="s">
        <v>22267</v>
      </c>
      <c r="P1698" s="36" t="s">
        <v>22255</v>
      </c>
    </row>
    <row r="1699" spans="1:16" ht="15" customHeight="1">
      <c r="A1699" s="139">
        <v>1698</v>
      </c>
      <c r="B1699" s="36" t="s">
        <v>22268</v>
      </c>
      <c r="C1699" s="36" t="s">
        <v>6554</v>
      </c>
      <c r="D1699" s="36" t="s">
        <v>22269</v>
      </c>
      <c r="E1699" s="36" t="s">
        <v>6557</v>
      </c>
      <c r="F1699" s="36" t="s">
        <v>6557</v>
      </c>
      <c r="G1699" s="36" t="s">
        <v>6557</v>
      </c>
      <c r="H1699" s="36" t="s">
        <v>6556</v>
      </c>
      <c r="I1699" s="36" t="s">
        <v>6558</v>
      </c>
      <c r="J1699" s="36" t="s">
        <v>22270</v>
      </c>
      <c r="K1699" s="36" t="s">
        <v>22271</v>
      </c>
      <c r="L1699" s="36" t="s">
        <v>22272</v>
      </c>
      <c r="M1699" s="36" t="s">
        <v>6558</v>
      </c>
      <c r="N1699" s="36" t="s">
        <v>22273</v>
      </c>
      <c r="O1699" s="36" t="s">
        <v>22274</v>
      </c>
      <c r="P1699" s="36" t="s">
        <v>22268</v>
      </c>
    </row>
    <row r="1700" spans="1:16" ht="15" customHeight="1">
      <c r="A1700" s="139">
        <v>1699</v>
      </c>
      <c r="B1700" s="36" t="s">
        <v>22275</v>
      </c>
      <c r="C1700" s="36" t="s">
        <v>22276</v>
      </c>
      <c r="D1700" s="36" t="s">
        <v>22277</v>
      </c>
      <c r="E1700" s="36" t="s">
        <v>22278</v>
      </c>
      <c r="F1700" s="36" t="s">
        <v>22279</v>
      </c>
      <c r="G1700" s="36" t="s">
        <v>22280</v>
      </c>
      <c r="H1700" s="36" t="s">
        <v>22281</v>
      </c>
      <c r="I1700" s="36" t="s">
        <v>22279</v>
      </c>
      <c r="J1700" s="36" t="s">
        <v>22282</v>
      </c>
      <c r="K1700" s="36" t="s">
        <v>22283</v>
      </c>
      <c r="L1700" s="36" t="s">
        <v>22284</v>
      </c>
      <c r="M1700" s="36" t="s">
        <v>22285</v>
      </c>
      <c r="N1700" s="36" t="s">
        <v>22286</v>
      </c>
      <c r="O1700" s="36" t="s">
        <v>22287</v>
      </c>
      <c r="P1700" s="36" t="s">
        <v>22275</v>
      </c>
    </row>
    <row r="1701" spans="1:16" ht="15" customHeight="1">
      <c r="A1701" s="139">
        <v>1700</v>
      </c>
      <c r="B1701" s="36" t="s">
        <v>22288</v>
      </c>
      <c r="C1701" s="36" t="s">
        <v>22289</v>
      </c>
      <c r="D1701" s="36" t="s">
        <v>22290</v>
      </c>
      <c r="E1701" s="36" t="s">
        <v>22291</v>
      </c>
      <c r="F1701" s="36" t="s">
        <v>22292</v>
      </c>
      <c r="G1701" s="36" t="s">
        <v>22293</v>
      </c>
      <c r="H1701" s="36" t="s">
        <v>22294</v>
      </c>
      <c r="I1701" s="36" t="s">
        <v>22295</v>
      </c>
      <c r="J1701" s="36" t="s">
        <v>22296</v>
      </c>
      <c r="K1701" s="36" t="s">
        <v>22297</v>
      </c>
      <c r="L1701" s="36" t="s">
        <v>22298</v>
      </c>
      <c r="M1701" s="36" t="s">
        <v>22299</v>
      </c>
      <c r="N1701" s="36" t="s">
        <v>22300</v>
      </c>
      <c r="O1701" s="36" t="s">
        <v>22301</v>
      </c>
      <c r="P1701" s="36" t="s">
        <v>22288</v>
      </c>
    </row>
    <row r="1702" spans="1:16" ht="15" customHeight="1">
      <c r="A1702" s="139">
        <v>1701</v>
      </c>
      <c r="B1702" s="36" t="s">
        <v>22302</v>
      </c>
      <c r="C1702" s="36" t="s">
        <v>22303</v>
      </c>
      <c r="D1702" s="36" t="s">
        <v>22304</v>
      </c>
      <c r="E1702" s="36" t="s">
        <v>22305</v>
      </c>
      <c r="F1702" s="36" t="s">
        <v>22306</v>
      </c>
      <c r="G1702" s="36" t="s">
        <v>22307</v>
      </c>
      <c r="H1702" s="36" t="s">
        <v>22308</v>
      </c>
      <c r="I1702" s="36" t="s">
        <v>22309</v>
      </c>
      <c r="J1702" s="36" t="s">
        <v>22310</v>
      </c>
      <c r="K1702" s="36" t="s">
        <v>22311</v>
      </c>
      <c r="L1702" s="36" t="s">
        <v>22312</v>
      </c>
      <c r="M1702" s="36" t="s">
        <v>22313</v>
      </c>
      <c r="N1702" s="36" t="s">
        <v>22314</v>
      </c>
      <c r="O1702" s="36" t="s">
        <v>22315</v>
      </c>
      <c r="P1702" s="36" t="s">
        <v>22302</v>
      </c>
    </row>
    <row r="1703" spans="1:16" ht="15" customHeight="1">
      <c r="A1703" s="139">
        <v>1702</v>
      </c>
      <c r="B1703" s="36" t="s">
        <v>22316</v>
      </c>
      <c r="C1703" s="36" t="s">
        <v>22317</v>
      </c>
      <c r="D1703" s="36" t="s">
        <v>22318</v>
      </c>
      <c r="E1703" s="36" t="s">
        <v>22319</v>
      </c>
      <c r="F1703" s="36" t="s">
        <v>22320</v>
      </c>
      <c r="G1703" s="36" t="s">
        <v>22321</v>
      </c>
      <c r="H1703" s="36" t="s">
        <v>22322</v>
      </c>
      <c r="I1703" s="36" t="s">
        <v>22323</v>
      </c>
      <c r="J1703" s="36" t="s">
        <v>22324</v>
      </c>
      <c r="K1703" s="36" t="s">
        <v>22325</v>
      </c>
      <c r="L1703" s="36" t="s">
        <v>22326</v>
      </c>
      <c r="M1703" s="36" t="s">
        <v>22327</v>
      </c>
      <c r="N1703" s="36" t="s">
        <v>22328</v>
      </c>
      <c r="O1703" s="36" t="s">
        <v>22329</v>
      </c>
      <c r="P1703" s="36" t="s">
        <v>22316</v>
      </c>
    </row>
    <row r="1704" spans="1:16" ht="15" customHeight="1">
      <c r="A1704" s="139">
        <v>1703</v>
      </c>
      <c r="B1704" s="36" t="s">
        <v>22330</v>
      </c>
      <c r="C1704" s="36" t="s">
        <v>22331</v>
      </c>
      <c r="D1704" s="36" t="s">
        <v>22332</v>
      </c>
      <c r="E1704" s="36" t="s">
        <v>22333</v>
      </c>
      <c r="F1704" s="36" t="s">
        <v>22334</v>
      </c>
      <c r="G1704" s="36" t="s">
        <v>22335</v>
      </c>
      <c r="H1704" s="36" t="s">
        <v>22336</v>
      </c>
      <c r="I1704" s="36" t="s">
        <v>22337</v>
      </c>
      <c r="J1704" s="36" t="s">
        <v>22338</v>
      </c>
      <c r="K1704" s="36" t="s">
        <v>22339</v>
      </c>
      <c r="L1704" s="36" t="s">
        <v>22340</v>
      </c>
      <c r="M1704" s="36" t="s">
        <v>22341</v>
      </c>
      <c r="N1704" s="36" t="s">
        <v>22342</v>
      </c>
      <c r="O1704" s="36" t="s">
        <v>22343</v>
      </c>
      <c r="P1704" s="36" t="s">
        <v>22330</v>
      </c>
    </row>
    <row r="1705" spans="1:16" ht="15" customHeight="1">
      <c r="A1705" s="139">
        <v>1704</v>
      </c>
      <c r="B1705" s="36" t="s">
        <v>22344</v>
      </c>
      <c r="C1705" s="36" t="s">
        <v>22345</v>
      </c>
      <c r="D1705" s="36" t="s">
        <v>22346</v>
      </c>
      <c r="E1705" s="36" t="s">
        <v>22347</v>
      </c>
      <c r="F1705" s="36" t="s">
        <v>22348</v>
      </c>
      <c r="G1705" s="36" t="s">
        <v>22349</v>
      </c>
      <c r="H1705" s="36" t="s">
        <v>22350</v>
      </c>
      <c r="I1705" s="36" t="s">
        <v>22351</v>
      </c>
      <c r="J1705" s="36" t="s">
        <v>22352</v>
      </c>
      <c r="K1705" s="36" t="s">
        <v>22353</v>
      </c>
      <c r="L1705" s="36" t="s">
        <v>22354</v>
      </c>
      <c r="M1705" s="36" t="s">
        <v>22355</v>
      </c>
      <c r="N1705" s="36" t="s">
        <v>22356</v>
      </c>
      <c r="O1705" s="36" t="s">
        <v>22357</v>
      </c>
      <c r="P1705" s="36" t="s">
        <v>22344</v>
      </c>
    </row>
    <row r="1706" spans="1:16" ht="15" customHeight="1">
      <c r="A1706" s="139">
        <v>1705</v>
      </c>
      <c r="B1706" s="36" t="s">
        <v>22358</v>
      </c>
      <c r="C1706" s="36" t="s">
        <v>22359</v>
      </c>
      <c r="D1706" s="36" t="s">
        <v>22360</v>
      </c>
      <c r="E1706" s="36" t="s">
        <v>22361</v>
      </c>
      <c r="F1706" s="36" t="s">
        <v>22358</v>
      </c>
      <c r="G1706" s="36" t="s">
        <v>22358</v>
      </c>
      <c r="H1706" s="36" t="s">
        <v>22362</v>
      </c>
      <c r="I1706" s="36" t="s">
        <v>22358</v>
      </c>
      <c r="J1706" s="36" t="s">
        <v>22358</v>
      </c>
      <c r="K1706" s="36" t="s">
        <v>22358</v>
      </c>
      <c r="L1706" s="36" t="s">
        <v>22358</v>
      </c>
      <c r="M1706" s="36" t="s">
        <v>22358</v>
      </c>
      <c r="N1706" s="36" t="s">
        <v>22358</v>
      </c>
      <c r="O1706" s="36" t="s">
        <v>22358</v>
      </c>
      <c r="P1706" s="36" t="s">
        <v>22358</v>
      </c>
    </row>
    <row r="1707" spans="1:16" ht="15" customHeight="1">
      <c r="A1707" s="139">
        <v>1706</v>
      </c>
      <c r="B1707" s="36" t="s">
        <v>22363</v>
      </c>
      <c r="C1707" s="36" t="s">
        <v>22364</v>
      </c>
      <c r="D1707" s="36" t="s">
        <v>22365</v>
      </c>
      <c r="E1707" s="36" t="s">
        <v>22366</v>
      </c>
      <c r="F1707" s="36" t="s">
        <v>22367</v>
      </c>
      <c r="G1707" s="36" t="s">
        <v>22368</v>
      </c>
      <c r="H1707" s="36" t="s">
        <v>22369</v>
      </c>
      <c r="I1707" s="36" t="s">
        <v>22370</v>
      </c>
      <c r="J1707" s="36" t="s">
        <v>22371</v>
      </c>
      <c r="K1707" s="36" t="s">
        <v>22372</v>
      </c>
      <c r="L1707" s="36" t="s">
        <v>22373</v>
      </c>
      <c r="M1707" s="36" t="s">
        <v>22374</v>
      </c>
      <c r="N1707" s="36" t="s">
        <v>22375</v>
      </c>
      <c r="O1707" s="36" t="s">
        <v>22376</v>
      </c>
      <c r="P1707" s="36" t="s">
        <v>22363</v>
      </c>
    </row>
    <row r="1708" spans="1:16" ht="15" customHeight="1">
      <c r="A1708" s="139">
        <v>1707</v>
      </c>
      <c r="B1708" s="36" t="s">
        <v>22377</v>
      </c>
      <c r="C1708" s="36" t="s">
        <v>22378</v>
      </c>
      <c r="D1708" s="36" t="s">
        <v>22379</v>
      </c>
      <c r="E1708" s="36" t="s">
        <v>22380</v>
      </c>
      <c r="F1708" s="36" t="s">
        <v>22381</v>
      </c>
      <c r="G1708" s="36" t="s">
        <v>22377</v>
      </c>
      <c r="H1708" s="36" t="s">
        <v>22382</v>
      </c>
      <c r="I1708" s="36" t="s">
        <v>22383</v>
      </c>
      <c r="J1708" s="36" t="s">
        <v>22384</v>
      </c>
      <c r="K1708" s="36" t="s">
        <v>22385</v>
      </c>
      <c r="L1708" s="36" t="s">
        <v>22386</v>
      </c>
      <c r="M1708" s="36" t="s">
        <v>22387</v>
      </c>
      <c r="N1708" s="36" t="s">
        <v>22386</v>
      </c>
      <c r="O1708" s="36" t="s">
        <v>22388</v>
      </c>
      <c r="P1708" s="36" t="s">
        <v>22377</v>
      </c>
    </row>
    <row r="1709" spans="1:16" ht="15" customHeight="1">
      <c r="A1709" s="139">
        <v>1708</v>
      </c>
      <c r="B1709" s="36" t="s">
        <v>22389</v>
      </c>
      <c r="C1709" s="36" t="s">
        <v>22390</v>
      </c>
      <c r="D1709" s="36" t="s">
        <v>22391</v>
      </c>
      <c r="E1709" s="36" t="s">
        <v>22392</v>
      </c>
      <c r="F1709" s="36" t="s">
        <v>22393</v>
      </c>
      <c r="G1709" s="36" t="s">
        <v>22389</v>
      </c>
      <c r="H1709" s="36" t="s">
        <v>22394</v>
      </c>
      <c r="I1709" s="36" t="s">
        <v>22393</v>
      </c>
      <c r="J1709" s="36" t="s">
        <v>22395</v>
      </c>
      <c r="K1709" s="36" t="s">
        <v>22396</v>
      </c>
      <c r="L1709" s="36" t="s">
        <v>22397</v>
      </c>
      <c r="M1709" s="36" t="s">
        <v>22398</v>
      </c>
      <c r="N1709" s="36" t="s">
        <v>22398</v>
      </c>
      <c r="O1709" s="36" t="s">
        <v>22396</v>
      </c>
      <c r="P1709" s="36" t="s">
        <v>22389</v>
      </c>
    </row>
    <row r="1710" spans="1:16" ht="15" customHeight="1">
      <c r="A1710" s="139">
        <v>1709</v>
      </c>
      <c r="B1710" s="36" t="s">
        <v>22399</v>
      </c>
      <c r="C1710" s="36" t="s">
        <v>22400</v>
      </c>
      <c r="D1710" s="36" t="s">
        <v>22401</v>
      </c>
      <c r="E1710" s="36" t="s">
        <v>22392</v>
      </c>
      <c r="F1710" s="36" t="s">
        <v>22402</v>
      </c>
      <c r="G1710" s="36" t="s">
        <v>22402</v>
      </c>
      <c r="H1710" s="36" t="s">
        <v>22403</v>
      </c>
      <c r="I1710" s="36" t="s">
        <v>22404</v>
      </c>
      <c r="J1710" s="36" t="s">
        <v>22405</v>
      </c>
      <c r="K1710" s="36" t="s">
        <v>22406</v>
      </c>
      <c r="L1710" s="36" t="s">
        <v>22407</v>
      </c>
      <c r="M1710" s="36" t="s">
        <v>22408</v>
      </c>
      <c r="N1710" s="36" t="s">
        <v>22408</v>
      </c>
      <c r="O1710" s="36" t="s">
        <v>22409</v>
      </c>
      <c r="P1710" s="36" t="s">
        <v>22399</v>
      </c>
    </row>
    <row r="1711" spans="1:16" ht="15" customHeight="1">
      <c r="A1711" s="139">
        <v>1710</v>
      </c>
      <c r="B1711" s="36" t="s">
        <v>22410</v>
      </c>
      <c r="C1711" s="36" t="s">
        <v>22411</v>
      </c>
      <c r="D1711" s="36" t="s">
        <v>22412</v>
      </c>
      <c r="E1711" s="36" t="s">
        <v>22413</v>
      </c>
      <c r="F1711" s="36" t="s">
        <v>22414</v>
      </c>
      <c r="G1711" s="36" t="s">
        <v>22415</v>
      </c>
      <c r="H1711" s="36" t="s">
        <v>22416</v>
      </c>
      <c r="I1711" s="36" t="s">
        <v>22417</v>
      </c>
      <c r="J1711" s="36" t="s">
        <v>22418</v>
      </c>
      <c r="K1711" s="36" t="s">
        <v>22419</v>
      </c>
      <c r="L1711" s="36" t="s">
        <v>22420</v>
      </c>
      <c r="M1711" s="36" t="s">
        <v>22421</v>
      </c>
      <c r="N1711" s="36" t="s">
        <v>22422</v>
      </c>
      <c r="O1711" s="36" t="s">
        <v>22423</v>
      </c>
      <c r="P1711" s="36" t="s">
        <v>22410</v>
      </c>
    </row>
    <row r="1712" spans="1:16" ht="15" customHeight="1">
      <c r="A1712" s="139">
        <v>1711</v>
      </c>
      <c r="B1712" s="36" t="s">
        <v>22424</v>
      </c>
      <c r="C1712" s="36" t="s">
        <v>22425</v>
      </c>
      <c r="D1712" s="36" t="s">
        <v>22426</v>
      </c>
      <c r="E1712" s="36" t="s">
        <v>22427</v>
      </c>
      <c r="F1712" s="36" t="s">
        <v>22414</v>
      </c>
      <c r="G1712" s="36" t="s">
        <v>22428</v>
      </c>
      <c r="H1712" s="36" t="s">
        <v>22429</v>
      </c>
      <c r="I1712" s="36" t="s">
        <v>22430</v>
      </c>
      <c r="J1712" s="36" t="s">
        <v>22431</v>
      </c>
      <c r="K1712" s="36" t="s">
        <v>22432</v>
      </c>
      <c r="L1712" s="36" t="s">
        <v>22433</v>
      </c>
      <c r="M1712" s="36" t="s">
        <v>22434</v>
      </c>
      <c r="N1712" s="36" t="s">
        <v>22435</v>
      </c>
      <c r="O1712" s="36" t="s">
        <v>22436</v>
      </c>
      <c r="P1712" s="36" t="s">
        <v>22424</v>
      </c>
    </row>
    <row r="1713" spans="1:16" ht="15" customHeight="1">
      <c r="A1713" s="139">
        <v>1712</v>
      </c>
      <c r="B1713" s="36" t="s">
        <v>22437</v>
      </c>
      <c r="C1713" s="36" t="s">
        <v>22438</v>
      </c>
      <c r="D1713" s="36" t="s">
        <v>22439</v>
      </c>
      <c r="E1713" s="36" t="s">
        <v>22440</v>
      </c>
      <c r="F1713" s="36" t="s">
        <v>22441</v>
      </c>
      <c r="G1713" s="36" t="s">
        <v>22442</v>
      </c>
      <c r="H1713" s="36" t="s">
        <v>22443</v>
      </c>
      <c r="I1713" s="36" t="s">
        <v>22444</v>
      </c>
      <c r="J1713" s="36" t="s">
        <v>22445</v>
      </c>
      <c r="K1713" s="36" t="s">
        <v>22446</v>
      </c>
      <c r="L1713" s="36" t="s">
        <v>22447</v>
      </c>
      <c r="M1713" s="36" t="s">
        <v>22448</v>
      </c>
      <c r="N1713" s="36" t="s">
        <v>22449</v>
      </c>
      <c r="O1713" s="36" t="s">
        <v>22450</v>
      </c>
      <c r="P1713" s="36" t="s">
        <v>22437</v>
      </c>
    </row>
    <row r="1714" spans="1:16" ht="15" customHeight="1">
      <c r="A1714" s="139">
        <v>1713</v>
      </c>
      <c r="B1714" s="36" t="s">
        <v>22451</v>
      </c>
      <c r="C1714" s="36" t="s">
        <v>22451</v>
      </c>
      <c r="D1714" s="36" t="s">
        <v>22452</v>
      </c>
      <c r="E1714" s="36" t="s">
        <v>22453</v>
      </c>
      <c r="F1714" s="36" t="s">
        <v>22454</v>
      </c>
      <c r="G1714" s="36" t="s">
        <v>22455</v>
      </c>
      <c r="H1714" s="36" t="s">
        <v>22456</v>
      </c>
      <c r="I1714" s="36" t="s">
        <v>22457</v>
      </c>
      <c r="J1714" s="36" t="s">
        <v>22458</v>
      </c>
      <c r="K1714" s="36" t="s">
        <v>22459</v>
      </c>
      <c r="L1714" s="36" t="s">
        <v>22460</v>
      </c>
      <c r="M1714" s="36" t="s">
        <v>22461</v>
      </c>
      <c r="N1714" s="36" t="s">
        <v>22462</v>
      </c>
      <c r="O1714" s="36" t="s">
        <v>22463</v>
      </c>
      <c r="P1714" s="36" t="s">
        <v>22451</v>
      </c>
    </row>
    <row r="1715" spans="1:16" ht="15" customHeight="1">
      <c r="A1715" s="139">
        <v>1714</v>
      </c>
      <c r="B1715" s="36" t="s">
        <v>22464</v>
      </c>
      <c r="C1715" s="36" t="s">
        <v>22465</v>
      </c>
      <c r="D1715" s="36" t="s">
        <v>22466</v>
      </c>
      <c r="E1715" s="36" t="s">
        <v>22467</v>
      </c>
      <c r="F1715" s="36" t="s">
        <v>22468</v>
      </c>
      <c r="G1715" s="36" t="s">
        <v>22469</v>
      </c>
      <c r="H1715" s="36" t="s">
        <v>22470</v>
      </c>
      <c r="I1715" s="36" t="s">
        <v>22471</v>
      </c>
      <c r="J1715" s="36" t="s">
        <v>22472</v>
      </c>
      <c r="K1715" s="36" t="s">
        <v>22473</v>
      </c>
      <c r="L1715" s="36" t="s">
        <v>22474</v>
      </c>
      <c r="M1715" s="36" t="s">
        <v>22474</v>
      </c>
      <c r="N1715" s="36" t="s">
        <v>22474</v>
      </c>
      <c r="O1715" s="36" t="s">
        <v>22475</v>
      </c>
      <c r="P1715" s="36" t="s">
        <v>22464</v>
      </c>
    </row>
    <row r="1716" spans="1:16" ht="15" customHeight="1">
      <c r="A1716" s="139">
        <v>1715</v>
      </c>
      <c r="B1716" s="36" t="s">
        <v>22476</v>
      </c>
      <c r="C1716" s="36" t="s">
        <v>22477</v>
      </c>
      <c r="D1716" s="36" t="s">
        <v>22478</v>
      </c>
      <c r="E1716" s="36" t="s">
        <v>22479</v>
      </c>
      <c r="F1716" s="36" t="s">
        <v>22480</v>
      </c>
      <c r="G1716" s="36" t="s">
        <v>22481</v>
      </c>
      <c r="H1716" s="36" t="s">
        <v>22482</v>
      </c>
      <c r="I1716" s="36" t="s">
        <v>22483</v>
      </c>
      <c r="J1716" s="36" t="s">
        <v>22484</v>
      </c>
      <c r="K1716" s="36" t="s">
        <v>22485</v>
      </c>
      <c r="L1716" s="36" t="s">
        <v>22486</v>
      </c>
      <c r="M1716" s="36" t="s">
        <v>22487</v>
      </c>
      <c r="N1716" s="36" t="s">
        <v>22488</v>
      </c>
      <c r="O1716" s="36" t="s">
        <v>22489</v>
      </c>
      <c r="P1716" s="36" t="s">
        <v>22476</v>
      </c>
    </row>
    <row r="1717" spans="1:16" ht="15" customHeight="1">
      <c r="A1717" s="139">
        <v>1716</v>
      </c>
      <c r="B1717" s="36" t="s">
        <v>22490</v>
      </c>
      <c r="C1717" s="36" t="s">
        <v>22491</v>
      </c>
      <c r="D1717" s="36" t="s">
        <v>22492</v>
      </c>
      <c r="E1717" s="36" t="s">
        <v>22493</v>
      </c>
      <c r="F1717" s="36" t="s">
        <v>22494</v>
      </c>
      <c r="G1717" s="36" t="s">
        <v>22495</v>
      </c>
      <c r="H1717" s="36" t="s">
        <v>22496</v>
      </c>
      <c r="I1717" s="36" t="s">
        <v>22497</v>
      </c>
      <c r="J1717" s="36" t="s">
        <v>22498</v>
      </c>
      <c r="K1717" s="36" t="s">
        <v>22499</v>
      </c>
      <c r="L1717" s="36" t="s">
        <v>22500</v>
      </c>
      <c r="M1717" s="36" t="s">
        <v>22501</v>
      </c>
      <c r="N1717" s="36" t="s">
        <v>22502</v>
      </c>
      <c r="O1717" s="36" t="s">
        <v>22503</v>
      </c>
      <c r="P1717" s="36" t="s">
        <v>22490</v>
      </c>
    </row>
    <row r="1718" spans="1:16" ht="15" customHeight="1">
      <c r="A1718" s="139">
        <v>1717</v>
      </c>
      <c r="B1718" s="36" t="s">
        <v>22504</v>
      </c>
      <c r="C1718" s="36" t="s">
        <v>22505</v>
      </c>
      <c r="D1718" s="36" t="s">
        <v>22506</v>
      </c>
      <c r="E1718" s="36" t="s">
        <v>22507</v>
      </c>
      <c r="F1718" s="36" t="s">
        <v>22508</v>
      </c>
      <c r="G1718" s="36" t="s">
        <v>22509</v>
      </c>
      <c r="H1718" s="36" t="s">
        <v>22510</v>
      </c>
      <c r="I1718" s="36" t="s">
        <v>22511</v>
      </c>
      <c r="J1718" s="36" t="s">
        <v>22512</v>
      </c>
      <c r="K1718" s="36" t="s">
        <v>22513</v>
      </c>
      <c r="L1718" s="36" t="s">
        <v>22514</v>
      </c>
      <c r="M1718" s="36" t="s">
        <v>22515</v>
      </c>
      <c r="N1718" s="36" t="s">
        <v>22516</v>
      </c>
      <c r="O1718" s="36" t="s">
        <v>22517</v>
      </c>
      <c r="P1718" s="36" t="s">
        <v>22504</v>
      </c>
    </row>
    <row r="1719" spans="1:16" ht="15" customHeight="1">
      <c r="A1719" s="139">
        <v>1718</v>
      </c>
      <c r="B1719" s="36" t="s">
        <v>22518</v>
      </c>
      <c r="C1719" s="36" t="s">
        <v>22519</v>
      </c>
      <c r="D1719" s="36" t="s">
        <v>22520</v>
      </c>
      <c r="E1719" s="36" t="s">
        <v>22521</v>
      </c>
      <c r="F1719" s="36" t="s">
        <v>22522</v>
      </c>
      <c r="G1719" s="36" t="s">
        <v>22523</v>
      </c>
      <c r="H1719" s="36" t="s">
        <v>22524</v>
      </c>
      <c r="I1719" s="36" t="s">
        <v>22525</v>
      </c>
      <c r="J1719" s="36" t="s">
        <v>22526</v>
      </c>
      <c r="K1719" s="36" t="s">
        <v>22527</v>
      </c>
      <c r="L1719" s="36" t="s">
        <v>22528</v>
      </c>
      <c r="M1719" s="36" t="s">
        <v>22529</v>
      </c>
      <c r="N1719" s="36" t="s">
        <v>22530</v>
      </c>
      <c r="O1719" s="36" t="s">
        <v>22531</v>
      </c>
      <c r="P1719" s="36" t="s">
        <v>22518</v>
      </c>
    </row>
    <row r="1720" spans="1:16" ht="15" customHeight="1">
      <c r="A1720" s="139">
        <v>1719</v>
      </c>
      <c r="B1720" s="36" t="s">
        <v>22532</v>
      </c>
      <c r="C1720" s="36" t="s">
        <v>22533</v>
      </c>
      <c r="D1720" s="36" t="s">
        <v>22534</v>
      </c>
      <c r="E1720" s="36" t="s">
        <v>22535</v>
      </c>
      <c r="F1720" s="36" t="s">
        <v>22536</v>
      </c>
      <c r="G1720" s="36" t="s">
        <v>22537</v>
      </c>
      <c r="H1720" s="36" t="s">
        <v>22538</v>
      </c>
      <c r="I1720" s="36" t="s">
        <v>22539</v>
      </c>
      <c r="J1720" s="36" t="s">
        <v>22540</v>
      </c>
      <c r="K1720" s="36" t="s">
        <v>22541</v>
      </c>
      <c r="L1720" s="36" t="s">
        <v>22542</v>
      </c>
      <c r="M1720" s="36" t="s">
        <v>22543</v>
      </c>
      <c r="N1720" s="36" t="s">
        <v>22544</v>
      </c>
      <c r="O1720" s="36" t="s">
        <v>22545</v>
      </c>
      <c r="P1720" s="36" t="s">
        <v>22532</v>
      </c>
    </row>
    <row r="1721" spans="1:16" ht="15" customHeight="1">
      <c r="A1721" s="139">
        <v>1720</v>
      </c>
      <c r="B1721" s="36" t="s">
        <v>22546</v>
      </c>
      <c r="C1721" s="36" t="s">
        <v>22547</v>
      </c>
      <c r="D1721" s="36" t="s">
        <v>22548</v>
      </c>
      <c r="E1721" s="36" t="s">
        <v>22549</v>
      </c>
      <c r="F1721" s="36" t="s">
        <v>22550</v>
      </c>
      <c r="G1721" s="36" t="s">
        <v>22551</v>
      </c>
      <c r="H1721" s="36" t="s">
        <v>22552</v>
      </c>
      <c r="I1721" s="36" t="s">
        <v>22553</v>
      </c>
      <c r="J1721" s="36" t="s">
        <v>22554</v>
      </c>
      <c r="K1721" s="36" t="s">
        <v>22555</v>
      </c>
      <c r="L1721" s="36" t="s">
        <v>22556</v>
      </c>
      <c r="M1721" s="36" t="s">
        <v>22557</v>
      </c>
      <c r="N1721" s="36" t="s">
        <v>22558</v>
      </c>
      <c r="O1721" s="36" t="s">
        <v>22559</v>
      </c>
      <c r="P1721" s="36" t="s">
        <v>22546</v>
      </c>
    </row>
    <row r="1722" spans="1:16" ht="15" customHeight="1">
      <c r="A1722" s="139">
        <v>1721</v>
      </c>
      <c r="B1722" s="36" t="s">
        <v>22560</v>
      </c>
      <c r="C1722" s="36" t="s">
        <v>22561</v>
      </c>
      <c r="D1722" s="36" t="s">
        <v>22562</v>
      </c>
      <c r="E1722" s="36" t="s">
        <v>22563</v>
      </c>
      <c r="F1722" s="36" t="s">
        <v>22564</v>
      </c>
      <c r="G1722" s="36" t="s">
        <v>22565</v>
      </c>
      <c r="H1722" s="36" t="s">
        <v>22566</v>
      </c>
      <c r="I1722" s="36" t="s">
        <v>22567</v>
      </c>
      <c r="J1722" s="36" t="s">
        <v>22568</v>
      </c>
      <c r="K1722" s="36" t="s">
        <v>22569</v>
      </c>
      <c r="L1722" s="36" t="s">
        <v>22570</v>
      </c>
      <c r="M1722" s="36" t="s">
        <v>22571</v>
      </c>
      <c r="N1722" s="36" t="s">
        <v>22572</v>
      </c>
      <c r="O1722" s="36" t="s">
        <v>22573</v>
      </c>
      <c r="P1722" s="36" t="s">
        <v>22560</v>
      </c>
    </row>
    <row r="1723" spans="1:16" ht="15" customHeight="1">
      <c r="A1723" s="139">
        <v>1722</v>
      </c>
      <c r="B1723" s="36" t="s">
        <v>22574</v>
      </c>
      <c r="C1723" s="36" t="s">
        <v>22575</v>
      </c>
      <c r="D1723" s="36" t="s">
        <v>22576</v>
      </c>
      <c r="E1723" s="36" t="s">
        <v>22577</v>
      </c>
      <c r="F1723" s="36" t="s">
        <v>22578</v>
      </c>
      <c r="G1723" s="36" t="s">
        <v>22579</v>
      </c>
      <c r="H1723" s="36" t="s">
        <v>22580</v>
      </c>
      <c r="I1723" s="36" t="s">
        <v>22581</v>
      </c>
      <c r="J1723" s="36" t="s">
        <v>22582</v>
      </c>
      <c r="K1723" s="36" t="s">
        <v>22583</v>
      </c>
      <c r="L1723" s="36" t="s">
        <v>22584</v>
      </c>
      <c r="M1723" s="36" t="s">
        <v>22585</v>
      </c>
      <c r="N1723" s="36" t="s">
        <v>22586</v>
      </c>
      <c r="O1723" s="36" t="s">
        <v>22587</v>
      </c>
      <c r="P1723" s="36" t="s">
        <v>22574</v>
      </c>
    </row>
    <row r="1724" spans="1:16" ht="15" customHeight="1">
      <c r="A1724" s="139">
        <v>1723</v>
      </c>
      <c r="B1724" s="36" t="s">
        <v>22588</v>
      </c>
      <c r="C1724" s="36" t="s">
        <v>22589</v>
      </c>
      <c r="D1724" s="36" t="s">
        <v>22590</v>
      </c>
      <c r="E1724" s="36" t="s">
        <v>22591</v>
      </c>
      <c r="F1724" s="36" t="s">
        <v>22592</v>
      </c>
      <c r="G1724" s="36" t="s">
        <v>22593</v>
      </c>
      <c r="H1724" s="36" t="s">
        <v>22594</v>
      </c>
      <c r="I1724" s="36" t="s">
        <v>22595</v>
      </c>
      <c r="J1724" s="36" t="s">
        <v>22596</v>
      </c>
      <c r="K1724" s="36" t="s">
        <v>22597</v>
      </c>
      <c r="L1724" s="36" t="s">
        <v>22598</v>
      </c>
      <c r="M1724" s="36" t="s">
        <v>22599</v>
      </c>
      <c r="N1724" s="36" t="s">
        <v>22600</v>
      </c>
      <c r="O1724" s="36" t="s">
        <v>22601</v>
      </c>
      <c r="P1724" s="36" t="s">
        <v>22588</v>
      </c>
    </row>
    <row r="1725" spans="1:16" ht="15" customHeight="1">
      <c r="A1725" s="139">
        <v>1724</v>
      </c>
      <c r="B1725" s="36" t="s">
        <v>22602</v>
      </c>
      <c r="C1725" s="36" t="s">
        <v>22603</v>
      </c>
      <c r="D1725" s="36" t="s">
        <v>22604</v>
      </c>
      <c r="E1725" s="36" t="s">
        <v>22605</v>
      </c>
      <c r="F1725" s="36" t="s">
        <v>22606</v>
      </c>
      <c r="G1725" s="36" t="s">
        <v>22607</v>
      </c>
      <c r="H1725" s="36" t="s">
        <v>22608</v>
      </c>
      <c r="I1725" s="36" t="s">
        <v>22609</v>
      </c>
      <c r="J1725" s="36" t="s">
        <v>22610</v>
      </c>
      <c r="K1725" s="36" t="s">
        <v>22611</v>
      </c>
      <c r="L1725" s="36" t="s">
        <v>22612</v>
      </c>
      <c r="M1725" s="36" t="s">
        <v>22613</v>
      </c>
      <c r="N1725" s="36" t="s">
        <v>22614</v>
      </c>
      <c r="O1725" s="36" t="s">
        <v>22615</v>
      </c>
      <c r="P1725" s="36" t="s">
        <v>22602</v>
      </c>
    </row>
    <row r="1726" spans="1:16" ht="15" customHeight="1">
      <c r="A1726" s="139">
        <v>1725</v>
      </c>
      <c r="B1726" s="36" t="s">
        <v>22616</v>
      </c>
      <c r="C1726" s="36" t="s">
        <v>22617</v>
      </c>
      <c r="D1726" s="36" t="s">
        <v>22618</v>
      </c>
      <c r="E1726" s="36" t="s">
        <v>22619</v>
      </c>
      <c r="F1726" s="36" t="s">
        <v>22620</v>
      </c>
      <c r="G1726" s="36" t="s">
        <v>22621</v>
      </c>
      <c r="H1726" s="36" t="s">
        <v>22622</v>
      </c>
      <c r="I1726" s="36" t="s">
        <v>22623</v>
      </c>
      <c r="J1726" s="36" t="s">
        <v>22624</v>
      </c>
      <c r="K1726" s="36" t="s">
        <v>22625</v>
      </c>
      <c r="L1726" s="36" t="s">
        <v>22626</v>
      </c>
      <c r="M1726" s="36" t="s">
        <v>22627</v>
      </c>
      <c r="N1726" s="36" t="s">
        <v>22628</v>
      </c>
      <c r="O1726" s="36" t="s">
        <v>22629</v>
      </c>
      <c r="P1726" s="36" t="s">
        <v>22616</v>
      </c>
    </row>
    <row r="1727" spans="1:16" ht="15" customHeight="1">
      <c r="A1727" s="139">
        <v>1726</v>
      </c>
      <c r="B1727" s="36" t="s">
        <v>22630</v>
      </c>
      <c r="C1727" s="36" t="s">
        <v>22631</v>
      </c>
      <c r="D1727" s="36" t="s">
        <v>22632</v>
      </c>
      <c r="E1727" s="36" t="s">
        <v>22633</v>
      </c>
      <c r="F1727" s="36" t="s">
        <v>22606</v>
      </c>
      <c r="G1727" s="36" t="s">
        <v>22634</v>
      </c>
      <c r="H1727" s="36" t="s">
        <v>22635</v>
      </c>
      <c r="I1727" s="36" t="s">
        <v>22636</v>
      </c>
      <c r="J1727" s="36" t="s">
        <v>22637</v>
      </c>
      <c r="K1727" s="36" t="s">
        <v>22638</v>
      </c>
      <c r="L1727" s="36" t="s">
        <v>22639</v>
      </c>
      <c r="M1727" s="36" t="s">
        <v>22640</v>
      </c>
      <c r="N1727" s="36" t="s">
        <v>22641</v>
      </c>
      <c r="O1727" s="36" t="s">
        <v>22642</v>
      </c>
      <c r="P1727" s="36" t="s">
        <v>22630</v>
      </c>
    </row>
    <row r="1728" spans="1:16" ht="15" customHeight="1">
      <c r="A1728" s="139">
        <v>1727</v>
      </c>
      <c r="B1728" s="36" t="s">
        <v>22643</v>
      </c>
      <c r="C1728" s="36" t="s">
        <v>22644</v>
      </c>
      <c r="D1728" s="36" t="s">
        <v>22645</v>
      </c>
      <c r="E1728" s="36" t="s">
        <v>22646</v>
      </c>
      <c r="F1728" s="36" t="s">
        <v>22647</v>
      </c>
      <c r="G1728" s="36" t="s">
        <v>22648</v>
      </c>
      <c r="H1728" s="36" t="s">
        <v>22649</v>
      </c>
      <c r="I1728" s="36" t="s">
        <v>22650</v>
      </c>
      <c r="J1728" s="36" t="s">
        <v>22651</v>
      </c>
      <c r="K1728" s="36" t="s">
        <v>22652</v>
      </c>
      <c r="L1728" s="36" t="s">
        <v>22653</v>
      </c>
      <c r="M1728" s="36" t="s">
        <v>22654</v>
      </c>
      <c r="N1728" s="36" t="s">
        <v>22655</v>
      </c>
      <c r="O1728" s="36" t="s">
        <v>22656</v>
      </c>
      <c r="P1728" s="36" t="s">
        <v>22643</v>
      </c>
    </row>
    <row r="1729" spans="1:16" ht="15" customHeight="1">
      <c r="A1729" s="139">
        <v>1728</v>
      </c>
      <c r="B1729" s="36" t="s">
        <v>22657</v>
      </c>
      <c r="C1729" s="36" t="s">
        <v>22658</v>
      </c>
      <c r="D1729" s="36" t="s">
        <v>22659</v>
      </c>
      <c r="E1729" s="36" t="s">
        <v>22660</v>
      </c>
      <c r="F1729" s="36" t="s">
        <v>22661</v>
      </c>
      <c r="G1729" s="36" t="s">
        <v>22662</v>
      </c>
      <c r="H1729" s="36" t="s">
        <v>22663</v>
      </c>
      <c r="I1729" s="36" t="s">
        <v>22664</v>
      </c>
      <c r="J1729" s="36" t="s">
        <v>22665</v>
      </c>
      <c r="K1729" s="36" t="s">
        <v>22666</v>
      </c>
      <c r="L1729" s="36" t="s">
        <v>22667</v>
      </c>
      <c r="M1729" s="36" t="s">
        <v>22668</v>
      </c>
      <c r="N1729" s="36" t="s">
        <v>22669</v>
      </c>
      <c r="O1729" s="36" t="s">
        <v>22670</v>
      </c>
      <c r="P1729" s="36" t="s">
        <v>22657</v>
      </c>
    </row>
    <row r="1730" spans="1:16" ht="15" customHeight="1">
      <c r="A1730" s="139">
        <v>1729</v>
      </c>
      <c r="B1730" s="36" t="s">
        <v>22671</v>
      </c>
      <c r="C1730" s="36" t="s">
        <v>22672</v>
      </c>
      <c r="D1730" s="36" t="s">
        <v>22673</v>
      </c>
      <c r="E1730" s="36" t="s">
        <v>22674</v>
      </c>
      <c r="F1730" s="36" t="s">
        <v>22675</v>
      </c>
      <c r="G1730" s="36" t="s">
        <v>22676</v>
      </c>
      <c r="H1730" s="36" t="s">
        <v>22677</v>
      </c>
      <c r="I1730" s="36" t="s">
        <v>22678</v>
      </c>
      <c r="J1730" s="36" t="s">
        <v>22679</v>
      </c>
      <c r="K1730" s="36" t="s">
        <v>22680</v>
      </c>
      <c r="L1730" s="36" t="s">
        <v>22681</v>
      </c>
      <c r="M1730" s="36" t="s">
        <v>22682</v>
      </c>
      <c r="N1730" s="36" t="s">
        <v>22683</v>
      </c>
      <c r="O1730" s="36" t="s">
        <v>22684</v>
      </c>
      <c r="P1730" s="36" t="s">
        <v>22671</v>
      </c>
    </row>
    <row r="1731" spans="1:16" ht="15" customHeight="1">
      <c r="A1731" s="139">
        <v>1730</v>
      </c>
      <c r="B1731" s="36" t="s">
        <v>22685</v>
      </c>
      <c r="C1731" s="36" t="s">
        <v>22686</v>
      </c>
      <c r="D1731" s="36" t="s">
        <v>22687</v>
      </c>
      <c r="E1731" s="36" t="s">
        <v>22688</v>
      </c>
      <c r="F1731" s="36" t="s">
        <v>22689</v>
      </c>
      <c r="G1731" s="36" t="s">
        <v>22690</v>
      </c>
      <c r="H1731" s="36" t="s">
        <v>22691</v>
      </c>
      <c r="I1731" s="36" t="s">
        <v>22692</v>
      </c>
      <c r="J1731" s="36" t="s">
        <v>22693</v>
      </c>
      <c r="K1731" s="36" t="s">
        <v>22694</v>
      </c>
      <c r="L1731" s="36" t="s">
        <v>22695</v>
      </c>
      <c r="M1731" s="36" t="s">
        <v>22696</v>
      </c>
      <c r="N1731" s="36" t="s">
        <v>22697</v>
      </c>
      <c r="O1731" s="36" t="s">
        <v>22698</v>
      </c>
      <c r="P1731" s="36" t="s">
        <v>22685</v>
      </c>
    </row>
    <row r="1732" spans="1:16" ht="15" customHeight="1">
      <c r="A1732" s="139">
        <v>1731</v>
      </c>
      <c r="B1732" s="36" t="s">
        <v>22699</v>
      </c>
      <c r="C1732" s="36" t="s">
        <v>22700</v>
      </c>
      <c r="D1732" s="36" t="s">
        <v>22701</v>
      </c>
      <c r="E1732" s="36" t="s">
        <v>22702</v>
      </c>
      <c r="F1732" s="36" t="s">
        <v>22703</v>
      </c>
      <c r="G1732" s="36" t="s">
        <v>22704</v>
      </c>
      <c r="H1732" s="36" t="s">
        <v>22705</v>
      </c>
      <c r="I1732" s="36" t="s">
        <v>22706</v>
      </c>
      <c r="J1732" s="36" t="s">
        <v>22707</v>
      </c>
      <c r="K1732" s="36" t="s">
        <v>22708</v>
      </c>
      <c r="L1732" s="36" t="s">
        <v>22709</v>
      </c>
      <c r="M1732" s="36" t="s">
        <v>22710</v>
      </c>
      <c r="N1732" s="36" t="s">
        <v>22710</v>
      </c>
      <c r="O1732" s="36" t="s">
        <v>22711</v>
      </c>
      <c r="P1732" s="36" t="s">
        <v>22699</v>
      </c>
    </row>
    <row r="1733" spans="1:16" ht="15" customHeight="1">
      <c r="A1733" s="139">
        <v>1732</v>
      </c>
      <c r="B1733" s="36" t="s">
        <v>22712</v>
      </c>
      <c r="C1733" s="36" t="s">
        <v>22713</v>
      </c>
      <c r="D1733" s="36" t="s">
        <v>22714</v>
      </c>
      <c r="E1733" s="36" t="s">
        <v>22715</v>
      </c>
      <c r="F1733" s="36" t="s">
        <v>22716</v>
      </c>
      <c r="G1733" s="36" t="s">
        <v>22717</v>
      </c>
      <c r="H1733" s="36" t="s">
        <v>22718</v>
      </c>
      <c r="I1733" s="36" t="s">
        <v>22719</v>
      </c>
      <c r="J1733" s="36" t="s">
        <v>22720</v>
      </c>
      <c r="K1733" s="36" t="s">
        <v>22721</v>
      </c>
      <c r="L1733" s="36" t="s">
        <v>22722</v>
      </c>
      <c r="M1733" s="36" t="s">
        <v>22723</v>
      </c>
      <c r="N1733" s="36" t="s">
        <v>22724</v>
      </c>
      <c r="O1733" s="36" t="s">
        <v>22725</v>
      </c>
      <c r="P1733" s="36" t="s">
        <v>22712</v>
      </c>
    </row>
    <row r="1734" spans="1:16" ht="15" customHeight="1">
      <c r="A1734" s="139">
        <v>1733</v>
      </c>
      <c r="B1734" s="36" t="s">
        <v>22726</v>
      </c>
      <c r="C1734" s="36" t="s">
        <v>22727</v>
      </c>
      <c r="D1734" s="36" t="s">
        <v>22728</v>
      </c>
      <c r="E1734" s="36" t="s">
        <v>22729</v>
      </c>
      <c r="F1734" s="36" t="s">
        <v>22730</v>
      </c>
      <c r="G1734" s="36" t="s">
        <v>22731</v>
      </c>
      <c r="H1734" s="36" t="s">
        <v>22732</v>
      </c>
      <c r="I1734" s="36" t="s">
        <v>22733</v>
      </c>
      <c r="J1734" s="36" t="s">
        <v>22734</v>
      </c>
      <c r="K1734" s="36" t="s">
        <v>22735</v>
      </c>
      <c r="L1734" s="36" t="s">
        <v>22736</v>
      </c>
      <c r="M1734" s="36" t="s">
        <v>22737</v>
      </c>
      <c r="N1734" s="36" t="s">
        <v>22738</v>
      </c>
      <c r="O1734" s="36" t="s">
        <v>22739</v>
      </c>
      <c r="P1734" s="36" t="s">
        <v>22726</v>
      </c>
    </row>
    <row r="1735" spans="1:16" ht="15" customHeight="1">
      <c r="A1735" s="139">
        <v>1734</v>
      </c>
      <c r="B1735" s="36" t="s">
        <v>22740</v>
      </c>
      <c r="C1735" s="36" t="s">
        <v>22741</v>
      </c>
      <c r="D1735" s="36" t="s">
        <v>22742</v>
      </c>
      <c r="E1735" s="36" t="s">
        <v>22743</v>
      </c>
      <c r="F1735" s="36" t="s">
        <v>22744</v>
      </c>
      <c r="G1735" s="36" t="s">
        <v>22745</v>
      </c>
      <c r="H1735" s="36" t="s">
        <v>22746</v>
      </c>
      <c r="I1735" s="36" t="s">
        <v>22747</v>
      </c>
      <c r="J1735" s="36" t="s">
        <v>22748</v>
      </c>
      <c r="K1735" s="36" t="s">
        <v>22749</v>
      </c>
      <c r="L1735" s="36" t="s">
        <v>22750</v>
      </c>
      <c r="M1735" s="36" t="s">
        <v>22751</v>
      </c>
      <c r="N1735" s="36" t="s">
        <v>22752</v>
      </c>
      <c r="O1735" s="36" t="s">
        <v>22753</v>
      </c>
      <c r="P1735" s="36" t="s">
        <v>22740</v>
      </c>
    </row>
    <row r="1736" spans="1:16" ht="15" customHeight="1">
      <c r="A1736" s="139">
        <v>1735</v>
      </c>
      <c r="B1736" s="36" t="s">
        <v>22754</v>
      </c>
      <c r="C1736" s="36" t="s">
        <v>22755</v>
      </c>
      <c r="D1736" s="36" t="s">
        <v>22756</v>
      </c>
      <c r="E1736" s="36" t="s">
        <v>22757</v>
      </c>
      <c r="F1736" s="36" t="s">
        <v>22758</v>
      </c>
      <c r="G1736" s="36" t="s">
        <v>22759</v>
      </c>
      <c r="H1736" s="36" t="s">
        <v>22760</v>
      </c>
      <c r="I1736" s="36" t="s">
        <v>22761</v>
      </c>
      <c r="J1736" s="36" t="s">
        <v>22762</v>
      </c>
      <c r="K1736" s="36" t="s">
        <v>22763</v>
      </c>
      <c r="L1736" s="36" t="s">
        <v>22764</v>
      </c>
      <c r="M1736" s="36" t="s">
        <v>22765</v>
      </c>
      <c r="N1736" s="36" t="s">
        <v>22765</v>
      </c>
      <c r="O1736" s="36" t="s">
        <v>22766</v>
      </c>
      <c r="P1736" s="36" t="s">
        <v>22754</v>
      </c>
    </row>
    <row r="1737" spans="1:16" ht="15" customHeight="1">
      <c r="A1737" s="139">
        <v>1736</v>
      </c>
      <c r="B1737" s="36" t="s">
        <v>22767</v>
      </c>
      <c r="C1737" s="36" t="s">
        <v>22768</v>
      </c>
      <c r="D1737" s="36" t="s">
        <v>22769</v>
      </c>
      <c r="E1737" s="36" t="s">
        <v>22770</v>
      </c>
      <c r="F1737" s="36" t="s">
        <v>22771</v>
      </c>
      <c r="G1737" s="36" t="s">
        <v>22772</v>
      </c>
      <c r="H1737" s="36" t="s">
        <v>22773</v>
      </c>
      <c r="I1737" s="36" t="s">
        <v>22774</v>
      </c>
      <c r="J1737" s="36" t="s">
        <v>22775</v>
      </c>
      <c r="K1737" s="36" t="s">
        <v>22776</v>
      </c>
      <c r="L1737" s="36" t="s">
        <v>22777</v>
      </c>
      <c r="M1737" s="36" t="s">
        <v>22778</v>
      </c>
      <c r="N1737" s="36" t="s">
        <v>22779</v>
      </c>
      <c r="O1737" s="36" t="s">
        <v>22780</v>
      </c>
      <c r="P1737" s="36" t="s">
        <v>22767</v>
      </c>
    </row>
    <row r="1738" spans="1:16" ht="15" customHeight="1">
      <c r="A1738" s="139">
        <v>1737</v>
      </c>
      <c r="B1738" s="36" t="s">
        <v>22781</v>
      </c>
      <c r="C1738" s="36" t="s">
        <v>22782</v>
      </c>
      <c r="D1738" s="36" t="s">
        <v>22783</v>
      </c>
      <c r="E1738" s="36" t="s">
        <v>22784</v>
      </c>
      <c r="F1738" s="36" t="s">
        <v>22785</v>
      </c>
      <c r="G1738" s="36" t="s">
        <v>22786</v>
      </c>
      <c r="H1738" s="36" t="s">
        <v>22787</v>
      </c>
      <c r="I1738" s="36" t="s">
        <v>22788</v>
      </c>
      <c r="J1738" s="36" t="s">
        <v>22789</v>
      </c>
      <c r="K1738" s="36" t="s">
        <v>22790</v>
      </c>
      <c r="L1738" s="36" t="s">
        <v>22791</v>
      </c>
      <c r="M1738" s="36" t="s">
        <v>22792</v>
      </c>
      <c r="N1738" s="36" t="s">
        <v>22793</v>
      </c>
      <c r="O1738" s="36" t="s">
        <v>22794</v>
      </c>
      <c r="P1738" s="36" t="s">
        <v>22781</v>
      </c>
    </row>
    <row r="1739" spans="1:16" ht="15" customHeight="1">
      <c r="A1739" s="139">
        <v>1738</v>
      </c>
      <c r="B1739" s="36" t="s">
        <v>22795</v>
      </c>
      <c r="C1739" s="36" t="s">
        <v>22796</v>
      </c>
      <c r="D1739" s="36" t="s">
        <v>22797</v>
      </c>
      <c r="E1739" s="36" t="s">
        <v>22798</v>
      </c>
      <c r="F1739" s="36" t="s">
        <v>22799</v>
      </c>
      <c r="G1739" s="36" t="s">
        <v>22800</v>
      </c>
      <c r="H1739" s="36" t="s">
        <v>22801</v>
      </c>
      <c r="I1739" s="36" t="s">
        <v>22802</v>
      </c>
      <c r="J1739" s="36" t="s">
        <v>22803</v>
      </c>
      <c r="K1739" s="36" t="s">
        <v>22804</v>
      </c>
      <c r="L1739" s="36" t="s">
        <v>22805</v>
      </c>
      <c r="M1739" s="36" t="s">
        <v>22806</v>
      </c>
      <c r="N1739" s="36" t="s">
        <v>22807</v>
      </c>
      <c r="O1739" s="36" t="s">
        <v>22808</v>
      </c>
      <c r="P1739" s="36" t="s">
        <v>22795</v>
      </c>
    </row>
    <row r="1740" spans="1:16" ht="15" customHeight="1">
      <c r="A1740" s="139">
        <v>1739</v>
      </c>
      <c r="B1740" s="36" t="s">
        <v>22809</v>
      </c>
      <c r="C1740" s="36" t="s">
        <v>22810</v>
      </c>
      <c r="D1740" s="36" t="s">
        <v>22811</v>
      </c>
      <c r="E1740" s="36" t="s">
        <v>22812</v>
      </c>
      <c r="F1740" s="36" t="s">
        <v>22813</v>
      </c>
      <c r="G1740" s="36" t="s">
        <v>22814</v>
      </c>
      <c r="H1740" s="36" t="s">
        <v>22815</v>
      </c>
      <c r="I1740" s="36" t="s">
        <v>22816</v>
      </c>
      <c r="J1740" s="36" t="s">
        <v>22817</v>
      </c>
      <c r="K1740" s="36" t="s">
        <v>22818</v>
      </c>
      <c r="L1740" s="36" t="s">
        <v>22819</v>
      </c>
      <c r="M1740" s="36" t="s">
        <v>22820</v>
      </c>
      <c r="N1740" s="36" t="s">
        <v>22821</v>
      </c>
      <c r="O1740" s="36" t="s">
        <v>22822</v>
      </c>
      <c r="P1740" s="36" t="s">
        <v>22809</v>
      </c>
    </row>
    <row r="1741" spans="1:16" ht="15" customHeight="1">
      <c r="A1741" s="139">
        <v>1740</v>
      </c>
      <c r="B1741" s="36" t="s">
        <v>22823</v>
      </c>
      <c r="C1741" s="36" t="s">
        <v>22823</v>
      </c>
      <c r="D1741" s="36" t="s">
        <v>22824</v>
      </c>
      <c r="E1741" s="36" t="s">
        <v>22825</v>
      </c>
      <c r="F1741" s="36" t="s">
        <v>22823</v>
      </c>
      <c r="G1741" s="36" t="s">
        <v>22823</v>
      </c>
      <c r="H1741" s="36" t="s">
        <v>22826</v>
      </c>
      <c r="I1741" s="36" t="s">
        <v>22823</v>
      </c>
      <c r="J1741" s="36" t="s">
        <v>22823</v>
      </c>
      <c r="K1741" s="36" t="s">
        <v>22823</v>
      </c>
      <c r="L1741" s="36" t="s">
        <v>22823</v>
      </c>
      <c r="M1741" s="36" t="s">
        <v>22823</v>
      </c>
      <c r="N1741" s="36" t="s">
        <v>22823</v>
      </c>
      <c r="O1741" s="36" t="s">
        <v>22823</v>
      </c>
      <c r="P1741" s="36" t="s">
        <v>22823</v>
      </c>
    </row>
    <row r="1742" spans="1:16" ht="15" customHeight="1">
      <c r="A1742" s="139">
        <v>1741</v>
      </c>
      <c r="B1742" s="36" t="s">
        <v>22827</v>
      </c>
      <c r="C1742" s="36" t="s">
        <v>22828</v>
      </c>
      <c r="D1742" s="36" t="s">
        <v>22829</v>
      </c>
      <c r="E1742" s="36" t="s">
        <v>22830</v>
      </c>
      <c r="F1742" s="36" t="s">
        <v>22831</v>
      </c>
      <c r="G1742" s="36" t="s">
        <v>22832</v>
      </c>
      <c r="H1742" s="36" t="s">
        <v>22833</v>
      </c>
      <c r="I1742" s="36" t="s">
        <v>22834</v>
      </c>
      <c r="J1742" s="36" t="s">
        <v>22835</v>
      </c>
      <c r="K1742" s="36" t="s">
        <v>22836</v>
      </c>
      <c r="L1742" s="36" t="s">
        <v>22837</v>
      </c>
      <c r="M1742" s="36" t="s">
        <v>22827</v>
      </c>
      <c r="N1742" s="36" t="s">
        <v>22838</v>
      </c>
      <c r="O1742" s="36" t="s">
        <v>22836</v>
      </c>
      <c r="P1742" s="36" t="s">
        <v>22827</v>
      </c>
    </row>
    <row r="1743" spans="1:16" ht="15" customHeight="1">
      <c r="A1743" s="139">
        <v>1742</v>
      </c>
      <c r="B1743" s="36" t="s">
        <v>22839</v>
      </c>
      <c r="C1743" s="36" t="s">
        <v>22840</v>
      </c>
      <c r="D1743" s="36" t="s">
        <v>22841</v>
      </c>
      <c r="E1743" s="36" t="s">
        <v>22842</v>
      </c>
      <c r="F1743" s="36" t="s">
        <v>22843</v>
      </c>
      <c r="G1743" s="36" t="s">
        <v>22844</v>
      </c>
      <c r="H1743" s="36" t="s">
        <v>22845</v>
      </c>
      <c r="I1743" s="36" t="s">
        <v>22846</v>
      </c>
      <c r="J1743" s="36" t="s">
        <v>22847</v>
      </c>
      <c r="K1743" s="36" t="s">
        <v>22848</v>
      </c>
      <c r="L1743" s="36" t="s">
        <v>22849</v>
      </c>
      <c r="M1743" s="36" t="s">
        <v>22849</v>
      </c>
      <c r="N1743" s="36" t="s">
        <v>22849</v>
      </c>
      <c r="O1743" s="36" t="s">
        <v>22850</v>
      </c>
      <c r="P1743" s="36" t="s">
        <v>22839</v>
      </c>
    </row>
    <row r="1744" spans="1:16" ht="15" customHeight="1">
      <c r="A1744" s="139">
        <v>1743</v>
      </c>
      <c r="B1744" s="36" t="s">
        <v>22851</v>
      </c>
      <c r="C1744" s="36" t="s">
        <v>22851</v>
      </c>
      <c r="D1744" s="36" t="s">
        <v>22851</v>
      </c>
      <c r="E1744" s="36" t="s">
        <v>22851</v>
      </c>
      <c r="F1744" s="36" t="s">
        <v>22851</v>
      </c>
      <c r="G1744" s="36" t="s">
        <v>22851</v>
      </c>
      <c r="H1744" s="36" t="s">
        <v>22851</v>
      </c>
      <c r="I1744" s="36" t="s">
        <v>22851</v>
      </c>
      <c r="J1744" s="36" t="s">
        <v>22851</v>
      </c>
      <c r="K1744" s="36" t="s">
        <v>22851</v>
      </c>
      <c r="L1744" s="36" t="s">
        <v>22851</v>
      </c>
      <c r="M1744" s="36" t="s">
        <v>22851</v>
      </c>
      <c r="N1744" s="36" t="s">
        <v>22851</v>
      </c>
      <c r="O1744" s="36" t="s">
        <v>22851</v>
      </c>
      <c r="P1744" s="36" t="s">
        <v>22851</v>
      </c>
    </row>
    <row r="1745" spans="1:16" ht="15" customHeight="1">
      <c r="A1745" s="139">
        <v>1744</v>
      </c>
      <c r="B1745" s="36" t="s">
        <v>22852</v>
      </c>
      <c r="C1745" s="36" t="s">
        <v>22853</v>
      </c>
      <c r="D1745" s="36" t="s">
        <v>22854</v>
      </c>
      <c r="E1745" s="36" t="s">
        <v>22855</v>
      </c>
      <c r="F1745" s="36" t="s">
        <v>22856</v>
      </c>
      <c r="G1745" s="36" t="s">
        <v>22857</v>
      </c>
      <c r="H1745" s="36" t="s">
        <v>22858</v>
      </c>
      <c r="I1745" s="36" t="s">
        <v>22856</v>
      </c>
      <c r="J1745" s="36" t="s">
        <v>22859</v>
      </c>
      <c r="K1745" s="36" t="s">
        <v>22860</v>
      </c>
      <c r="L1745" s="36" t="s">
        <v>22861</v>
      </c>
      <c r="M1745" s="36" t="s">
        <v>22862</v>
      </c>
      <c r="N1745" s="36" t="s">
        <v>22863</v>
      </c>
      <c r="O1745" s="36" t="s">
        <v>22864</v>
      </c>
      <c r="P1745" s="36" t="s">
        <v>22852</v>
      </c>
    </row>
    <row r="1746" spans="1:16" ht="15" customHeight="1">
      <c r="A1746" s="139">
        <v>1745</v>
      </c>
      <c r="B1746" s="36" t="s">
        <v>22865</v>
      </c>
      <c r="C1746" s="36" t="s">
        <v>22865</v>
      </c>
      <c r="D1746" s="36" t="s">
        <v>22865</v>
      </c>
      <c r="E1746" s="36" t="s">
        <v>22865</v>
      </c>
      <c r="F1746" s="36" t="s">
        <v>22865</v>
      </c>
      <c r="G1746" s="36" t="s">
        <v>22865</v>
      </c>
      <c r="H1746" s="36" t="s">
        <v>22865</v>
      </c>
      <c r="I1746" s="36" t="s">
        <v>22865</v>
      </c>
      <c r="J1746" s="36" t="s">
        <v>22865</v>
      </c>
      <c r="K1746" s="36" t="s">
        <v>22865</v>
      </c>
      <c r="L1746" s="36" t="s">
        <v>22865</v>
      </c>
      <c r="M1746" s="36" t="s">
        <v>22865</v>
      </c>
      <c r="N1746" s="36" t="s">
        <v>22865</v>
      </c>
      <c r="O1746" s="36" t="s">
        <v>22865</v>
      </c>
      <c r="P1746" s="36" t="s">
        <v>22865</v>
      </c>
    </row>
    <row r="1747" spans="1:16" ht="15" customHeight="1">
      <c r="A1747" s="139">
        <v>1746</v>
      </c>
      <c r="B1747" s="36" t="s">
        <v>22866</v>
      </c>
      <c r="C1747" s="36" t="s">
        <v>22867</v>
      </c>
      <c r="D1747" s="36" t="s">
        <v>22868</v>
      </c>
      <c r="E1747" s="36" t="s">
        <v>22869</v>
      </c>
      <c r="F1747" s="36" t="s">
        <v>22870</v>
      </c>
      <c r="G1747" s="36" t="s">
        <v>22871</v>
      </c>
      <c r="H1747" s="36" t="s">
        <v>22872</v>
      </c>
      <c r="I1747" s="36" t="s">
        <v>22873</v>
      </c>
      <c r="J1747" s="36" t="s">
        <v>22874</v>
      </c>
      <c r="K1747" s="36" t="s">
        <v>22875</v>
      </c>
      <c r="L1747" s="36" t="s">
        <v>22876</v>
      </c>
      <c r="M1747" s="36" t="s">
        <v>22877</v>
      </c>
      <c r="N1747" s="36" t="s">
        <v>22878</v>
      </c>
      <c r="O1747" s="36" t="s">
        <v>22879</v>
      </c>
      <c r="P1747" s="36" t="s">
        <v>22866</v>
      </c>
    </row>
    <row r="1748" spans="1:16" ht="15" customHeight="1">
      <c r="A1748" s="139">
        <v>1747</v>
      </c>
      <c r="B1748" s="36" t="s">
        <v>22880</v>
      </c>
      <c r="C1748" s="36" t="s">
        <v>22881</v>
      </c>
      <c r="D1748" s="36" t="s">
        <v>22882</v>
      </c>
      <c r="E1748" s="36" t="s">
        <v>22883</v>
      </c>
      <c r="F1748" s="36" t="s">
        <v>22884</v>
      </c>
      <c r="G1748" s="36" t="s">
        <v>22885</v>
      </c>
      <c r="H1748" s="36" t="s">
        <v>22886</v>
      </c>
      <c r="I1748" s="36" t="s">
        <v>22887</v>
      </c>
      <c r="J1748" s="36" t="s">
        <v>22888</v>
      </c>
      <c r="K1748" s="36" t="s">
        <v>22889</v>
      </c>
      <c r="L1748" s="36" t="s">
        <v>22890</v>
      </c>
      <c r="M1748" s="36" t="s">
        <v>22890</v>
      </c>
      <c r="N1748" s="36" t="s">
        <v>22891</v>
      </c>
      <c r="O1748" s="36" t="s">
        <v>22892</v>
      </c>
      <c r="P1748" s="36" t="s">
        <v>22880</v>
      </c>
    </row>
    <row r="1749" spans="1:16" ht="15" customHeight="1">
      <c r="A1749" s="139">
        <v>1748</v>
      </c>
      <c r="B1749" s="36" t="s">
        <v>22893</v>
      </c>
      <c r="C1749" s="36" t="s">
        <v>22894</v>
      </c>
      <c r="D1749" s="36" t="s">
        <v>22895</v>
      </c>
      <c r="E1749" s="36" t="s">
        <v>22896</v>
      </c>
      <c r="F1749" s="36" t="s">
        <v>22897</v>
      </c>
      <c r="G1749" s="36" t="s">
        <v>22898</v>
      </c>
      <c r="H1749" s="36" t="s">
        <v>22899</v>
      </c>
      <c r="I1749" s="36" t="s">
        <v>22900</v>
      </c>
      <c r="J1749" s="36" t="s">
        <v>22901</v>
      </c>
      <c r="K1749" s="36" t="s">
        <v>22902</v>
      </c>
      <c r="L1749" s="36" t="s">
        <v>22903</v>
      </c>
      <c r="M1749" s="36" t="s">
        <v>22904</v>
      </c>
      <c r="N1749" s="36" t="s">
        <v>22905</v>
      </c>
      <c r="O1749" s="36" t="s">
        <v>22906</v>
      </c>
      <c r="P1749" s="36" t="s">
        <v>22893</v>
      </c>
    </row>
    <row r="1750" spans="1:16" ht="15" customHeight="1">
      <c r="A1750" s="139">
        <v>1749</v>
      </c>
      <c r="B1750" s="36" t="s">
        <v>4173</v>
      </c>
      <c r="C1750" s="36" t="s">
        <v>22907</v>
      </c>
      <c r="D1750" s="36" t="s">
        <v>22908</v>
      </c>
      <c r="E1750" s="36" t="s">
        <v>4167</v>
      </c>
      <c r="F1750" s="36" t="s">
        <v>4168</v>
      </c>
      <c r="G1750" s="36" t="s">
        <v>19596</v>
      </c>
      <c r="H1750" s="36" t="s">
        <v>22909</v>
      </c>
      <c r="I1750" s="36" t="s">
        <v>19597</v>
      </c>
      <c r="J1750" s="36" t="s">
        <v>4171</v>
      </c>
      <c r="K1750" s="36" t="s">
        <v>19598</v>
      </c>
      <c r="L1750" s="36" t="s">
        <v>4173</v>
      </c>
      <c r="M1750" s="36" t="s">
        <v>4173</v>
      </c>
      <c r="N1750" s="36" t="s">
        <v>4173</v>
      </c>
      <c r="O1750" s="36" t="s">
        <v>4174</v>
      </c>
      <c r="P1750" s="36" t="s">
        <v>4173</v>
      </c>
    </row>
    <row r="1751" spans="1:16" ht="15" customHeight="1">
      <c r="A1751" s="139">
        <v>1750</v>
      </c>
      <c r="B1751" s="36" t="s">
        <v>22910</v>
      </c>
      <c r="C1751" s="36" t="s">
        <v>22911</v>
      </c>
      <c r="D1751" s="36" t="s">
        <v>22912</v>
      </c>
      <c r="E1751" s="36" t="s">
        <v>22913</v>
      </c>
      <c r="F1751" s="36" t="s">
        <v>22914</v>
      </c>
      <c r="G1751" s="36" t="s">
        <v>22915</v>
      </c>
      <c r="H1751" s="36" t="s">
        <v>22916</v>
      </c>
      <c r="I1751" s="36" t="s">
        <v>22917</v>
      </c>
      <c r="J1751" s="36" t="s">
        <v>22918</v>
      </c>
      <c r="K1751" s="36" t="s">
        <v>22919</v>
      </c>
      <c r="L1751" s="36" t="s">
        <v>22920</v>
      </c>
      <c r="M1751" s="36" t="s">
        <v>22921</v>
      </c>
      <c r="N1751" s="36" t="s">
        <v>22921</v>
      </c>
      <c r="O1751" s="36" t="s">
        <v>22922</v>
      </c>
      <c r="P1751" s="36" t="s">
        <v>22910</v>
      </c>
    </row>
    <row r="1752" spans="1:16" ht="15" customHeight="1">
      <c r="A1752" s="139">
        <v>1751</v>
      </c>
      <c r="B1752" s="36" t="s">
        <v>22923</v>
      </c>
      <c r="C1752" s="36" t="s">
        <v>22924</v>
      </c>
      <c r="D1752" s="36" t="s">
        <v>22925</v>
      </c>
      <c r="E1752" s="36" t="s">
        <v>22926</v>
      </c>
      <c r="F1752" s="36" t="s">
        <v>22927</v>
      </c>
      <c r="G1752" s="36" t="s">
        <v>22928</v>
      </c>
      <c r="H1752" s="36" t="s">
        <v>22929</v>
      </c>
      <c r="I1752" s="36" t="s">
        <v>22930</v>
      </c>
      <c r="J1752" s="36" t="s">
        <v>22931</v>
      </c>
      <c r="K1752" s="36" t="s">
        <v>22932</v>
      </c>
      <c r="L1752" s="36" t="s">
        <v>22933</v>
      </c>
      <c r="M1752" s="36" t="s">
        <v>22934</v>
      </c>
      <c r="N1752" s="36" t="s">
        <v>22935</v>
      </c>
      <c r="O1752" s="36" t="s">
        <v>22936</v>
      </c>
      <c r="P1752" s="36" t="s">
        <v>22923</v>
      </c>
    </row>
    <row r="1753" spans="1:16" ht="15" customHeight="1">
      <c r="A1753" s="139">
        <v>1752</v>
      </c>
      <c r="B1753" s="36" t="s">
        <v>22937</v>
      </c>
      <c r="C1753" s="36" t="s">
        <v>22938</v>
      </c>
      <c r="D1753" s="36" t="s">
        <v>22939</v>
      </c>
      <c r="E1753" s="36" t="s">
        <v>22940</v>
      </c>
      <c r="F1753" s="36" t="s">
        <v>22941</v>
      </c>
      <c r="G1753" s="36" t="s">
        <v>22942</v>
      </c>
      <c r="H1753" s="36" t="s">
        <v>22943</v>
      </c>
      <c r="I1753" s="36" t="s">
        <v>22944</v>
      </c>
      <c r="J1753" s="36" t="s">
        <v>22945</v>
      </c>
      <c r="K1753" s="36" t="s">
        <v>22946</v>
      </c>
      <c r="L1753" s="36" t="s">
        <v>22947</v>
      </c>
      <c r="M1753" s="36" t="s">
        <v>22948</v>
      </c>
      <c r="N1753" s="36" t="s">
        <v>22949</v>
      </c>
      <c r="O1753" s="36" t="s">
        <v>22950</v>
      </c>
      <c r="P1753" s="36" t="s">
        <v>22937</v>
      </c>
    </row>
    <row r="1754" spans="1:16" ht="15" customHeight="1">
      <c r="A1754" s="139">
        <v>1753</v>
      </c>
      <c r="B1754" s="36" t="s">
        <v>22951</v>
      </c>
      <c r="C1754" s="36" t="s">
        <v>22952</v>
      </c>
      <c r="D1754" s="36" t="s">
        <v>22953</v>
      </c>
      <c r="E1754" s="36" t="s">
        <v>22954</v>
      </c>
      <c r="F1754" s="36" t="s">
        <v>22955</v>
      </c>
      <c r="G1754" s="36" t="s">
        <v>22956</v>
      </c>
      <c r="H1754" s="36" t="s">
        <v>22957</v>
      </c>
      <c r="I1754" s="36" t="s">
        <v>22958</v>
      </c>
      <c r="J1754" s="36" t="s">
        <v>22959</v>
      </c>
      <c r="K1754" s="36" t="s">
        <v>22960</v>
      </c>
      <c r="L1754" s="36" t="s">
        <v>22961</v>
      </c>
      <c r="M1754" s="36" t="s">
        <v>22962</v>
      </c>
      <c r="N1754" s="36" t="s">
        <v>22963</v>
      </c>
      <c r="O1754" s="36" t="s">
        <v>22964</v>
      </c>
      <c r="P1754" s="36" t="s">
        <v>22951</v>
      </c>
    </row>
    <row r="1755" spans="1:16" ht="15" customHeight="1">
      <c r="A1755" s="139">
        <v>1754</v>
      </c>
      <c r="B1755" s="36" t="s">
        <v>22965</v>
      </c>
      <c r="C1755" s="36" t="s">
        <v>22966</v>
      </c>
      <c r="D1755" s="36" t="s">
        <v>22967</v>
      </c>
      <c r="E1755" s="36" t="s">
        <v>22968</v>
      </c>
      <c r="F1755" s="36" t="s">
        <v>22969</v>
      </c>
      <c r="G1755" s="36" t="s">
        <v>22970</v>
      </c>
      <c r="H1755" s="36" t="s">
        <v>22971</v>
      </c>
      <c r="I1755" s="36" t="s">
        <v>22972</v>
      </c>
      <c r="J1755" s="36" t="s">
        <v>22973</v>
      </c>
      <c r="K1755" s="36" t="s">
        <v>22974</v>
      </c>
      <c r="L1755" s="36" t="s">
        <v>22975</v>
      </c>
      <c r="M1755" s="36" t="s">
        <v>22976</v>
      </c>
      <c r="N1755" s="36" t="s">
        <v>22977</v>
      </c>
      <c r="O1755" s="36" t="s">
        <v>22978</v>
      </c>
      <c r="P1755" s="36" t="s">
        <v>22965</v>
      </c>
    </row>
    <row r="1756" spans="1:16" ht="15" customHeight="1">
      <c r="A1756" s="139">
        <v>1755</v>
      </c>
      <c r="B1756" s="36" t="s">
        <v>22979</v>
      </c>
      <c r="C1756" s="36" t="s">
        <v>22980</v>
      </c>
      <c r="D1756" s="36" t="s">
        <v>22981</v>
      </c>
      <c r="E1756" s="36" t="s">
        <v>22982</v>
      </c>
      <c r="F1756" s="36" t="s">
        <v>22983</v>
      </c>
      <c r="G1756" s="36" t="s">
        <v>22984</v>
      </c>
      <c r="H1756" s="36" t="s">
        <v>22985</v>
      </c>
      <c r="I1756" s="36" t="s">
        <v>22986</v>
      </c>
      <c r="J1756" s="36" t="s">
        <v>22979</v>
      </c>
      <c r="K1756" s="36" t="s">
        <v>22987</v>
      </c>
      <c r="L1756" s="36" t="s">
        <v>22988</v>
      </c>
      <c r="M1756" s="36" t="s">
        <v>22989</v>
      </c>
      <c r="N1756" s="36" t="s">
        <v>22989</v>
      </c>
      <c r="O1756" s="36" t="s">
        <v>22990</v>
      </c>
      <c r="P1756" s="36" t="s">
        <v>22979</v>
      </c>
    </row>
    <row r="1757" spans="1:16" ht="15" customHeight="1">
      <c r="A1757" s="139">
        <v>1756</v>
      </c>
      <c r="B1757" s="36" t="s">
        <v>22991</v>
      </c>
      <c r="C1757" s="36" t="s">
        <v>22991</v>
      </c>
      <c r="D1757" s="36" t="s">
        <v>22991</v>
      </c>
      <c r="E1757" s="36" t="s">
        <v>22991</v>
      </c>
      <c r="F1757" s="36" t="s">
        <v>22991</v>
      </c>
      <c r="G1757" s="36" t="s">
        <v>22991</v>
      </c>
      <c r="H1757" s="36" t="s">
        <v>22991</v>
      </c>
      <c r="I1757" s="36" t="s">
        <v>22991</v>
      </c>
      <c r="J1757" s="36" t="s">
        <v>22991</v>
      </c>
      <c r="K1757" s="36" t="s">
        <v>22991</v>
      </c>
      <c r="L1757" s="36" t="s">
        <v>22991</v>
      </c>
      <c r="M1757" s="36" t="s">
        <v>22992</v>
      </c>
      <c r="N1757" s="36" t="s">
        <v>22991</v>
      </c>
      <c r="O1757" s="36" t="s">
        <v>22991</v>
      </c>
      <c r="P1757" s="36" t="s">
        <v>22991</v>
      </c>
    </row>
    <row r="1758" spans="1:16" ht="15" customHeight="1">
      <c r="A1758" s="139">
        <v>1757</v>
      </c>
      <c r="B1758" s="36" t="s">
        <v>22993</v>
      </c>
      <c r="C1758" s="36" t="s">
        <v>22994</v>
      </c>
      <c r="D1758" s="36" t="s">
        <v>22995</v>
      </c>
      <c r="E1758" s="36" t="s">
        <v>22996</v>
      </c>
      <c r="F1758" s="36" t="s">
        <v>22997</v>
      </c>
      <c r="G1758" s="36" t="s">
        <v>22998</v>
      </c>
      <c r="H1758" s="36" t="s">
        <v>22999</v>
      </c>
      <c r="I1758" s="36" t="s">
        <v>23000</v>
      </c>
      <c r="J1758" s="36" t="s">
        <v>23001</v>
      </c>
      <c r="K1758" s="36" t="s">
        <v>23002</v>
      </c>
      <c r="L1758" s="36" t="s">
        <v>23003</v>
      </c>
      <c r="M1758" s="36" t="s">
        <v>23004</v>
      </c>
      <c r="N1758" s="36" t="s">
        <v>23003</v>
      </c>
      <c r="O1758" s="36" t="s">
        <v>23005</v>
      </c>
      <c r="P1758" s="36" t="s">
        <v>22993</v>
      </c>
    </row>
    <row r="1759" spans="1:16" ht="15" customHeight="1">
      <c r="A1759" s="139">
        <v>1758</v>
      </c>
      <c r="B1759" s="36" t="s">
        <v>23006</v>
      </c>
      <c r="C1759" s="36" t="s">
        <v>23007</v>
      </c>
      <c r="D1759" s="36" t="s">
        <v>23008</v>
      </c>
      <c r="E1759" s="36" t="s">
        <v>23009</v>
      </c>
      <c r="F1759" s="36" t="s">
        <v>23010</v>
      </c>
      <c r="G1759" s="36" t="s">
        <v>23011</v>
      </c>
      <c r="H1759" s="36" t="s">
        <v>23012</v>
      </c>
      <c r="I1759" s="36" t="s">
        <v>23013</v>
      </c>
      <c r="J1759" s="36" t="s">
        <v>23014</v>
      </c>
      <c r="K1759" s="36" t="s">
        <v>23015</v>
      </c>
      <c r="L1759" s="36" t="s">
        <v>23016</v>
      </c>
      <c r="M1759" s="36" t="s">
        <v>23017</v>
      </c>
      <c r="N1759" s="36" t="s">
        <v>23018</v>
      </c>
      <c r="O1759" s="36" t="s">
        <v>23019</v>
      </c>
      <c r="P1759" s="36" t="s">
        <v>23006</v>
      </c>
    </row>
    <row r="1760" spans="1:16" ht="15" customHeight="1">
      <c r="A1760" s="139">
        <v>1759</v>
      </c>
      <c r="B1760" s="36" t="s">
        <v>23020</v>
      </c>
      <c r="C1760" s="36" t="s">
        <v>23021</v>
      </c>
      <c r="D1760" s="36" t="s">
        <v>23022</v>
      </c>
      <c r="E1760" s="36" t="s">
        <v>23023</v>
      </c>
      <c r="F1760" s="36" t="s">
        <v>23024</v>
      </c>
      <c r="G1760" s="36" t="s">
        <v>23025</v>
      </c>
      <c r="H1760" s="36" t="s">
        <v>23026</v>
      </c>
      <c r="I1760" s="36" t="s">
        <v>23027</v>
      </c>
      <c r="J1760" s="36" t="s">
        <v>23028</v>
      </c>
      <c r="K1760" s="36" t="s">
        <v>23029</v>
      </c>
      <c r="L1760" s="36" t="s">
        <v>23030</v>
      </c>
      <c r="M1760" s="36" t="s">
        <v>23031</v>
      </c>
      <c r="N1760" s="36" t="s">
        <v>23032</v>
      </c>
      <c r="O1760" s="36" t="s">
        <v>23033</v>
      </c>
      <c r="P1760" s="36" t="s">
        <v>23020</v>
      </c>
    </row>
    <row r="1761" spans="1:16" ht="15" customHeight="1">
      <c r="A1761" s="139">
        <v>1760</v>
      </c>
      <c r="B1761" s="36" t="s">
        <v>23034</v>
      </c>
      <c r="C1761" s="36" t="s">
        <v>23035</v>
      </c>
      <c r="D1761" s="36" t="s">
        <v>23036</v>
      </c>
      <c r="E1761" s="36" t="s">
        <v>23037</v>
      </c>
      <c r="F1761" s="36" t="s">
        <v>23038</v>
      </c>
      <c r="G1761" s="36" t="s">
        <v>23039</v>
      </c>
      <c r="H1761" s="36" t="s">
        <v>23040</v>
      </c>
      <c r="I1761" s="36" t="s">
        <v>23041</v>
      </c>
      <c r="J1761" s="36" t="s">
        <v>23042</v>
      </c>
      <c r="K1761" s="36" t="s">
        <v>23043</v>
      </c>
      <c r="L1761" s="36" t="s">
        <v>23044</v>
      </c>
      <c r="M1761" s="36" t="s">
        <v>23045</v>
      </c>
      <c r="N1761" s="36" t="s">
        <v>23046</v>
      </c>
      <c r="O1761" s="36" t="s">
        <v>23047</v>
      </c>
      <c r="P1761" s="36" t="s">
        <v>23034</v>
      </c>
    </row>
    <row r="1762" spans="1:16" ht="15" customHeight="1">
      <c r="A1762" s="139">
        <v>1761</v>
      </c>
      <c r="B1762" s="36" t="s">
        <v>23048</v>
      </c>
      <c r="C1762" s="36" t="s">
        <v>23049</v>
      </c>
      <c r="D1762" s="36" t="s">
        <v>23050</v>
      </c>
      <c r="E1762" s="36" t="s">
        <v>23051</v>
      </c>
      <c r="F1762" s="36" t="s">
        <v>23052</v>
      </c>
      <c r="G1762" s="36" t="s">
        <v>23053</v>
      </c>
      <c r="H1762" s="36" t="s">
        <v>23054</v>
      </c>
      <c r="I1762" s="36" t="s">
        <v>23055</v>
      </c>
      <c r="J1762" s="36" t="s">
        <v>23056</v>
      </c>
      <c r="K1762" s="36" t="s">
        <v>23057</v>
      </c>
      <c r="L1762" s="36" t="s">
        <v>23058</v>
      </c>
      <c r="M1762" s="36" t="s">
        <v>23059</v>
      </c>
      <c r="N1762" s="36" t="s">
        <v>23060</v>
      </c>
      <c r="O1762" s="36" t="s">
        <v>23061</v>
      </c>
      <c r="P1762" s="36" t="s">
        <v>23048</v>
      </c>
    </row>
    <row r="1763" spans="1:16" ht="15" customHeight="1">
      <c r="A1763" s="139">
        <v>1762</v>
      </c>
      <c r="B1763" s="36" t="s">
        <v>23062</v>
      </c>
      <c r="C1763" s="36" t="s">
        <v>23063</v>
      </c>
      <c r="D1763" s="36" t="s">
        <v>23064</v>
      </c>
      <c r="E1763" s="36" t="s">
        <v>23065</v>
      </c>
      <c r="F1763" s="36" t="s">
        <v>23066</v>
      </c>
      <c r="G1763" s="36" t="s">
        <v>23067</v>
      </c>
      <c r="H1763" s="36" t="s">
        <v>23068</v>
      </c>
      <c r="I1763" s="36" t="s">
        <v>23069</v>
      </c>
      <c r="J1763" s="36" t="s">
        <v>23070</v>
      </c>
      <c r="K1763" s="36" t="s">
        <v>23071</v>
      </c>
      <c r="L1763" s="36" t="s">
        <v>23072</v>
      </c>
      <c r="M1763" s="36" t="s">
        <v>23073</v>
      </c>
      <c r="N1763" s="36" t="s">
        <v>23074</v>
      </c>
      <c r="O1763" s="36" t="s">
        <v>23075</v>
      </c>
      <c r="P1763" s="36" t="s">
        <v>23062</v>
      </c>
    </row>
    <row r="1764" spans="1:16" ht="15" customHeight="1">
      <c r="A1764" s="139">
        <v>1763</v>
      </c>
      <c r="B1764" s="36" t="s">
        <v>23076</v>
      </c>
      <c r="C1764" s="36" t="s">
        <v>23077</v>
      </c>
      <c r="D1764" s="36" t="s">
        <v>23078</v>
      </c>
      <c r="E1764" s="36" t="s">
        <v>23079</v>
      </c>
      <c r="F1764" s="36" t="s">
        <v>23080</v>
      </c>
      <c r="G1764" s="36" t="s">
        <v>23081</v>
      </c>
      <c r="H1764" s="36" t="s">
        <v>23082</v>
      </c>
      <c r="I1764" s="36" t="s">
        <v>23083</v>
      </c>
      <c r="J1764" s="36" t="s">
        <v>23084</v>
      </c>
      <c r="K1764" s="36" t="s">
        <v>23085</v>
      </c>
      <c r="L1764" s="36" t="s">
        <v>23086</v>
      </c>
      <c r="M1764" s="36" t="s">
        <v>23087</v>
      </c>
      <c r="N1764" s="36" t="s">
        <v>23088</v>
      </c>
      <c r="O1764" s="36" t="s">
        <v>23089</v>
      </c>
      <c r="P1764" s="36" t="s">
        <v>23076</v>
      </c>
    </row>
    <row r="1765" spans="1:16" ht="15" customHeight="1">
      <c r="A1765" s="139">
        <v>1764</v>
      </c>
      <c r="B1765" s="36" t="s">
        <v>23090</v>
      </c>
      <c r="C1765" s="36" t="s">
        <v>23091</v>
      </c>
      <c r="D1765" s="36" t="s">
        <v>23092</v>
      </c>
      <c r="E1765" s="36" t="s">
        <v>23093</v>
      </c>
      <c r="F1765" s="36" t="s">
        <v>23094</v>
      </c>
      <c r="G1765" s="36" t="s">
        <v>23095</v>
      </c>
      <c r="H1765" s="36" t="s">
        <v>23096</v>
      </c>
      <c r="I1765" s="36" t="s">
        <v>23097</v>
      </c>
      <c r="J1765" s="36" t="s">
        <v>23098</v>
      </c>
      <c r="K1765" s="36" t="s">
        <v>23099</v>
      </c>
      <c r="L1765" s="36" t="s">
        <v>23100</v>
      </c>
      <c r="M1765" s="36" t="s">
        <v>23101</v>
      </c>
      <c r="N1765" s="36" t="s">
        <v>23102</v>
      </c>
      <c r="O1765" s="36" t="s">
        <v>23103</v>
      </c>
      <c r="P1765" s="36" t="s">
        <v>23090</v>
      </c>
    </row>
    <row r="1766" spans="1:16" ht="15" customHeight="1">
      <c r="A1766" s="139">
        <v>1765</v>
      </c>
      <c r="B1766" s="36" t="s">
        <v>23104</v>
      </c>
      <c r="C1766" s="36" t="s">
        <v>23105</v>
      </c>
      <c r="D1766" s="36" t="s">
        <v>23106</v>
      </c>
      <c r="E1766" s="36" t="s">
        <v>23107</v>
      </c>
      <c r="F1766" s="36" t="s">
        <v>23108</v>
      </c>
      <c r="G1766" s="36" t="s">
        <v>23109</v>
      </c>
      <c r="H1766" s="36" t="s">
        <v>23110</v>
      </c>
      <c r="I1766" s="36" t="s">
        <v>23111</v>
      </c>
      <c r="J1766" s="36" t="s">
        <v>23112</v>
      </c>
      <c r="K1766" s="36" t="s">
        <v>23113</v>
      </c>
      <c r="L1766" s="36" t="s">
        <v>23114</v>
      </c>
      <c r="M1766" s="36" t="s">
        <v>23115</v>
      </c>
      <c r="N1766" s="36" t="s">
        <v>23116</v>
      </c>
      <c r="O1766" s="36" t="s">
        <v>23117</v>
      </c>
      <c r="P1766" s="36" t="s">
        <v>23104</v>
      </c>
    </row>
    <row r="1767" spans="1:16" ht="15" customHeight="1">
      <c r="A1767" s="139">
        <v>1766</v>
      </c>
      <c r="B1767" s="36" t="s">
        <v>23118</v>
      </c>
      <c r="C1767" s="36" t="s">
        <v>23119</v>
      </c>
      <c r="D1767" s="36" t="s">
        <v>23120</v>
      </c>
      <c r="E1767" s="36" t="s">
        <v>23121</v>
      </c>
      <c r="F1767" s="36" t="s">
        <v>23122</v>
      </c>
      <c r="G1767" s="36" t="s">
        <v>23123</v>
      </c>
      <c r="H1767" s="36" t="s">
        <v>23124</v>
      </c>
      <c r="I1767" s="36" t="s">
        <v>23125</v>
      </c>
      <c r="J1767" s="36" t="s">
        <v>23126</v>
      </c>
      <c r="K1767" s="36" t="s">
        <v>23127</v>
      </c>
      <c r="L1767" s="36" t="s">
        <v>23128</v>
      </c>
      <c r="M1767" s="36" t="s">
        <v>23129</v>
      </c>
      <c r="N1767" s="36" t="s">
        <v>23130</v>
      </c>
      <c r="O1767" s="36" t="s">
        <v>23131</v>
      </c>
      <c r="P1767" s="36" t="s">
        <v>23118</v>
      </c>
    </row>
    <row r="1768" spans="1:16" ht="15" customHeight="1">
      <c r="A1768" s="139">
        <v>1767</v>
      </c>
      <c r="B1768" s="36" t="s">
        <v>23132</v>
      </c>
      <c r="C1768" s="36" t="s">
        <v>23133</v>
      </c>
      <c r="D1768" s="36" t="s">
        <v>23132</v>
      </c>
      <c r="E1768" s="36" t="s">
        <v>23134</v>
      </c>
      <c r="F1768" s="36" t="s">
        <v>23132</v>
      </c>
      <c r="G1768" s="36" t="s">
        <v>23135</v>
      </c>
      <c r="H1768" s="36" t="s">
        <v>23136</v>
      </c>
      <c r="I1768" s="36" t="s">
        <v>23132</v>
      </c>
      <c r="J1768" s="36" t="s">
        <v>23132</v>
      </c>
      <c r="K1768" s="36" t="s">
        <v>23132</v>
      </c>
      <c r="L1768" s="36" t="s">
        <v>23132</v>
      </c>
      <c r="M1768" s="36" t="s">
        <v>23132</v>
      </c>
      <c r="N1768" s="36" t="s">
        <v>23132</v>
      </c>
      <c r="O1768" s="36" t="s">
        <v>23132</v>
      </c>
      <c r="P1768" s="36" t="s">
        <v>23132</v>
      </c>
    </row>
    <row r="1769" spans="1:16" ht="15" customHeight="1">
      <c r="A1769" s="139">
        <v>1768</v>
      </c>
      <c r="B1769" s="36" t="s">
        <v>23137</v>
      </c>
      <c r="C1769" s="36" t="s">
        <v>23138</v>
      </c>
      <c r="D1769" s="36" t="s">
        <v>23139</v>
      </c>
      <c r="E1769" s="36" t="s">
        <v>23140</v>
      </c>
      <c r="F1769" s="36" t="s">
        <v>23141</v>
      </c>
      <c r="G1769" s="36" t="s">
        <v>23142</v>
      </c>
      <c r="H1769" s="36" t="s">
        <v>23143</v>
      </c>
      <c r="I1769" s="36" t="s">
        <v>23144</v>
      </c>
      <c r="J1769" s="36" t="s">
        <v>23145</v>
      </c>
      <c r="K1769" s="36" t="s">
        <v>23146</v>
      </c>
      <c r="L1769" s="36" t="s">
        <v>23147</v>
      </c>
      <c r="M1769" s="36" t="s">
        <v>23148</v>
      </c>
      <c r="N1769" s="36" t="s">
        <v>23149</v>
      </c>
      <c r="O1769" s="36" t="s">
        <v>23150</v>
      </c>
      <c r="P1769" s="36" t="s">
        <v>23137</v>
      </c>
    </row>
    <row r="1770" spans="1:16" ht="15" customHeight="1">
      <c r="A1770" s="139">
        <v>1769</v>
      </c>
      <c r="B1770" s="36" t="s">
        <v>23151</v>
      </c>
      <c r="C1770" s="36" t="s">
        <v>23152</v>
      </c>
      <c r="D1770" s="36" t="s">
        <v>23153</v>
      </c>
      <c r="E1770" s="36" t="s">
        <v>23154</v>
      </c>
      <c r="F1770" s="36" t="s">
        <v>23155</v>
      </c>
      <c r="G1770" s="36" t="s">
        <v>23156</v>
      </c>
      <c r="H1770" s="36" t="s">
        <v>23157</v>
      </c>
      <c r="I1770" s="36" t="s">
        <v>23158</v>
      </c>
      <c r="J1770" s="36" t="s">
        <v>23159</v>
      </c>
      <c r="K1770" s="36" t="s">
        <v>23160</v>
      </c>
      <c r="L1770" s="36" t="s">
        <v>23161</v>
      </c>
      <c r="M1770" s="36" t="s">
        <v>23162</v>
      </c>
      <c r="N1770" s="36" t="s">
        <v>23163</v>
      </c>
      <c r="O1770" s="36" t="s">
        <v>23164</v>
      </c>
      <c r="P1770" s="36" t="s">
        <v>23151</v>
      </c>
    </row>
    <row r="1771" spans="1:16" ht="15" customHeight="1">
      <c r="A1771" s="139">
        <v>1770</v>
      </c>
      <c r="B1771" s="36" t="s">
        <v>23165</v>
      </c>
      <c r="C1771" s="36" t="s">
        <v>23166</v>
      </c>
      <c r="D1771" s="36" t="s">
        <v>23167</v>
      </c>
      <c r="E1771" s="36" t="s">
        <v>23168</v>
      </c>
      <c r="F1771" s="36" t="s">
        <v>23169</v>
      </c>
      <c r="G1771" s="36" t="s">
        <v>23170</v>
      </c>
      <c r="H1771" s="36" t="s">
        <v>23171</v>
      </c>
      <c r="I1771" s="36" t="s">
        <v>23172</v>
      </c>
      <c r="J1771" s="36" t="s">
        <v>23173</v>
      </c>
      <c r="K1771" s="36" t="s">
        <v>23174</v>
      </c>
      <c r="L1771" s="36" t="s">
        <v>23175</v>
      </c>
      <c r="M1771" s="36" t="s">
        <v>23176</v>
      </c>
      <c r="N1771" s="36" t="s">
        <v>23176</v>
      </c>
      <c r="O1771" s="36" t="s">
        <v>23177</v>
      </c>
      <c r="P1771" s="36" t="s">
        <v>23165</v>
      </c>
    </row>
    <row r="1772" spans="1:16" ht="15" customHeight="1">
      <c r="A1772" s="139">
        <v>1771</v>
      </c>
      <c r="B1772" s="36" t="s">
        <v>23178</v>
      </c>
      <c r="C1772" s="36" t="s">
        <v>23179</v>
      </c>
      <c r="D1772" s="36" t="s">
        <v>23180</v>
      </c>
      <c r="E1772" s="36" t="s">
        <v>23181</v>
      </c>
      <c r="F1772" s="36" t="s">
        <v>23182</v>
      </c>
      <c r="G1772" s="36" t="s">
        <v>23183</v>
      </c>
      <c r="H1772" s="36" t="s">
        <v>23184</v>
      </c>
      <c r="I1772" s="36" t="s">
        <v>23185</v>
      </c>
      <c r="J1772" s="36" t="s">
        <v>23186</v>
      </c>
      <c r="K1772" s="36" t="s">
        <v>23178</v>
      </c>
      <c r="L1772" s="36" t="s">
        <v>23178</v>
      </c>
      <c r="M1772" s="36" t="s">
        <v>23178</v>
      </c>
      <c r="N1772" s="36" t="s">
        <v>23178</v>
      </c>
      <c r="O1772" s="36" t="s">
        <v>23178</v>
      </c>
      <c r="P1772" s="36" t="s">
        <v>23178</v>
      </c>
    </row>
    <row r="1773" spans="1:16" ht="15" customHeight="1">
      <c r="A1773" s="139">
        <v>1772</v>
      </c>
      <c r="B1773" s="36" t="s">
        <v>23187</v>
      </c>
      <c r="C1773" s="36" t="s">
        <v>23188</v>
      </c>
      <c r="D1773" s="36" t="s">
        <v>23189</v>
      </c>
      <c r="E1773" s="36" t="s">
        <v>23190</v>
      </c>
      <c r="F1773" s="36" t="s">
        <v>23191</v>
      </c>
      <c r="G1773" s="36" t="s">
        <v>23192</v>
      </c>
      <c r="H1773" s="36" t="s">
        <v>23193</v>
      </c>
      <c r="I1773" s="36" t="s">
        <v>23194</v>
      </c>
      <c r="J1773" s="36" t="s">
        <v>23195</v>
      </c>
      <c r="K1773" s="36" t="s">
        <v>23196</v>
      </c>
      <c r="L1773" s="36" t="s">
        <v>23197</v>
      </c>
      <c r="M1773" s="36" t="s">
        <v>23198</v>
      </c>
      <c r="N1773" s="36" t="s">
        <v>23199</v>
      </c>
      <c r="O1773" s="36" t="s">
        <v>23200</v>
      </c>
      <c r="P1773" s="36" t="s">
        <v>23187</v>
      </c>
    </row>
    <row r="1774" spans="1:16" ht="15" customHeight="1">
      <c r="A1774" s="139">
        <v>1773</v>
      </c>
      <c r="B1774" s="36" t="s">
        <v>23201</v>
      </c>
      <c r="C1774" s="36" t="s">
        <v>23202</v>
      </c>
      <c r="D1774" s="36" t="s">
        <v>23203</v>
      </c>
      <c r="E1774" s="36" t="s">
        <v>23204</v>
      </c>
      <c r="F1774" s="36" t="s">
        <v>23205</v>
      </c>
      <c r="G1774" s="36" t="s">
        <v>23206</v>
      </c>
      <c r="H1774" s="36" t="s">
        <v>23207</v>
      </c>
      <c r="I1774" s="36" t="s">
        <v>23208</v>
      </c>
      <c r="J1774" s="36" t="s">
        <v>23209</v>
      </c>
      <c r="K1774" s="36" t="s">
        <v>23210</v>
      </c>
      <c r="L1774" s="36" t="s">
        <v>23211</v>
      </c>
      <c r="M1774" s="36" t="s">
        <v>23212</v>
      </c>
      <c r="N1774" s="36" t="s">
        <v>23213</v>
      </c>
      <c r="O1774" s="36" t="s">
        <v>23214</v>
      </c>
      <c r="P1774" s="36" t="s">
        <v>23201</v>
      </c>
    </row>
    <row r="1775" spans="1:16" ht="15" customHeight="1">
      <c r="A1775" s="139">
        <v>1774</v>
      </c>
      <c r="B1775" s="36" t="s">
        <v>23215</v>
      </c>
      <c r="C1775" s="36" t="s">
        <v>23216</v>
      </c>
      <c r="D1775" s="36" t="s">
        <v>23217</v>
      </c>
      <c r="E1775" s="36" t="s">
        <v>23218</v>
      </c>
      <c r="F1775" s="36" t="s">
        <v>23219</v>
      </c>
      <c r="G1775" s="36" t="s">
        <v>23220</v>
      </c>
      <c r="H1775" s="36" t="s">
        <v>23221</v>
      </c>
      <c r="I1775" s="36" t="s">
        <v>23222</v>
      </c>
      <c r="J1775" s="36" t="s">
        <v>23223</v>
      </c>
      <c r="K1775" s="36" t="s">
        <v>23224</v>
      </c>
      <c r="L1775" s="36" t="s">
        <v>23225</v>
      </c>
      <c r="M1775" s="36" t="s">
        <v>23226</v>
      </c>
      <c r="N1775" s="36" t="s">
        <v>23227</v>
      </c>
      <c r="O1775" s="36" t="s">
        <v>23228</v>
      </c>
      <c r="P1775" s="36" t="s">
        <v>23215</v>
      </c>
    </row>
    <row r="1776" spans="1:16" ht="15" customHeight="1">
      <c r="A1776" s="139">
        <v>1775</v>
      </c>
      <c r="B1776" s="36" t="s">
        <v>23229</v>
      </c>
      <c r="C1776" s="36" t="s">
        <v>23230</v>
      </c>
      <c r="D1776" s="36" t="s">
        <v>23231</v>
      </c>
      <c r="E1776" s="36" t="s">
        <v>23232</v>
      </c>
      <c r="F1776" s="36" t="s">
        <v>23233</v>
      </c>
      <c r="G1776" s="36" t="s">
        <v>23234</v>
      </c>
      <c r="H1776" s="36" t="s">
        <v>23235</v>
      </c>
      <c r="I1776" s="36" t="s">
        <v>23233</v>
      </c>
      <c r="J1776" s="36" t="s">
        <v>23236</v>
      </c>
      <c r="K1776" s="36" t="s">
        <v>23237</v>
      </c>
      <c r="L1776" s="36" t="s">
        <v>23238</v>
      </c>
      <c r="M1776" s="36" t="s">
        <v>23239</v>
      </c>
      <c r="N1776" s="36" t="s">
        <v>23240</v>
      </c>
      <c r="O1776" s="36" t="s">
        <v>23241</v>
      </c>
      <c r="P1776" s="36" t="s">
        <v>23229</v>
      </c>
    </row>
    <row r="1777" spans="1:16" ht="15" customHeight="1">
      <c r="A1777" s="139">
        <v>1776</v>
      </c>
      <c r="B1777" s="36" t="s">
        <v>23242</v>
      </c>
      <c r="C1777" s="36" t="s">
        <v>23243</v>
      </c>
      <c r="D1777" s="36" t="s">
        <v>23244</v>
      </c>
      <c r="E1777" s="36" t="s">
        <v>23245</v>
      </c>
      <c r="F1777" s="36" t="s">
        <v>23246</v>
      </c>
      <c r="G1777" s="36" t="s">
        <v>23247</v>
      </c>
      <c r="H1777" s="36" t="s">
        <v>23248</v>
      </c>
      <c r="I1777" s="36" t="s">
        <v>23249</v>
      </c>
      <c r="J1777" s="36" t="s">
        <v>23250</v>
      </c>
      <c r="K1777" s="36" t="s">
        <v>23251</v>
      </c>
      <c r="L1777" s="36" t="s">
        <v>23252</v>
      </c>
      <c r="M1777" s="36" t="s">
        <v>23253</v>
      </c>
      <c r="N1777" s="36" t="s">
        <v>23254</v>
      </c>
      <c r="O1777" s="36" t="s">
        <v>23255</v>
      </c>
      <c r="P1777" s="36" t="s">
        <v>23256</v>
      </c>
    </row>
    <row r="1778" spans="1:16" ht="15" customHeight="1">
      <c r="A1778" s="139">
        <v>1777</v>
      </c>
      <c r="B1778" s="36" t="s">
        <v>23257</v>
      </c>
      <c r="C1778" s="36" t="s">
        <v>23257</v>
      </c>
      <c r="D1778" s="36" t="s">
        <v>23257</v>
      </c>
      <c r="E1778" s="36" t="s">
        <v>23257</v>
      </c>
      <c r="F1778" s="36" t="s">
        <v>23257</v>
      </c>
      <c r="G1778" s="36" t="s">
        <v>23257</v>
      </c>
      <c r="H1778" s="36" t="s">
        <v>23257</v>
      </c>
      <c r="I1778" s="36" t="s">
        <v>23257</v>
      </c>
      <c r="J1778" s="36" t="s">
        <v>23257</v>
      </c>
      <c r="K1778" s="36" t="s">
        <v>23257</v>
      </c>
      <c r="L1778" s="36" t="s">
        <v>23257</v>
      </c>
      <c r="M1778" s="36" t="s">
        <v>23257</v>
      </c>
      <c r="N1778" s="36" t="s">
        <v>23257</v>
      </c>
      <c r="O1778" s="36" t="s">
        <v>23257</v>
      </c>
      <c r="P1778" s="36" t="s">
        <v>23257</v>
      </c>
    </row>
    <row r="1779" spans="1:16" ht="15" customHeight="1">
      <c r="A1779" s="139">
        <v>1778</v>
      </c>
      <c r="B1779" s="36" t="s">
        <v>23258</v>
      </c>
      <c r="C1779" s="36" t="s">
        <v>23259</v>
      </c>
      <c r="D1779" s="36" t="s">
        <v>23260</v>
      </c>
      <c r="E1779" s="36" t="s">
        <v>23261</v>
      </c>
      <c r="F1779" s="36" t="s">
        <v>23262</v>
      </c>
      <c r="G1779" s="36" t="s">
        <v>23263</v>
      </c>
      <c r="H1779" s="36" t="s">
        <v>23264</v>
      </c>
      <c r="I1779" s="36" t="s">
        <v>23265</v>
      </c>
      <c r="J1779" s="36" t="s">
        <v>23266</v>
      </c>
      <c r="K1779" s="36" t="s">
        <v>23267</v>
      </c>
      <c r="L1779" s="36" t="s">
        <v>23268</v>
      </c>
      <c r="M1779" s="36" t="s">
        <v>23269</v>
      </c>
      <c r="N1779" s="36" t="s">
        <v>23270</v>
      </c>
      <c r="O1779" s="36" t="s">
        <v>23271</v>
      </c>
      <c r="P1779" s="36" t="s">
        <v>23258</v>
      </c>
    </row>
    <row r="1780" spans="1:16" ht="15" customHeight="1">
      <c r="A1780" s="139">
        <v>1779</v>
      </c>
      <c r="B1780" s="36" t="s">
        <v>23272</v>
      </c>
      <c r="C1780" s="36" t="s">
        <v>23273</v>
      </c>
      <c r="D1780" s="36" t="s">
        <v>23274</v>
      </c>
      <c r="E1780" s="36" t="s">
        <v>23275</v>
      </c>
      <c r="F1780" s="36" t="s">
        <v>23276</v>
      </c>
      <c r="G1780" s="36" t="s">
        <v>23277</v>
      </c>
      <c r="H1780" s="36" t="s">
        <v>23278</v>
      </c>
      <c r="I1780" s="36" t="s">
        <v>23279</v>
      </c>
      <c r="J1780" s="36" t="s">
        <v>23280</v>
      </c>
      <c r="K1780" s="36" t="s">
        <v>23281</v>
      </c>
      <c r="L1780" s="36" t="s">
        <v>23282</v>
      </c>
      <c r="M1780" s="36" t="s">
        <v>23283</v>
      </c>
      <c r="N1780" s="36" t="s">
        <v>23284</v>
      </c>
      <c r="O1780" s="36" t="s">
        <v>23285</v>
      </c>
      <c r="P1780" s="36" t="s">
        <v>23286</v>
      </c>
    </row>
    <row r="1781" spans="1:16" ht="15" customHeight="1">
      <c r="A1781" s="139">
        <v>1780</v>
      </c>
      <c r="B1781" s="36" t="s">
        <v>23287</v>
      </c>
      <c r="C1781" s="36" t="s">
        <v>23288</v>
      </c>
      <c r="D1781" s="36" t="s">
        <v>23289</v>
      </c>
      <c r="E1781" s="36" t="s">
        <v>23290</v>
      </c>
      <c r="F1781" s="36" t="s">
        <v>23291</v>
      </c>
      <c r="G1781" s="36" t="s">
        <v>23292</v>
      </c>
      <c r="H1781" s="36" t="s">
        <v>23293</v>
      </c>
      <c r="I1781" s="36" t="s">
        <v>23294</v>
      </c>
      <c r="J1781" s="36" t="s">
        <v>23295</v>
      </c>
      <c r="K1781" s="36" t="s">
        <v>23296</v>
      </c>
      <c r="L1781" s="36" t="s">
        <v>23297</v>
      </c>
      <c r="M1781" s="36" t="s">
        <v>23298</v>
      </c>
      <c r="N1781" s="36" t="s">
        <v>23299</v>
      </c>
      <c r="O1781" s="36" t="s">
        <v>23300</v>
      </c>
      <c r="P1781" s="36" t="s">
        <v>23301</v>
      </c>
    </row>
    <row r="1782" spans="1:16" ht="15" customHeight="1">
      <c r="A1782" s="139">
        <v>1781</v>
      </c>
      <c r="B1782" s="36" t="s">
        <v>23302</v>
      </c>
      <c r="C1782" s="36" t="s">
        <v>23303</v>
      </c>
      <c r="D1782" s="36" t="s">
        <v>23304</v>
      </c>
      <c r="E1782" s="36" t="s">
        <v>23305</v>
      </c>
      <c r="F1782" s="36" t="s">
        <v>23306</v>
      </c>
      <c r="G1782" s="36" t="s">
        <v>23307</v>
      </c>
      <c r="H1782" s="36" t="s">
        <v>23308</v>
      </c>
      <c r="I1782" s="36" t="s">
        <v>23309</v>
      </c>
      <c r="J1782" s="36" t="s">
        <v>23310</v>
      </c>
      <c r="K1782" s="36" t="s">
        <v>23311</v>
      </c>
      <c r="L1782" s="36" t="s">
        <v>23312</v>
      </c>
      <c r="M1782" s="36" t="s">
        <v>23313</v>
      </c>
      <c r="N1782" s="36" t="s">
        <v>23314</v>
      </c>
      <c r="O1782" s="36" t="s">
        <v>23315</v>
      </c>
      <c r="P1782" s="36" t="s">
        <v>23316</v>
      </c>
    </row>
    <row r="1783" spans="1:16" ht="15" customHeight="1">
      <c r="A1783" s="139">
        <v>1782</v>
      </c>
      <c r="B1783" s="36" t="s">
        <v>23317</v>
      </c>
      <c r="C1783" s="36" t="s">
        <v>23318</v>
      </c>
      <c r="D1783" s="36" t="s">
        <v>23319</v>
      </c>
      <c r="E1783" s="36" t="s">
        <v>23320</v>
      </c>
      <c r="F1783" s="36" t="s">
        <v>23306</v>
      </c>
      <c r="G1783" s="36" t="s">
        <v>23321</v>
      </c>
      <c r="H1783" s="36" t="s">
        <v>23322</v>
      </c>
      <c r="I1783" s="36" t="s">
        <v>23323</v>
      </c>
      <c r="J1783" s="36" t="s">
        <v>23324</v>
      </c>
      <c r="K1783" s="36" t="s">
        <v>23325</v>
      </c>
      <c r="L1783" s="36" t="s">
        <v>23326</v>
      </c>
      <c r="M1783" s="36" t="s">
        <v>23327</v>
      </c>
      <c r="N1783" s="36" t="s">
        <v>23328</v>
      </c>
      <c r="O1783" s="36" t="s">
        <v>23329</v>
      </c>
      <c r="P1783" s="36" t="s">
        <v>23330</v>
      </c>
    </row>
    <row r="1784" spans="1:16" ht="15" customHeight="1">
      <c r="A1784" s="139">
        <v>1783</v>
      </c>
      <c r="B1784" s="36" t="s">
        <v>23331</v>
      </c>
      <c r="C1784" s="36" t="s">
        <v>23332</v>
      </c>
      <c r="D1784" s="36" t="s">
        <v>23333</v>
      </c>
      <c r="E1784" s="36" t="s">
        <v>23334</v>
      </c>
      <c r="F1784" s="36" t="s">
        <v>23335</v>
      </c>
      <c r="G1784" s="36" t="s">
        <v>23336</v>
      </c>
      <c r="H1784" s="36" t="s">
        <v>23337</v>
      </c>
      <c r="I1784" s="36" t="s">
        <v>23338</v>
      </c>
      <c r="J1784" s="36" t="s">
        <v>23339</v>
      </c>
      <c r="K1784" s="36" t="s">
        <v>23340</v>
      </c>
      <c r="L1784" s="36" t="s">
        <v>23341</v>
      </c>
      <c r="M1784" s="36" t="s">
        <v>23342</v>
      </c>
      <c r="N1784" s="36" t="s">
        <v>23343</v>
      </c>
      <c r="O1784" s="36" t="s">
        <v>23344</v>
      </c>
      <c r="P1784" s="36" t="s">
        <v>23345</v>
      </c>
    </row>
    <row r="1785" spans="1:16" ht="15" customHeight="1">
      <c r="A1785" s="139">
        <v>1784</v>
      </c>
      <c r="B1785" s="36" t="s">
        <v>23346</v>
      </c>
      <c r="C1785" s="36" t="s">
        <v>23347</v>
      </c>
      <c r="D1785" s="36" t="s">
        <v>23348</v>
      </c>
      <c r="E1785" s="36" t="s">
        <v>23349</v>
      </c>
      <c r="F1785" s="36" t="s">
        <v>23350</v>
      </c>
      <c r="G1785" s="36" t="s">
        <v>23351</v>
      </c>
      <c r="H1785" s="36" t="s">
        <v>23352</v>
      </c>
      <c r="I1785" s="36" t="s">
        <v>23353</v>
      </c>
      <c r="J1785" s="36" t="s">
        <v>23354</v>
      </c>
      <c r="K1785" s="36" t="s">
        <v>23355</v>
      </c>
      <c r="L1785" s="36" t="s">
        <v>23356</v>
      </c>
      <c r="M1785" s="36" t="s">
        <v>23357</v>
      </c>
      <c r="N1785" s="36" t="s">
        <v>23358</v>
      </c>
      <c r="O1785" s="36" t="s">
        <v>23359</v>
      </c>
      <c r="P1785" s="36" t="s">
        <v>23360</v>
      </c>
    </row>
    <row r="1786" spans="1:16" ht="15" customHeight="1">
      <c r="A1786" s="139">
        <v>1785</v>
      </c>
      <c r="B1786" s="36" t="s">
        <v>23361</v>
      </c>
      <c r="C1786" s="36" t="s">
        <v>23362</v>
      </c>
      <c r="D1786" s="36" t="s">
        <v>23363</v>
      </c>
      <c r="E1786" s="36" t="s">
        <v>23364</v>
      </c>
      <c r="F1786" s="36" t="s">
        <v>23365</v>
      </c>
      <c r="G1786" s="36" t="s">
        <v>23366</v>
      </c>
      <c r="H1786" s="36" t="s">
        <v>23367</v>
      </c>
      <c r="I1786" s="36" t="s">
        <v>23368</v>
      </c>
      <c r="J1786" s="36" t="s">
        <v>23369</v>
      </c>
      <c r="K1786" s="36" t="s">
        <v>23370</v>
      </c>
      <c r="L1786" s="36" t="s">
        <v>23371</v>
      </c>
      <c r="M1786" s="36" t="s">
        <v>23372</v>
      </c>
      <c r="N1786" s="36" t="s">
        <v>23373</v>
      </c>
      <c r="O1786" s="36" t="s">
        <v>23374</v>
      </c>
      <c r="P1786" s="36" t="s">
        <v>23375</v>
      </c>
    </row>
    <row r="1787" spans="1:16" ht="15" customHeight="1">
      <c r="A1787" s="139">
        <v>1786</v>
      </c>
      <c r="B1787" s="36" t="s">
        <v>30</v>
      </c>
      <c r="C1787" s="36" t="s">
        <v>30</v>
      </c>
      <c r="D1787" s="36" t="s">
        <v>23376</v>
      </c>
      <c r="E1787" s="36" t="s">
        <v>30</v>
      </c>
      <c r="F1787" s="36" t="s">
        <v>23377</v>
      </c>
      <c r="G1787" s="36" t="s">
        <v>30</v>
      </c>
      <c r="H1787" s="36" t="s">
        <v>23378</v>
      </c>
      <c r="I1787" s="36" t="s">
        <v>30</v>
      </c>
      <c r="J1787" s="36" t="s">
        <v>30</v>
      </c>
      <c r="K1787" s="36" t="s">
        <v>30</v>
      </c>
      <c r="L1787" s="36" t="s">
        <v>30</v>
      </c>
      <c r="M1787" s="36" t="s">
        <v>30</v>
      </c>
      <c r="N1787" s="36" t="s">
        <v>30</v>
      </c>
      <c r="O1787" s="36" t="s">
        <v>30</v>
      </c>
      <c r="P1787" s="36" t="s">
        <v>30</v>
      </c>
    </row>
    <row r="1788" spans="1:16" ht="15" customHeight="1">
      <c r="A1788" s="139">
        <v>1787</v>
      </c>
      <c r="B1788" s="36" t="s">
        <v>23379</v>
      </c>
      <c r="C1788" s="36" t="s">
        <v>23380</v>
      </c>
      <c r="D1788" s="36" t="s">
        <v>23381</v>
      </c>
      <c r="E1788" s="36" t="s">
        <v>23382</v>
      </c>
      <c r="F1788" s="36" t="s">
        <v>23383</v>
      </c>
      <c r="G1788" s="36" t="s">
        <v>23384</v>
      </c>
      <c r="H1788" s="36" t="s">
        <v>23385</v>
      </c>
      <c r="I1788" s="36" t="s">
        <v>23386</v>
      </c>
      <c r="J1788" s="36" t="s">
        <v>23387</v>
      </c>
      <c r="K1788" s="36" t="s">
        <v>23388</v>
      </c>
      <c r="L1788" s="36" t="s">
        <v>23389</v>
      </c>
      <c r="M1788" s="36" t="s">
        <v>23390</v>
      </c>
      <c r="N1788" s="36" t="s">
        <v>23391</v>
      </c>
      <c r="O1788" s="36" t="s">
        <v>23392</v>
      </c>
      <c r="P1788" s="36" t="s">
        <v>23379</v>
      </c>
    </row>
    <row r="1789" spans="1:16" ht="15" customHeight="1">
      <c r="A1789" s="139">
        <v>1788</v>
      </c>
      <c r="B1789" s="36" t="s">
        <v>23393</v>
      </c>
      <c r="C1789" s="36" t="s">
        <v>23394</v>
      </c>
      <c r="D1789" s="36" t="s">
        <v>23395</v>
      </c>
      <c r="E1789" s="36" t="s">
        <v>23396</v>
      </c>
      <c r="F1789" s="36" t="s">
        <v>23397</v>
      </c>
      <c r="G1789" s="36" t="s">
        <v>23398</v>
      </c>
      <c r="H1789" s="36" t="s">
        <v>23399</v>
      </c>
      <c r="I1789" s="36" t="s">
        <v>23400</v>
      </c>
      <c r="J1789" s="36" t="s">
        <v>23401</v>
      </c>
      <c r="K1789" s="36" t="s">
        <v>23402</v>
      </c>
      <c r="L1789" s="36" t="s">
        <v>23403</v>
      </c>
      <c r="M1789" s="36" t="s">
        <v>23404</v>
      </c>
      <c r="N1789" s="36" t="s">
        <v>23405</v>
      </c>
      <c r="O1789" s="36" t="s">
        <v>23406</v>
      </c>
      <c r="P1789" s="36" t="s">
        <v>23393</v>
      </c>
    </row>
    <row r="1790" spans="1:16" ht="15" customHeight="1">
      <c r="A1790" s="139">
        <v>1789</v>
      </c>
      <c r="B1790" s="36" t="s">
        <v>23407</v>
      </c>
      <c r="C1790" s="36" t="s">
        <v>23408</v>
      </c>
      <c r="D1790" s="36" t="s">
        <v>23409</v>
      </c>
      <c r="E1790" s="36" t="s">
        <v>23410</v>
      </c>
      <c r="F1790" s="36" t="s">
        <v>23411</v>
      </c>
      <c r="G1790" s="36" t="s">
        <v>23412</v>
      </c>
      <c r="H1790" s="36" t="s">
        <v>23413</v>
      </c>
      <c r="I1790" s="36" t="s">
        <v>23414</v>
      </c>
      <c r="J1790" s="36" t="s">
        <v>23415</v>
      </c>
      <c r="K1790" s="36" t="s">
        <v>23416</v>
      </c>
      <c r="L1790" s="36" t="s">
        <v>23417</v>
      </c>
      <c r="M1790" s="36" t="s">
        <v>23418</v>
      </c>
      <c r="N1790" s="36" t="s">
        <v>23419</v>
      </c>
      <c r="O1790" s="36" t="s">
        <v>23420</v>
      </c>
      <c r="P1790" s="36" t="s">
        <v>23407</v>
      </c>
    </row>
    <row r="1791" spans="1:16" ht="15" customHeight="1">
      <c r="A1791" s="139">
        <v>1790</v>
      </c>
      <c r="B1791" s="36" t="s">
        <v>23421</v>
      </c>
      <c r="C1791" s="36" t="s">
        <v>23422</v>
      </c>
      <c r="D1791" s="36" t="s">
        <v>23423</v>
      </c>
      <c r="E1791" s="36" t="s">
        <v>23424</v>
      </c>
      <c r="F1791" s="36" t="s">
        <v>23425</v>
      </c>
      <c r="G1791" s="36" t="s">
        <v>23425</v>
      </c>
      <c r="H1791" s="36" t="s">
        <v>23426</v>
      </c>
      <c r="I1791" s="36" t="s">
        <v>23427</v>
      </c>
      <c r="J1791" s="36" t="s">
        <v>23428</v>
      </c>
      <c r="K1791" s="36" t="s">
        <v>23429</v>
      </c>
      <c r="L1791" s="36" t="s">
        <v>23421</v>
      </c>
      <c r="M1791" s="36" t="s">
        <v>23430</v>
      </c>
      <c r="N1791" s="36" t="s">
        <v>23421</v>
      </c>
      <c r="O1791" s="36" t="s">
        <v>23430</v>
      </c>
      <c r="P1791" s="36" t="s">
        <v>23421</v>
      </c>
    </row>
    <row r="1792" spans="1:16" ht="15" customHeight="1">
      <c r="A1792" s="139">
        <v>1791</v>
      </c>
      <c r="B1792" s="36" t="s">
        <v>23431</v>
      </c>
      <c r="C1792" s="36" t="s">
        <v>23432</v>
      </c>
      <c r="D1792" s="36" t="s">
        <v>23433</v>
      </c>
      <c r="E1792" s="36" t="s">
        <v>23434</v>
      </c>
      <c r="F1792" s="36" t="s">
        <v>23435</v>
      </c>
      <c r="G1792" s="36" t="s">
        <v>23436</v>
      </c>
      <c r="H1792" s="36" t="s">
        <v>23437</v>
      </c>
      <c r="I1792" s="36" t="s">
        <v>23438</v>
      </c>
      <c r="J1792" s="36" t="s">
        <v>23439</v>
      </c>
      <c r="K1792" s="36" t="s">
        <v>23440</v>
      </c>
      <c r="L1792" s="36" t="s">
        <v>23441</v>
      </c>
      <c r="M1792" s="36" t="s">
        <v>23442</v>
      </c>
      <c r="N1792" s="36" t="s">
        <v>23443</v>
      </c>
      <c r="O1792" s="36" t="s">
        <v>23444</v>
      </c>
      <c r="P1792" s="36" t="s">
        <v>23445</v>
      </c>
    </row>
    <row r="1793" spans="1:16" ht="15" customHeight="1">
      <c r="A1793" s="139">
        <v>1792</v>
      </c>
      <c r="B1793" s="36" t="s">
        <v>23446</v>
      </c>
      <c r="C1793" s="36" t="s">
        <v>23447</v>
      </c>
      <c r="D1793" s="36" t="s">
        <v>23448</v>
      </c>
      <c r="E1793" s="36" t="s">
        <v>23449</v>
      </c>
      <c r="F1793" s="36" t="s">
        <v>23450</v>
      </c>
      <c r="G1793" s="36" t="s">
        <v>23451</v>
      </c>
      <c r="H1793" s="36" t="s">
        <v>23452</v>
      </c>
      <c r="I1793" s="36" t="s">
        <v>23453</v>
      </c>
      <c r="J1793" s="36" t="s">
        <v>23446</v>
      </c>
      <c r="K1793" s="36" t="s">
        <v>23454</v>
      </c>
      <c r="L1793" s="36" t="s">
        <v>23455</v>
      </c>
      <c r="M1793" s="36" t="s">
        <v>23456</v>
      </c>
      <c r="N1793" s="36" t="s">
        <v>23457</v>
      </c>
      <c r="O1793" s="36" t="s">
        <v>23454</v>
      </c>
      <c r="P1793" s="36" t="s">
        <v>23446</v>
      </c>
    </row>
    <row r="1794" spans="1:16" ht="15" customHeight="1">
      <c r="A1794" s="139">
        <v>1793</v>
      </c>
      <c r="B1794" s="36" t="s">
        <v>23458</v>
      </c>
      <c r="C1794" s="36" t="s">
        <v>23459</v>
      </c>
      <c r="D1794" s="36" t="s">
        <v>23460</v>
      </c>
      <c r="E1794" s="36" t="s">
        <v>23461</v>
      </c>
      <c r="F1794" s="36" t="s">
        <v>23462</v>
      </c>
      <c r="G1794" s="36" t="s">
        <v>23463</v>
      </c>
      <c r="H1794" s="36" t="s">
        <v>23464</v>
      </c>
      <c r="I1794" s="36" t="s">
        <v>23462</v>
      </c>
      <c r="J1794" s="36" t="s">
        <v>23465</v>
      </c>
      <c r="K1794" s="36" t="s">
        <v>23466</v>
      </c>
      <c r="L1794" s="36" t="s">
        <v>23458</v>
      </c>
      <c r="M1794" s="36" t="s">
        <v>23467</v>
      </c>
      <c r="N1794" s="36" t="s">
        <v>23458</v>
      </c>
      <c r="O1794" s="36" t="s">
        <v>23468</v>
      </c>
      <c r="P1794" s="36" t="s">
        <v>23458</v>
      </c>
    </row>
    <row r="1795" spans="1:16" ht="15" customHeight="1">
      <c r="A1795" s="139">
        <v>1794</v>
      </c>
      <c r="B1795" s="36" t="s">
        <v>23469</v>
      </c>
      <c r="C1795" s="36" t="s">
        <v>23470</v>
      </c>
      <c r="D1795" s="36" t="s">
        <v>23471</v>
      </c>
      <c r="E1795" s="36" t="s">
        <v>23472</v>
      </c>
      <c r="F1795" s="36" t="s">
        <v>23473</v>
      </c>
      <c r="G1795" s="36" t="s">
        <v>23474</v>
      </c>
      <c r="H1795" s="36" t="s">
        <v>23475</v>
      </c>
      <c r="I1795" s="36" t="s">
        <v>23476</v>
      </c>
      <c r="J1795" s="36" t="s">
        <v>23477</v>
      </c>
      <c r="K1795" s="36" t="s">
        <v>23478</v>
      </c>
      <c r="L1795" s="36" t="s">
        <v>23479</v>
      </c>
      <c r="M1795" s="36" t="s">
        <v>23480</v>
      </c>
      <c r="N1795" s="36" t="s">
        <v>23481</v>
      </c>
      <c r="O1795" s="36" t="s">
        <v>23482</v>
      </c>
      <c r="P1795" s="36" t="s">
        <v>23469</v>
      </c>
    </row>
    <row r="1796" spans="1:16" ht="15" customHeight="1">
      <c r="A1796" s="139">
        <v>1795</v>
      </c>
      <c r="B1796" s="36" t="s">
        <v>23483</v>
      </c>
      <c r="C1796" s="36" t="s">
        <v>23484</v>
      </c>
      <c r="D1796" s="36" t="s">
        <v>23485</v>
      </c>
      <c r="E1796" s="36" t="s">
        <v>23486</v>
      </c>
      <c r="F1796" s="36" t="s">
        <v>23487</v>
      </c>
      <c r="G1796" s="36" t="s">
        <v>23488</v>
      </c>
      <c r="H1796" s="36" t="s">
        <v>23489</v>
      </c>
      <c r="I1796" s="36" t="s">
        <v>23490</v>
      </c>
      <c r="J1796" s="36" t="s">
        <v>23491</v>
      </c>
      <c r="K1796" s="36" t="s">
        <v>23492</v>
      </c>
      <c r="L1796" s="36" t="s">
        <v>23493</v>
      </c>
      <c r="M1796" s="36" t="s">
        <v>23494</v>
      </c>
      <c r="N1796" s="36" t="s">
        <v>23495</v>
      </c>
      <c r="O1796" s="36" t="s">
        <v>23496</v>
      </c>
      <c r="P1796" s="36" t="s">
        <v>23483</v>
      </c>
    </row>
    <row r="1797" spans="1:16" ht="15" customHeight="1">
      <c r="A1797" s="139">
        <v>1796</v>
      </c>
      <c r="B1797" s="36" t="s">
        <v>23497</v>
      </c>
      <c r="C1797" s="36" t="s">
        <v>23498</v>
      </c>
      <c r="D1797" s="36" t="s">
        <v>23499</v>
      </c>
      <c r="E1797" s="36" t="s">
        <v>23500</v>
      </c>
      <c r="F1797" s="36" t="s">
        <v>23501</v>
      </c>
      <c r="G1797" s="36" t="s">
        <v>23502</v>
      </c>
      <c r="H1797" s="36" t="s">
        <v>23503</v>
      </c>
      <c r="I1797" s="36" t="s">
        <v>23504</v>
      </c>
      <c r="J1797" s="36" t="s">
        <v>23505</v>
      </c>
      <c r="K1797" s="36" t="s">
        <v>23506</v>
      </c>
      <c r="L1797" s="36" t="s">
        <v>23507</v>
      </c>
      <c r="M1797" s="36" t="s">
        <v>23508</v>
      </c>
      <c r="N1797" s="36" t="s">
        <v>23509</v>
      </c>
      <c r="O1797" s="36" t="s">
        <v>23510</v>
      </c>
      <c r="P1797" s="36" t="s">
        <v>23497</v>
      </c>
    </row>
    <row r="1798" spans="1:16" ht="15" customHeight="1">
      <c r="A1798" s="139">
        <v>1797</v>
      </c>
      <c r="B1798" s="36" t="s">
        <v>23511</v>
      </c>
      <c r="C1798" s="36" t="s">
        <v>23512</v>
      </c>
      <c r="D1798" s="36" t="s">
        <v>23513</v>
      </c>
      <c r="E1798" s="36" t="s">
        <v>23514</v>
      </c>
      <c r="F1798" s="36" t="s">
        <v>23515</v>
      </c>
      <c r="G1798" s="36" t="s">
        <v>23516</v>
      </c>
      <c r="H1798" s="36" t="s">
        <v>23517</v>
      </c>
      <c r="I1798" s="36" t="s">
        <v>23518</v>
      </c>
      <c r="J1798" s="36" t="s">
        <v>23519</v>
      </c>
      <c r="K1798" s="36" t="s">
        <v>23520</v>
      </c>
      <c r="L1798" s="36" t="s">
        <v>23521</v>
      </c>
      <c r="M1798" s="36" t="s">
        <v>23522</v>
      </c>
      <c r="N1798" s="36" t="s">
        <v>23523</v>
      </c>
      <c r="O1798" s="36" t="s">
        <v>23524</v>
      </c>
      <c r="P1798" s="36" t="s">
        <v>23511</v>
      </c>
    </row>
    <row r="1799" spans="1:16" ht="15" customHeight="1">
      <c r="A1799" s="139">
        <v>1798</v>
      </c>
      <c r="B1799" s="36" t="s">
        <v>23525</v>
      </c>
      <c r="C1799" s="36" t="s">
        <v>23526</v>
      </c>
      <c r="D1799" s="36" t="s">
        <v>23527</v>
      </c>
      <c r="E1799" s="36" t="s">
        <v>23528</v>
      </c>
      <c r="F1799" s="36" t="s">
        <v>23529</v>
      </c>
      <c r="G1799" s="36" t="s">
        <v>23530</v>
      </c>
      <c r="H1799" s="36" t="s">
        <v>23531</v>
      </c>
      <c r="I1799" s="36" t="s">
        <v>23532</v>
      </c>
      <c r="J1799" s="36" t="s">
        <v>23533</v>
      </c>
      <c r="K1799" s="36" t="s">
        <v>23534</v>
      </c>
      <c r="L1799" s="36" t="s">
        <v>23535</v>
      </c>
      <c r="M1799" s="36" t="s">
        <v>23536</v>
      </c>
      <c r="N1799" s="36" t="s">
        <v>23537</v>
      </c>
      <c r="O1799" s="36" t="s">
        <v>23538</v>
      </c>
      <c r="P1799" s="36" t="s">
        <v>23525</v>
      </c>
    </row>
    <row r="1800" spans="1:16" ht="15" customHeight="1">
      <c r="A1800" s="139">
        <v>1799</v>
      </c>
      <c r="B1800" s="36" t="s">
        <v>23539</v>
      </c>
      <c r="C1800" s="36" t="s">
        <v>23540</v>
      </c>
      <c r="D1800" s="36" t="s">
        <v>23541</v>
      </c>
      <c r="E1800" s="36" t="s">
        <v>23542</v>
      </c>
      <c r="F1800" s="36" t="s">
        <v>23543</v>
      </c>
      <c r="G1800" s="36" t="s">
        <v>23544</v>
      </c>
      <c r="H1800" s="36" t="s">
        <v>23545</v>
      </c>
      <c r="I1800" s="36" t="s">
        <v>23546</v>
      </c>
      <c r="J1800" s="36" t="s">
        <v>23547</v>
      </c>
      <c r="K1800" s="36" t="s">
        <v>23548</v>
      </c>
      <c r="L1800" s="36" t="s">
        <v>23549</v>
      </c>
      <c r="M1800" s="36" t="s">
        <v>23550</v>
      </c>
      <c r="N1800" s="36" t="s">
        <v>23551</v>
      </c>
      <c r="O1800" s="36" t="s">
        <v>23552</v>
      </c>
      <c r="P1800" s="36" t="s">
        <v>23539</v>
      </c>
    </row>
    <row r="1801" spans="1:16" ht="15" customHeight="1">
      <c r="A1801" s="139">
        <v>1800</v>
      </c>
      <c r="B1801" s="36" t="s">
        <v>23553</v>
      </c>
      <c r="C1801" s="36" t="s">
        <v>23554</v>
      </c>
      <c r="D1801" s="36" t="s">
        <v>23555</v>
      </c>
      <c r="E1801" s="36" t="s">
        <v>23556</v>
      </c>
      <c r="F1801" s="36" t="s">
        <v>23557</v>
      </c>
      <c r="G1801" s="36" t="s">
        <v>23558</v>
      </c>
      <c r="H1801" s="36" t="s">
        <v>23559</v>
      </c>
      <c r="I1801" s="36" t="s">
        <v>23560</v>
      </c>
      <c r="J1801" s="36" t="s">
        <v>23561</v>
      </c>
      <c r="K1801" s="36" t="s">
        <v>23562</v>
      </c>
      <c r="L1801" s="36" t="s">
        <v>23563</v>
      </c>
      <c r="M1801" s="36" t="s">
        <v>23564</v>
      </c>
      <c r="N1801" s="36" t="s">
        <v>23565</v>
      </c>
      <c r="O1801" s="36" t="s">
        <v>23566</v>
      </c>
      <c r="P1801" s="36" t="s">
        <v>23553</v>
      </c>
    </row>
    <row r="1802" spans="1:16" ht="15" customHeight="1">
      <c r="A1802" s="139">
        <v>1801</v>
      </c>
      <c r="B1802" s="36" t="s">
        <v>23567</v>
      </c>
      <c r="C1802" s="36" t="s">
        <v>23568</v>
      </c>
      <c r="D1802" s="36" t="s">
        <v>23569</v>
      </c>
      <c r="E1802" s="36" t="s">
        <v>23570</v>
      </c>
      <c r="F1802" s="36" t="s">
        <v>23571</v>
      </c>
      <c r="G1802" s="36" t="s">
        <v>23572</v>
      </c>
      <c r="H1802" s="36" t="s">
        <v>23573</v>
      </c>
      <c r="I1802" s="36" t="s">
        <v>23574</v>
      </c>
      <c r="J1802" s="36" t="s">
        <v>23575</v>
      </c>
      <c r="K1802" s="36" t="s">
        <v>23576</v>
      </c>
      <c r="L1802" s="36" t="s">
        <v>23577</v>
      </c>
      <c r="M1802" s="36" t="s">
        <v>23578</v>
      </c>
      <c r="N1802" s="36" t="s">
        <v>23579</v>
      </c>
      <c r="O1802" s="36" t="s">
        <v>23580</v>
      </c>
      <c r="P1802" s="36" t="s">
        <v>23567</v>
      </c>
    </row>
    <row r="1803" spans="1:16" ht="15" customHeight="1">
      <c r="A1803" s="139">
        <v>1802</v>
      </c>
      <c r="B1803" s="36" t="s">
        <v>23581</v>
      </c>
      <c r="C1803" s="36" t="s">
        <v>23582</v>
      </c>
      <c r="D1803" s="36" t="s">
        <v>23583</v>
      </c>
      <c r="E1803" s="36" t="s">
        <v>23584</v>
      </c>
      <c r="F1803" s="36" t="s">
        <v>23585</v>
      </c>
      <c r="G1803" s="36" t="s">
        <v>23586</v>
      </c>
      <c r="H1803" s="36" t="s">
        <v>23587</v>
      </c>
      <c r="I1803" s="36" t="s">
        <v>23588</v>
      </c>
      <c r="J1803" s="36" t="s">
        <v>23589</v>
      </c>
      <c r="K1803" s="36" t="s">
        <v>23590</v>
      </c>
      <c r="L1803" s="36" t="s">
        <v>23591</v>
      </c>
      <c r="M1803" s="36" t="s">
        <v>23592</v>
      </c>
      <c r="N1803" s="36" t="s">
        <v>23593</v>
      </c>
      <c r="O1803" s="36" t="s">
        <v>23594</v>
      </c>
      <c r="P1803" s="36" t="s">
        <v>23581</v>
      </c>
    </row>
    <row r="1804" spans="1:16" ht="15" customHeight="1">
      <c r="A1804" s="139">
        <v>1803</v>
      </c>
      <c r="B1804" s="36" t="s">
        <v>23595</v>
      </c>
      <c r="C1804" s="36" t="s">
        <v>23596</v>
      </c>
      <c r="D1804" s="36" t="s">
        <v>23597</v>
      </c>
      <c r="E1804" s="36" t="s">
        <v>23598</v>
      </c>
      <c r="F1804" s="36" t="s">
        <v>23599</v>
      </c>
      <c r="G1804" s="36" t="s">
        <v>23600</v>
      </c>
      <c r="H1804" s="36" t="s">
        <v>23601</v>
      </c>
      <c r="I1804" s="36" t="s">
        <v>23602</v>
      </c>
      <c r="J1804" s="36" t="s">
        <v>23603</v>
      </c>
      <c r="K1804" s="36" t="s">
        <v>23604</v>
      </c>
      <c r="L1804" s="36" t="s">
        <v>23605</v>
      </c>
      <c r="M1804" s="36" t="s">
        <v>23606</v>
      </c>
      <c r="N1804" s="36" t="s">
        <v>23607</v>
      </c>
      <c r="O1804" s="36" t="s">
        <v>23608</v>
      </c>
      <c r="P1804" s="36" t="s">
        <v>23595</v>
      </c>
    </row>
    <row r="1805" spans="1:16" ht="15" customHeight="1">
      <c r="A1805" s="139">
        <v>1804</v>
      </c>
      <c r="B1805" s="36" t="s">
        <v>23609</v>
      </c>
      <c r="C1805" s="36" t="s">
        <v>23610</v>
      </c>
      <c r="D1805" s="36" t="s">
        <v>23611</v>
      </c>
      <c r="E1805" s="36" t="s">
        <v>23612</v>
      </c>
      <c r="F1805" s="36" t="s">
        <v>23613</v>
      </c>
      <c r="G1805" s="36" t="s">
        <v>23614</v>
      </c>
      <c r="H1805" s="36" t="s">
        <v>23615</v>
      </c>
      <c r="I1805" s="36" t="s">
        <v>23616</v>
      </c>
      <c r="J1805" s="36" t="s">
        <v>23617</v>
      </c>
      <c r="K1805" s="36" t="s">
        <v>23618</v>
      </c>
      <c r="L1805" s="36" t="s">
        <v>23619</v>
      </c>
      <c r="M1805" s="36" t="s">
        <v>23620</v>
      </c>
      <c r="N1805" s="36" t="s">
        <v>23621</v>
      </c>
      <c r="O1805" s="36" t="s">
        <v>23622</v>
      </c>
      <c r="P1805" s="36" t="s">
        <v>23609</v>
      </c>
    </row>
    <row r="1806" spans="1:16" ht="15" customHeight="1">
      <c r="A1806" s="139">
        <v>1805</v>
      </c>
      <c r="B1806" s="36" t="s">
        <v>23623</v>
      </c>
      <c r="C1806" s="36" t="s">
        <v>23624</v>
      </c>
      <c r="D1806" s="36" t="s">
        <v>23625</v>
      </c>
      <c r="E1806" s="36" t="s">
        <v>23626</v>
      </c>
      <c r="F1806" s="36" t="s">
        <v>23627</v>
      </c>
      <c r="G1806" s="36" t="s">
        <v>23628</v>
      </c>
      <c r="H1806" s="36" t="s">
        <v>23629</v>
      </c>
      <c r="I1806" s="36" t="s">
        <v>23630</v>
      </c>
      <c r="J1806" s="36" t="s">
        <v>23631</v>
      </c>
      <c r="K1806" s="36" t="s">
        <v>23632</v>
      </c>
      <c r="L1806" s="36" t="s">
        <v>23633</v>
      </c>
      <c r="M1806" s="36" t="s">
        <v>23634</v>
      </c>
      <c r="N1806" s="36" t="s">
        <v>23635</v>
      </c>
      <c r="O1806" s="36" t="s">
        <v>23636</v>
      </c>
      <c r="P1806" s="36" t="s">
        <v>23623</v>
      </c>
    </row>
    <row r="1807" spans="1:16" ht="15" customHeight="1">
      <c r="A1807" s="139">
        <v>1806</v>
      </c>
      <c r="B1807" s="36" t="s">
        <v>23637</v>
      </c>
      <c r="C1807" s="36" t="s">
        <v>23638</v>
      </c>
      <c r="D1807" s="36" t="s">
        <v>23639</v>
      </c>
      <c r="E1807" s="36" t="s">
        <v>23640</v>
      </c>
      <c r="F1807" s="36" t="s">
        <v>23641</v>
      </c>
      <c r="G1807" s="36" t="s">
        <v>23642</v>
      </c>
      <c r="H1807" s="36" t="s">
        <v>23643</v>
      </c>
      <c r="I1807" s="36" t="s">
        <v>23644</v>
      </c>
      <c r="J1807" s="36" t="s">
        <v>23645</v>
      </c>
      <c r="K1807" s="36" t="s">
        <v>23646</v>
      </c>
      <c r="L1807" s="36" t="s">
        <v>23647</v>
      </c>
      <c r="M1807" s="36" t="s">
        <v>23648</v>
      </c>
      <c r="N1807" s="36" t="s">
        <v>23649</v>
      </c>
      <c r="O1807" s="36" t="s">
        <v>23650</v>
      </c>
      <c r="P1807" s="36" t="s">
        <v>23637</v>
      </c>
    </row>
    <row r="1808" spans="1:16" ht="15" customHeight="1">
      <c r="A1808" s="139">
        <v>1807</v>
      </c>
      <c r="B1808" s="36" t="s">
        <v>23651</v>
      </c>
      <c r="C1808" s="36" t="s">
        <v>23652</v>
      </c>
      <c r="D1808" s="36" t="s">
        <v>23653</v>
      </c>
      <c r="E1808" s="36" t="s">
        <v>23654</v>
      </c>
      <c r="F1808" s="36" t="s">
        <v>23655</v>
      </c>
      <c r="G1808" s="36" t="s">
        <v>23656</v>
      </c>
      <c r="H1808" s="36" t="s">
        <v>23657</v>
      </c>
      <c r="I1808" s="36" t="s">
        <v>23658</v>
      </c>
      <c r="J1808" s="36" t="s">
        <v>23659</v>
      </c>
      <c r="K1808" s="36" t="s">
        <v>23660</v>
      </c>
      <c r="L1808" s="36" t="s">
        <v>23661</v>
      </c>
      <c r="M1808" s="36" t="s">
        <v>23662</v>
      </c>
      <c r="N1808" s="36" t="s">
        <v>23663</v>
      </c>
      <c r="O1808" s="36" t="s">
        <v>23664</v>
      </c>
      <c r="P1808" s="36" t="s">
        <v>23651</v>
      </c>
    </row>
    <row r="1809" spans="1:16" ht="15" customHeight="1">
      <c r="A1809" s="139">
        <v>1808</v>
      </c>
      <c r="B1809" s="36" t="s">
        <v>23665</v>
      </c>
      <c r="C1809" s="36" t="s">
        <v>23666</v>
      </c>
      <c r="D1809" s="36" t="s">
        <v>23667</v>
      </c>
      <c r="E1809" s="36" t="s">
        <v>23668</v>
      </c>
      <c r="F1809" s="36" t="s">
        <v>23669</v>
      </c>
      <c r="G1809" s="36" t="s">
        <v>23670</v>
      </c>
      <c r="H1809" s="36" t="s">
        <v>23671</v>
      </c>
      <c r="I1809" s="36" t="s">
        <v>23669</v>
      </c>
      <c r="J1809" s="36" t="s">
        <v>23672</v>
      </c>
      <c r="K1809" s="36" t="s">
        <v>23673</v>
      </c>
      <c r="L1809" s="36" t="s">
        <v>23665</v>
      </c>
      <c r="M1809" s="36" t="s">
        <v>23674</v>
      </c>
      <c r="N1809" s="36" t="s">
        <v>23665</v>
      </c>
      <c r="O1809" s="36" t="s">
        <v>23675</v>
      </c>
      <c r="P1809" s="36" t="s">
        <v>23665</v>
      </c>
    </row>
    <row r="1810" spans="1:16" ht="15" customHeight="1">
      <c r="A1810" s="139">
        <v>1809</v>
      </c>
      <c r="B1810" s="36" t="s">
        <v>23676</v>
      </c>
      <c r="C1810" s="36" t="s">
        <v>23677</v>
      </c>
      <c r="D1810" s="36" t="s">
        <v>23678</v>
      </c>
      <c r="E1810" s="36" t="s">
        <v>23679</v>
      </c>
      <c r="F1810" s="36" t="s">
        <v>23680</v>
      </c>
      <c r="G1810" s="36" t="s">
        <v>23681</v>
      </c>
      <c r="H1810" s="36" t="s">
        <v>23682</v>
      </c>
      <c r="I1810" s="36" t="s">
        <v>23683</v>
      </c>
      <c r="J1810" s="36" t="s">
        <v>23684</v>
      </c>
      <c r="K1810" s="36" t="s">
        <v>23685</v>
      </c>
      <c r="L1810" s="36" t="s">
        <v>23686</v>
      </c>
      <c r="M1810" s="36" t="s">
        <v>23687</v>
      </c>
      <c r="N1810" s="36" t="s">
        <v>23686</v>
      </c>
      <c r="O1810" s="36" t="s">
        <v>23688</v>
      </c>
      <c r="P1810" s="36" t="s">
        <v>23676</v>
      </c>
    </row>
    <row r="1811" spans="1:16" ht="15" customHeight="1">
      <c r="A1811" s="139">
        <v>1810</v>
      </c>
      <c r="B1811" s="36" t="s">
        <v>23689</v>
      </c>
      <c r="C1811" s="36" t="s">
        <v>23690</v>
      </c>
      <c r="D1811" s="36" t="s">
        <v>23691</v>
      </c>
      <c r="E1811" s="36" t="s">
        <v>23692</v>
      </c>
      <c r="F1811" s="36" t="s">
        <v>23693</v>
      </c>
      <c r="G1811" s="36" t="s">
        <v>23694</v>
      </c>
      <c r="H1811" s="36" t="s">
        <v>23695</v>
      </c>
      <c r="I1811" s="36" t="s">
        <v>23696</v>
      </c>
      <c r="J1811" s="36" t="s">
        <v>23697</v>
      </c>
      <c r="K1811" s="36" t="s">
        <v>23698</v>
      </c>
      <c r="L1811" s="36" t="s">
        <v>23689</v>
      </c>
      <c r="M1811" s="36" t="s">
        <v>23699</v>
      </c>
      <c r="N1811" s="36" t="s">
        <v>23689</v>
      </c>
      <c r="O1811" s="36" t="s">
        <v>23700</v>
      </c>
      <c r="P1811" s="36" t="s">
        <v>23689</v>
      </c>
    </row>
    <row r="1812" spans="1:16" ht="15" customHeight="1">
      <c r="A1812" s="139">
        <v>1811</v>
      </c>
      <c r="B1812" s="36" t="s">
        <v>23701</v>
      </c>
      <c r="C1812" s="36" t="s">
        <v>23702</v>
      </c>
      <c r="D1812" s="36" t="s">
        <v>23703</v>
      </c>
      <c r="E1812" s="36" t="s">
        <v>23704</v>
      </c>
      <c r="F1812" s="36" t="s">
        <v>23705</v>
      </c>
      <c r="G1812" s="36" t="s">
        <v>23706</v>
      </c>
      <c r="H1812" s="36" t="s">
        <v>23707</v>
      </c>
      <c r="I1812" s="36" t="s">
        <v>23708</v>
      </c>
      <c r="J1812" s="36" t="s">
        <v>23709</v>
      </c>
      <c r="K1812" s="36" t="s">
        <v>23710</v>
      </c>
      <c r="L1812" s="36" t="s">
        <v>23711</v>
      </c>
      <c r="M1812" s="36" t="s">
        <v>23712</v>
      </c>
      <c r="N1812" s="36" t="s">
        <v>23713</v>
      </c>
      <c r="O1812" s="36" t="s">
        <v>23714</v>
      </c>
      <c r="P1812" s="36" t="s">
        <v>23701</v>
      </c>
    </row>
    <row r="1813" spans="1:16" ht="15" customHeight="1">
      <c r="A1813" s="139">
        <v>1812</v>
      </c>
      <c r="B1813" s="36" t="s">
        <v>23715</v>
      </c>
      <c r="C1813" s="36" t="s">
        <v>23716</v>
      </c>
      <c r="D1813" s="36" t="s">
        <v>23717</v>
      </c>
      <c r="E1813" s="36" t="s">
        <v>23718</v>
      </c>
      <c r="F1813" s="36" t="s">
        <v>23719</v>
      </c>
      <c r="G1813" s="36" t="s">
        <v>23720</v>
      </c>
      <c r="H1813" s="36" t="s">
        <v>23721</v>
      </c>
      <c r="I1813" s="36" t="s">
        <v>23722</v>
      </c>
      <c r="J1813" s="36" t="s">
        <v>23723</v>
      </c>
      <c r="K1813" s="36" t="s">
        <v>23724</v>
      </c>
      <c r="L1813" s="36" t="s">
        <v>23725</v>
      </c>
      <c r="M1813" s="36" t="s">
        <v>23726</v>
      </c>
      <c r="N1813" s="36" t="s">
        <v>23727</v>
      </c>
      <c r="O1813" s="36" t="s">
        <v>23728</v>
      </c>
      <c r="P1813" s="36" t="s">
        <v>23715</v>
      </c>
    </row>
    <row r="1814" spans="1:16" ht="15" customHeight="1">
      <c r="A1814" s="139">
        <v>1813</v>
      </c>
      <c r="B1814" s="36" t="s">
        <v>23729</v>
      </c>
      <c r="C1814" s="36" t="s">
        <v>23730</v>
      </c>
      <c r="D1814" s="36" t="s">
        <v>23731</v>
      </c>
      <c r="E1814" s="36" t="s">
        <v>23732</v>
      </c>
      <c r="F1814" s="36" t="s">
        <v>23733</v>
      </c>
      <c r="G1814" s="36" t="s">
        <v>23734</v>
      </c>
      <c r="H1814" s="36" t="s">
        <v>23735</v>
      </c>
      <c r="I1814" s="36" t="s">
        <v>23736</v>
      </c>
      <c r="J1814" s="36" t="s">
        <v>23737</v>
      </c>
      <c r="K1814" s="36" t="s">
        <v>23738</v>
      </c>
      <c r="L1814" s="36" t="s">
        <v>23739</v>
      </c>
      <c r="M1814" s="36" t="s">
        <v>23740</v>
      </c>
      <c r="N1814" s="36" t="s">
        <v>23741</v>
      </c>
      <c r="O1814" s="36" t="s">
        <v>23742</v>
      </c>
      <c r="P1814" s="36" t="s">
        <v>23729</v>
      </c>
    </row>
    <row r="1815" spans="1:16" ht="15" customHeight="1">
      <c r="A1815" s="139">
        <v>1814</v>
      </c>
      <c r="B1815" s="36" t="s">
        <v>23743</v>
      </c>
      <c r="C1815" s="36" t="s">
        <v>23744</v>
      </c>
      <c r="D1815" s="36" t="s">
        <v>23745</v>
      </c>
      <c r="E1815" s="36" t="s">
        <v>23746</v>
      </c>
      <c r="F1815" s="36" t="s">
        <v>23747</v>
      </c>
      <c r="G1815" s="36" t="s">
        <v>23748</v>
      </c>
      <c r="H1815" s="36" t="s">
        <v>23749</v>
      </c>
      <c r="I1815" s="36" t="s">
        <v>23750</v>
      </c>
      <c r="J1815" s="36" t="s">
        <v>23751</v>
      </c>
      <c r="K1815" s="36" t="s">
        <v>23752</v>
      </c>
      <c r="L1815" s="36" t="s">
        <v>23753</v>
      </c>
      <c r="M1815" s="36" t="s">
        <v>23754</v>
      </c>
      <c r="N1815" s="36" t="s">
        <v>23755</v>
      </c>
      <c r="O1815" s="36" t="s">
        <v>23756</v>
      </c>
      <c r="P1815" s="36" t="s">
        <v>23743</v>
      </c>
    </row>
    <row r="1816" spans="1:16" ht="15" customHeight="1">
      <c r="A1816" s="139">
        <v>1815</v>
      </c>
      <c r="B1816" s="36" t="s">
        <v>23757</v>
      </c>
      <c r="C1816" s="36" t="s">
        <v>23758</v>
      </c>
      <c r="D1816" s="36" t="s">
        <v>23759</v>
      </c>
      <c r="E1816" s="36" t="s">
        <v>23760</v>
      </c>
      <c r="F1816" s="36" t="s">
        <v>23761</v>
      </c>
      <c r="G1816" s="36" t="s">
        <v>23762</v>
      </c>
      <c r="H1816" s="36" t="s">
        <v>23763</v>
      </c>
      <c r="I1816" s="36" t="s">
        <v>23764</v>
      </c>
      <c r="J1816" s="36" t="s">
        <v>23765</v>
      </c>
      <c r="K1816" s="36" t="s">
        <v>23766</v>
      </c>
      <c r="L1816" s="36" t="s">
        <v>23767</v>
      </c>
      <c r="M1816" s="36" t="s">
        <v>23768</v>
      </c>
      <c r="N1816" s="36" t="s">
        <v>23769</v>
      </c>
      <c r="O1816" s="36" t="s">
        <v>23770</v>
      </c>
      <c r="P1816" s="36" t="s">
        <v>23757</v>
      </c>
    </row>
    <row r="1817" spans="1:16" ht="15" customHeight="1">
      <c r="A1817" s="139">
        <v>1816</v>
      </c>
      <c r="B1817" s="36" t="s">
        <v>23771</v>
      </c>
      <c r="C1817" s="36" t="s">
        <v>23772</v>
      </c>
      <c r="D1817" s="36" t="s">
        <v>23773</v>
      </c>
      <c r="E1817" s="36" t="s">
        <v>23774</v>
      </c>
      <c r="F1817" s="36" t="s">
        <v>23775</v>
      </c>
      <c r="G1817" s="36" t="s">
        <v>23776</v>
      </c>
      <c r="H1817" s="36" t="s">
        <v>23777</v>
      </c>
      <c r="I1817" s="36" t="s">
        <v>23778</v>
      </c>
      <c r="J1817" s="36" t="s">
        <v>23779</v>
      </c>
      <c r="K1817" s="36" t="s">
        <v>23780</v>
      </c>
      <c r="L1817" s="36" t="s">
        <v>23781</v>
      </c>
      <c r="M1817" s="36" t="s">
        <v>23782</v>
      </c>
      <c r="N1817" s="36" t="s">
        <v>23783</v>
      </c>
      <c r="O1817" s="36" t="s">
        <v>23784</v>
      </c>
      <c r="P1817" s="36" t="s">
        <v>23771</v>
      </c>
    </row>
    <row r="1818" spans="1:16" ht="15" customHeight="1">
      <c r="A1818" s="139">
        <v>1817</v>
      </c>
      <c r="B1818" s="36" t="s">
        <v>23785</v>
      </c>
      <c r="C1818" s="36" t="s">
        <v>23786</v>
      </c>
      <c r="D1818" s="36" t="s">
        <v>23787</v>
      </c>
      <c r="E1818" s="36" t="s">
        <v>23788</v>
      </c>
      <c r="F1818" s="36" t="s">
        <v>23789</v>
      </c>
      <c r="G1818" s="36" t="s">
        <v>23790</v>
      </c>
      <c r="H1818" s="36" t="s">
        <v>23791</v>
      </c>
      <c r="I1818" s="36" t="s">
        <v>23792</v>
      </c>
      <c r="J1818" s="36" t="s">
        <v>23793</v>
      </c>
      <c r="K1818" s="36" t="s">
        <v>23794</v>
      </c>
      <c r="L1818" s="36" t="s">
        <v>23795</v>
      </c>
      <c r="M1818" s="36" t="s">
        <v>23796</v>
      </c>
      <c r="N1818" s="36" t="s">
        <v>23797</v>
      </c>
      <c r="O1818" s="36" t="s">
        <v>23798</v>
      </c>
      <c r="P1818" s="36" t="s">
        <v>23799</v>
      </c>
    </row>
    <row r="1819" spans="1:16" ht="15" customHeight="1">
      <c r="A1819" s="139">
        <v>1818</v>
      </c>
      <c r="B1819" s="36" t="s">
        <v>23800</v>
      </c>
      <c r="C1819" s="36" t="s">
        <v>23801</v>
      </c>
      <c r="D1819" s="36" t="s">
        <v>23802</v>
      </c>
      <c r="E1819" s="36" t="s">
        <v>23803</v>
      </c>
      <c r="F1819" s="36" t="s">
        <v>23804</v>
      </c>
      <c r="G1819" s="36" t="s">
        <v>23805</v>
      </c>
      <c r="H1819" s="36" t="s">
        <v>23806</v>
      </c>
      <c r="I1819" s="36" t="s">
        <v>23807</v>
      </c>
      <c r="J1819" s="36" t="s">
        <v>23808</v>
      </c>
      <c r="K1819" s="36" t="s">
        <v>23809</v>
      </c>
      <c r="L1819" s="36" t="s">
        <v>23810</v>
      </c>
      <c r="M1819" s="36" t="s">
        <v>23811</v>
      </c>
      <c r="N1819" s="36" t="s">
        <v>23812</v>
      </c>
      <c r="O1819" s="36" t="s">
        <v>23813</v>
      </c>
      <c r="P1819" s="36" t="s">
        <v>23814</v>
      </c>
    </row>
    <row r="1820" spans="1:16" ht="15" customHeight="1">
      <c r="A1820" s="139">
        <v>1819</v>
      </c>
      <c r="B1820" s="36" t="s">
        <v>23815</v>
      </c>
      <c r="C1820" s="36" t="s">
        <v>23816</v>
      </c>
      <c r="D1820" s="36" t="s">
        <v>23817</v>
      </c>
      <c r="E1820" s="36" t="s">
        <v>23818</v>
      </c>
      <c r="F1820" s="36" t="s">
        <v>23819</v>
      </c>
      <c r="G1820" s="36" t="s">
        <v>23820</v>
      </c>
      <c r="H1820" s="36" t="s">
        <v>23821</v>
      </c>
      <c r="I1820" s="36" t="s">
        <v>23822</v>
      </c>
      <c r="J1820" s="36" t="s">
        <v>23823</v>
      </c>
      <c r="K1820" s="36" t="s">
        <v>23824</v>
      </c>
      <c r="L1820" s="36" t="s">
        <v>23825</v>
      </c>
      <c r="M1820" s="36" t="s">
        <v>23826</v>
      </c>
      <c r="N1820" s="36" t="s">
        <v>23827</v>
      </c>
      <c r="O1820" s="36" t="s">
        <v>23828</v>
      </c>
      <c r="P1820" s="36" t="s">
        <v>23815</v>
      </c>
    </row>
    <row r="1821" spans="1:16" ht="15" customHeight="1">
      <c r="A1821" s="139">
        <v>1820</v>
      </c>
      <c r="B1821" s="36" t="s">
        <v>23829</v>
      </c>
      <c r="C1821" s="36" t="s">
        <v>23830</v>
      </c>
      <c r="D1821" s="36" t="s">
        <v>23831</v>
      </c>
      <c r="E1821" s="36" t="s">
        <v>23832</v>
      </c>
      <c r="F1821" s="36" t="s">
        <v>23833</v>
      </c>
      <c r="G1821" s="36" t="s">
        <v>23834</v>
      </c>
      <c r="H1821" s="36" t="s">
        <v>23835</v>
      </c>
      <c r="I1821" s="36" t="s">
        <v>23836</v>
      </c>
      <c r="J1821" s="36" t="s">
        <v>23837</v>
      </c>
      <c r="K1821" s="36" t="s">
        <v>23838</v>
      </c>
      <c r="L1821" s="36" t="s">
        <v>23839</v>
      </c>
      <c r="M1821" s="36" t="s">
        <v>23840</v>
      </c>
      <c r="N1821" s="36" t="s">
        <v>23841</v>
      </c>
      <c r="O1821" s="36" t="s">
        <v>23842</v>
      </c>
      <c r="P1821" s="36" t="s">
        <v>23829</v>
      </c>
    </row>
    <row r="1822" spans="1:16" ht="15" customHeight="1">
      <c r="A1822" s="139">
        <v>1821</v>
      </c>
      <c r="B1822" s="36" t="s">
        <v>23843</v>
      </c>
      <c r="C1822" s="36" t="s">
        <v>23844</v>
      </c>
      <c r="D1822" s="36" t="s">
        <v>23845</v>
      </c>
      <c r="E1822" s="36" t="s">
        <v>23846</v>
      </c>
      <c r="F1822" s="36" t="s">
        <v>23847</v>
      </c>
      <c r="G1822" s="36" t="s">
        <v>23848</v>
      </c>
      <c r="H1822" s="36" t="s">
        <v>23849</v>
      </c>
      <c r="I1822" s="36" t="s">
        <v>23850</v>
      </c>
      <c r="J1822" s="36" t="s">
        <v>23851</v>
      </c>
      <c r="K1822" s="36" t="s">
        <v>23852</v>
      </c>
      <c r="L1822" s="36" t="s">
        <v>23853</v>
      </c>
      <c r="M1822" s="36" t="s">
        <v>23854</v>
      </c>
      <c r="N1822" s="36" t="s">
        <v>23855</v>
      </c>
      <c r="O1822" s="36" t="s">
        <v>23856</v>
      </c>
      <c r="P1822" s="36" t="s">
        <v>23843</v>
      </c>
    </row>
    <row r="1823" spans="1:16" ht="15" customHeight="1">
      <c r="A1823" s="139">
        <v>1822</v>
      </c>
      <c r="B1823" s="36" t="s">
        <v>23857</v>
      </c>
      <c r="C1823" s="36" t="s">
        <v>23858</v>
      </c>
      <c r="D1823" s="36" t="s">
        <v>23859</v>
      </c>
      <c r="E1823" s="36" t="s">
        <v>23860</v>
      </c>
      <c r="F1823" s="36" t="s">
        <v>23861</v>
      </c>
      <c r="G1823" s="36" t="s">
        <v>23862</v>
      </c>
      <c r="H1823" s="36" t="s">
        <v>23863</v>
      </c>
      <c r="I1823" s="36" t="s">
        <v>23864</v>
      </c>
      <c r="J1823" s="36" t="s">
        <v>23865</v>
      </c>
      <c r="K1823" s="36" t="s">
        <v>23866</v>
      </c>
      <c r="L1823" s="36" t="s">
        <v>23867</v>
      </c>
      <c r="M1823" s="36" t="s">
        <v>23868</v>
      </c>
      <c r="N1823" s="36" t="s">
        <v>23869</v>
      </c>
      <c r="O1823" s="36" t="s">
        <v>23870</v>
      </c>
      <c r="P1823" s="36" t="s">
        <v>23857</v>
      </c>
    </row>
    <row r="1824" spans="1:16" ht="15" customHeight="1">
      <c r="A1824" s="139">
        <v>1823</v>
      </c>
      <c r="B1824" s="36" t="s">
        <v>23871</v>
      </c>
      <c r="C1824" s="36" t="s">
        <v>23872</v>
      </c>
      <c r="D1824" s="36" t="s">
        <v>23873</v>
      </c>
      <c r="E1824" s="36" t="s">
        <v>23874</v>
      </c>
      <c r="F1824" s="36" t="s">
        <v>23875</v>
      </c>
      <c r="G1824" s="36" t="s">
        <v>23876</v>
      </c>
      <c r="H1824" s="36" t="s">
        <v>23877</v>
      </c>
      <c r="I1824" s="36" t="s">
        <v>23878</v>
      </c>
      <c r="J1824" s="36" t="s">
        <v>23879</v>
      </c>
      <c r="K1824" s="36" t="s">
        <v>23880</v>
      </c>
      <c r="L1824" s="36" t="s">
        <v>23881</v>
      </c>
      <c r="M1824" s="36" t="s">
        <v>23882</v>
      </c>
      <c r="N1824" s="36" t="s">
        <v>23883</v>
      </c>
      <c r="O1824" s="36" t="s">
        <v>23884</v>
      </c>
      <c r="P1824" s="36" t="s">
        <v>23871</v>
      </c>
    </row>
    <row r="1825" spans="1:16" ht="15" customHeight="1">
      <c r="A1825" s="139">
        <v>1824</v>
      </c>
      <c r="B1825" s="36" t="s">
        <v>23885</v>
      </c>
      <c r="C1825" s="36" t="s">
        <v>23886</v>
      </c>
      <c r="D1825" s="36" t="s">
        <v>23887</v>
      </c>
      <c r="E1825" s="36" t="s">
        <v>23888</v>
      </c>
      <c r="F1825" s="36" t="s">
        <v>23889</v>
      </c>
      <c r="G1825" s="36" t="s">
        <v>23890</v>
      </c>
      <c r="H1825" s="36" t="s">
        <v>23891</v>
      </c>
      <c r="I1825" s="36" t="s">
        <v>23892</v>
      </c>
      <c r="J1825" s="36" t="s">
        <v>23893</v>
      </c>
      <c r="K1825" s="36" t="s">
        <v>23894</v>
      </c>
      <c r="L1825" s="36" t="s">
        <v>23895</v>
      </c>
      <c r="M1825" s="36" t="s">
        <v>23896</v>
      </c>
      <c r="N1825" s="36" t="s">
        <v>23897</v>
      </c>
      <c r="O1825" s="36" t="s">
        <v>23898</v>
      </c>
      <c r="P1825" s="36" t="s">
        <v>23885</v>
      </c>
    </row>
    <row r="1826" spans="1:16" ht="15" customHeight="1">
      <c r="A1826" s="139">
        <v>1825</v>
      </c>
      <c r="B1826" s="36" t="s">
        <v>23899</v>
      </c>
      <c r="C1826" s="36" t="s">
        <v>23844</v>
      </c>
      <c r="D1826" s="36" t="s">
        <v>23845</v>
      </c>
      <c r="E1826" s="36" t="s">
        <v>23846</v>
      </c>
      <c r="F1826" s="36" t="s">
        <v>23847</v>
      </c>
      <c r="G1826" s="36" t="s">
        <v>23900</v>
      </c>
      <c r="H1826" s="36" t="s">
        <v>23849</v>
      </c>
      <c r="I1826" s="36" t="s">
        <v>23850</v>
      </c>
      <c r="J1826" s="36" t="s">
        <v>23851</v>
      </c>
      <c r="K1826" s="36" t="s">
        <v>23852</v>
      </c>
      <c r="L1826" s="36" t="s">
        <v>23901</v>
      </c>
      <c r="M1826" s="36" t="s">
        <v>23854</v>
      </c>
      <c r="N1826" s="36" t="s">
        <v>23902</v>
      </c>
      <c r="O1826" s="36" t="s">
        <v>23856</v>
      </c>
      <c r="P1826" s="36" t="s">
        <v>23899</v>
      </c>
    </row>
    <row r="1827" spans="1:16" ht="15" customHeight="1">
      <c r="A1827" s="139">
        <v>1826</v>
      </c>
      <c r="B1827" s="36" t="s">
        <v>23903</v>
      </c>
      <c r="C1827" s="36" t="s">
        <v>23904</v>
      </c>
      <c r="D1827" s="36" t="s">
        <v>23905</v>
      </c>
      <c r="E1827" s="36" t="s">
        <v>23906</v>
      </c>
      <c r="F1827" s="36" t="s">
        <v>23907</v>
      </c>
      <c r="G1827" s="36" t="s">
        <v>23908</v>
      </c>
      <c r="H1827" s="36" t="s">
        <v>23909</v>
      </c>
      <c r="I1827" s="36" t="s">
        <v>23910</v>
      </c>
      <c r="J1827" s="36" t="s">
        <v>23911</v>
      </c>
      <c r="K1827" s="36" t="s">
        <v>23912</v>
      </c>
      <c r="L1827" s="36" t="s">
        <v>23913</v>
      </c>
      <c r="M1827" s="36" t="s">
        <v>23914</v>
      </c>
      <c r="N1827" s="36" t="s">
        <v>23915</v>
      </c>
      <c r="O1827" s="36" t="s">
        <v>23916</v>
      </c>
      <c r="P1827" s="36" t="s">
        <v>23903</v>
      </c>
    </row>
    <row r="1828" spans="1:16" ht="15" customHeight="1">
      <c r="A1828" s="139">
        <v>1827</v>
      </c>
      <c r="B1828" s="36" t="s">
        <v>23917</v>
      </c>
      <c r="C1828" s="36" t="s">
        <v>23918</v>
      </c>
      <c r="D1828" s="36" t="s">
        <v>23919</v>
      </c>
      <c r="E1828" s="36" t="s">
        <v>23920</v>
      </c>
      <c r="F1828" s="36" t="s">
        <v>23921</v>
      </c>
      <c r="G1828" s="36" t="s">
        <v>23922</v>
      </c>
      <c r="H1828" s="36" t="s">
        <v>23923</v>
      </c>
      <c r="I1828" s="36" t="s">
        <v>23924</v>
      </c>
      <c r="J1828" s="36" t="s">
        <v>23925</v>
      </c>
      <c r="K1828" s="36" t="s">
        <v>23926</v>
      </c>
      <c r="L1828" s="36" t="s">
        <v>23927</v>
      </c>
      <c r="M1828" s="36" t="s">
        <v>23928</v>
      </c>
      <c r="N1828" s="36" t="s">
        <v>23929</v>
      </c>
      <c r="O1828" s="36" t="s">
        <v>23930</v>
      </c>
      <c r="P1828" s="36" t="s">
        <v>23917</v>
      </c>
    </row>
    <row r="1829" spans="1:16" ht="15" customHeight="1">
      <c r="A1829" s="139">
        <v>1828</v>
      </c>
      <c r="B1829" s="36" t="s">
        <v>23931</v>
      </c>
      <c r="C1829" s="36" t="s">
        <v>23932</v>
      </c>
      <c r="D1829" s="36" t="s">
        <v>23933</v>
      </c>
      <c r="E1829" s="36" t="s">
        <v>23934</v>
      </c>
      <c r="F1829" s="36" t="s">
        <v>23935</v>
      </c>
      <c r="G1829" s="36" t="s">
        <v>23936</v>
      </c>
      <c r="H1829" s="36" t="s">
        <v>23935</v>
      </c>
      <c r="I1829" s="36" t="s">
        <v>23935</v>
      </c>
      <c r="J1829" s="36" t="s">
        <v>23937</v>
      </c>
      <c r="K1829" s="36" t="s">
        <v>23935</v>
      </c>
      <c r="L1829" s="36" t="s">
        <v>23938</v>
      </c>
      <c r="M1829" s="36" t="s">
        <v>23938</v>
      </c>
      <c r="N1829" s="36" t="s">
        <v>23939</v>
      </c>
      <c r="O1829" s="36" t="s">
        <v>23935</v>
      </c>
      <c r="P1829" s="36" t="s">
        <v>23931</v>
      </c>
    </row>
    <row r="1830" spans="1:16" ht="15" customHeight="1">
      <c r="A1830" s="139">
        <v>1829</v>
      </c>
      <c r="B1830" s="36" t="s">
        <v>23940</v>
      </c>
      <c r="C1830" s="36" t="s">
        <v>23941</v>
      </c>
      <c r="D1830" s="36" t="s">
        <v>23942</v>
      </c>
      <c r="E1830" s="36" t="s">
        <v>23943</v>
      </c>
      <c r="F1830" s="36" t="s">
        <v>23944</v>
      </c>
      <c r="G1830" s="36" t="s">
        <v>23945</v>
      </c>
      <c r="H1830" s="36" t="s">
        <v>23946</v>
      </c>
      <c r="I1830" s="36" t="s">
        <v>23947</v>
      </c>
      <c r="J1830" s="36" t="s">
        <v>23948</v>
      </c>
      <c r="K1830" s="36" t="s">
        <v>23949</v>
      </c>
      <c r="L1830" s="36" t="s">
        <v>23950</v>
      </c>
      <c r="M1830" s="36" t="s">
        <v>23951</v>
      </c>
      <c r="N1830" s="36" t="s">
        <v>23952</v>
      </c>
      <c r="O1830" s="36" t="s">
        <v>23953</v>
      </c>
      <c r="P1830" s="36" t="s">
        <v>23940</v>
      </c>
    </row>
    <row r="1831" spans="1:16" ht="15" customHeight="1">
      <c r="A1831" s="139">
        <v>1830</v>
      </c>
      <c r="B1831" s="36" t="s">
        <v>23954</v>
      </c>
      <c r="C1831" s="36" t="s">
        <v>23955</v>
      </c>
      <c r="D1831" s="36" t="s">
        <v>23956</v>
      </c>
      <c r="E1831" s="36" t="s">
        <v>23957</v>
      </c>
      <c r="F1831" s="36" t="s">
        <v>23958</v>
      </c>
      <c r="G1831" s="36" t="s">
        <v>23959</v>
      </c>
      <c r="H1831" s="36" t="s">
        <v>23960</v>
      </c>
      <c r="I1831" s="36" t="s">
        <v>23961</v>
      </c>
      <c r="J1831" s="36" t="s">
        <v>23962</v>
      </c>
      <c r="K1831" s="36" t="s">
        <v>23963</v>
      </c>
      <c r="L1831" s="36" t="s">
        <v>23964</v>
      </c>
      <c r="M1831" s="36" t="s">
        <v>23965</v>
      </c>
      <c r="N1831" s="36" t="s">
        <v>23966</v>
      </c>
      <c r="O1831" s="36" t="s">
        <v>23967</v>
      </c>
      <c r="P1831" s="36" t="s">
        <v>23954</v>
      </c>
    </row>
    <row r="1832" spans="1:16" ht="15" customHeight="1">
      <c r="A1832" s="139">
        <v>1831</v>
      </c>
      <c r="B1832" s="36" t="s">
        <v>23968</v>
      </c>
      <c r="C1832" s="36" t="s">
        <v>23969</v>
      </c>
      <c r="D1832" s="36" t="s">
        <v>23970</v>
      </c>
      <c r="E1832" s="36" t="s">
        <v>23971</v>
      </c>
      <c r="F1832" s="36" t="s">
        <v>23972</v>
      </c>
      <c r="G1832" s="36" t="s">
        <v>23973</v>
      </c>
      <c r="H1832" s="36" t="s">
        <v>23974</v>
      </c>
      <c r="I1832" s="36" t="s">
        <v>23975</v>
      </c>
      <c r="J1832" s="36" t="s">
        <v>23976</v>
      </c>
      <c r="K1832" s="36" t="s">
        <v>23977</v>
      </c>
      <c r="L1832" s="36" t="s">
        <v>23978</v>
      </c>
      <c r="M1832" s="36" t="s">
        <v>23979</v>
      </c>
      <c r="N1832" s="36" t="s">
        <v>23980</v>
      </c>
      <c r="O1832" s="36" t="s">
        <v>23981</v>
      </c>
      <c r="P1832" s="36" t="s">
        <v>23968</v>
      </c>
    </row>
    <row r="1833" spans="1:16" ht="15" customHeight="1">
      <c r="A1833" s="139">
        <v>1832</v>
      </c>
      <c r="B1833" s="36" t="s">
        <v>23982</v>
      </c>
      <c r="C1833" s="36" t="s">
        <v>23983</v>
      </c>
      <c r="D1833" s="36" t="s">
        <v>23984</v>
      </c>
      <c r="E1833" s="36" t="s">
        <v>23985</v>
      </c>
      <c r="F1833" s="36" t="s">
        <v>23986</v>
      </c>
      <c r="G1833" s="36" t="s">
        <v>23987</v>
      </c>
      <c r="H1833" s="36" t="s">
        <v>23988</v>
      </c>
      <c r="I1833" s="36" t="s">
        <v>23989</v>
      </c>
      <c r="J1833" s="36" t="s">
        <v>23990</v>
      </c>
      <c r="K1833" s="36" t="s">
        <v>23991</v>
      </c>
      <c r="L1833" s="36" t="s">
        <v>23992</v>
      </c>
      <c r="M1833" s="36" t="s">
        <v>23993</v>
      </c>
      <c r="N1833" s="36" t="s">
        <v>23994</v>
      </c>
      <c r="O1833" s="36" t="s">
        <v>23995</v>
      </c>
      <c r="P1833" s="36" t="s">
        <v>23982</v>
      </c>
    </row>
    <row r="1834" spans="1:16" ht="15" customHeight="1">
      <c r="A1834" s="139">
        <v>1833</v>
      </c>
      <c r="B1834" s="36" t="s">
        <v>23996</v>
      </c>
      <c r="C1834" s="36" t="s">
        <v>23997</v>
      </c>
      <c r="D1834" s="36" t="s">
        <v>23998</v>
      </c>
      <c r="E1834" s="36" t="s">
        <v>23999</v>
      </c>
      <c r="F1834" s="36" t="s">
        <v>24000</v>
      </c>
      <c r="G1834" s="36" t="s">
        <v>24001</v>
      </c>
      <c r="H1834" s="36" t="s">
        <v>24002</v>
      </c>
      <c r="I1834" s="36" t="s">
        <v>24003</v>
      </c>
      <c r="J1834" s="36" t="s">
        <v>24004</v>
      </c>
      <c r="K1834" s="36" t="s">
        <v>24005</v>
      </c>
      <c r="L1834" s="36" t="s">
        <v>24006</v>
      </c>
      <c r="M1834" s="36" t="s">
        <v>24007</v>
      </c>
      <c r="N1834" s="36" t="s">
        <v>24007</v>
      </c>
      <c r="O1834" s="36" t="s">
        <v>24008</v>
      </c>
      <c r="P1834" s="36" t="s">
        <v>23996</v>
      </c>
    </row>
    <row r="1835" spans="1:16" ht="15" customHeight="1">
      <c r="A1835" s="139">
        <v>1834</v>
      </c>
      <c r="B1835" s="36" t="s">
        <v>24009</v>
      </c>
      <c r="C1835" s="36" t="s">
        <v>24010</v>
      </c>
      <c r="D1835" s="36" t="s">
        <v>24011</v>
      </c>
      <c r="E1835" s="36" t="s">
        <v>24012</v>
      </c>
      <c r="F1835" s="36" t="s">
        <v>24013</v>
      </c>
      <c r="G1835" s="36" t="s">
        <v>24014</v>
      </c>
      <c r="H1835" s="36" t="s">
        <v>24015</v>
      </c>
      <c r="I1835" s="36" t="s">
        <v>24016</v>
      </c>
      <c r="J1835" s="36" t="s">
        <v>24017</v>
      </c>
      <c r="K1835" s="36" t="s">
        <v>24018</v>
      </c>
      <c r="L1835" s="36" t="s">
        <v>24019</v>
      </c>
      <c r="M1835" s="36" t="s">
        <v>24020</v>
      </c>
      <c r="N1835" s="36" t="s">
        <v>24021</v>
      </c>
      <c r="O1835" s="36" t="s">
        <v>24022</v>
      </c>
      <c r="P1835" s="36" t="s">
        <v>24009</v>
      </c>
    </row>
    <row r="1836" spans="1:16" ht="15" customHeight="1">
      <c r="A1836" s="139">
        <v>1835</v>
      </c>
      <c r="B1836" s="36" t="s">
        <v>24023</v>
      </c>
      <c r="C1836" s="36" t="s">
        <v>24024</v>
      </c>
      <c r="D1836" s="36" t="s">
        <v>24025</v>
      </c>
      <c r="E1836" s="36" t="s">
        <v>24026</v>
      </c>
      <c r="F1836" s="36" t="s">
        <v>24027</v>
      </c>
      <c r="G1836" s="36" t="s">
        <v>24028</v>
      </c>
      <c r="H1836" s="36" t="s">
        <v>24029</v>
      </c>
      <c r="I1836" s="36" t="s">
        <v>24030</v>
      </c>
      <c r="J1836" s="36" t="s">
        <v>24031</v>
      </c>
      <c r="K1836" s="36" t="s">
        <v>24032</v>
      </c>
      <c r="L1836" s="36" t="s">
        <v>24033</v>
      </c>
      <c r="M1836" s="36" t="s">
        <v>24034</v>
      </c>
      <c r="N1836" s="36" t="s">
        <v>13637</v>
      </c>
      <c r="O1836" s="36" t="s">
        <v>24035</v>
      </c>
      <c r="P1836" s="36" t="s">
        <v>24023</v>
      </c>
    </row>
    <row r="1837" spans="1:16" ht="15" customHeight="1">
      <c r="A1837" s="139">
        <v>1836</v>
      </c>
      <c r="B1837" s="36" t="s">
        <v>24036</v>
      </c>
      <c r="C1837" s="36" t="s">
        <v>24037</v>
      </c>
      <c r="D1837" s="36" t="s">
        <v>24038</v>
      </c>
      <c r="E1837" s="36" t="s">
        <v>24039</v>
      </c>
      <c r="F1837" s="36" t="s">
        <v>24040</v>
      </c>
      <c r="G1837" s="36" t="s">
        <v>24041</v>
      </c>
      <c r="H1837" s="36" t="s">
        <v>24042</v>
      </c>
      <c r="I1837" s="36" t="s">
        <v>24043</v>
      </c>
      <c r="J1837" s="36" t="s">
        <v>24044</v>
      </c>
      <c r="K1837" s="36" t="s">
        <v>24045</v>
      </c>
      <c r="L1837" s="36" t="s">
        <v>24046</v>
      </c>
      <c r="M1837" s="36" t="s">
        <v>24047</v>
      </c>
      <c r="N1837" s="36" t="s">
        <v>24048</v>
      </c>
      <c r="O1837" s="36" t="s">
        <v>24049</v>
      </c>
      <c r="P1837" s="36" t="s">
        <v>24036</v>
      </c>
    </row>
    <row r="1838" spans="1:16" ht="15" customHeight="1">
      <c r="A1838" s="139">
        <v>1837</v>
      </c>
      <c r="B1838" s="36" t="s">
        <v>24050</v>
      </c>
      <c r="C1838" s="36" t="s">
        <v>24051</v>
      </c>
      <c r="D1838" s="36" t="s">
        <v>24051</v>
      </c>
      <c r="E1838" s="36" t="s">
        <v>24052</v>
      </c>
      <c r="F1838" s="36" t="s">
        <v>13443</v>
      </c>
      <c r="G1838" s="36" t="s">
        <v>13441</v>
      </c>
      <c r="H1838" s="36" t="s">
        <v>24053</v>
      </c>
      <c r="I1838" s="36" t="s">
        <v>13443</v>
      </c>
      <c r="J1838" s="36" t="s">
        <v>24054</v>
      </c>
      <c r="K1838" s="36" t="s">
        <v>24055</v>
      </c>
      <c r="L1838" s="36" t="s">
        <v>24056</v>
      </c>
      <c r="M1838" s="36" t="s">
        <v>13437</v>
      </c>
      <c r="N1838" s="36" t="s">
        <v>13437</v>
      </c>
      <c r="O1838" s="36" t="s">
        <v>24057</v>
      </c>
      <c r="P1838" s="36" t="s">
        <v>24050</v>
      </c>
    </row>
    <row r="1839" spans="1:16" ht="15" customHeight="1">
      <c r="A1839" s="139">
        <v>1838</v>
      </c>
      <c r="B1839" s="36" t="s">
        <v>24058</v>
      </c>
      <c r="C1839" s="36" t="s">
        <v>24059</v>
      </c>
      <c r="D1839" s="36" t="s">
        <v>24060</v>
      </c>
      <c r="E1839" s="36" t="s">
        <v>24061</v>
      </c>
      <c r="F1839" s="36" t="s">
        <v>24062</v>
      </c>
      <c r="G1839" s="36" t="s">
        <v>24058</v>
      </c>
      <c r="H1839" s="36" t="s">
        <v>24063</v>
      </c>
      <c r="I1839" s="36" t="s">
        <v>24064</v>
      </c>
      <c r="J1839" s="36" t="s">
        <v>24065</v>
      </c>
      <c r="K1839" s="36" t="s">
        <v>24066</v>
      </c>
      <c r="L1839" s="36" t="s">
        <v>24067</v>
      </c>
      <c r="M1839" s="36" t="s">
        <v>24068</v>
      </c>
      <c r="N1839" s="36" t="s">
        <v>24069</v>
      </c>
      <c r="O1839" s="36" t="s">
        <v>24070</v>
      </c>
      <c r="P1839" s="36" t="s">
        <v>24058</v>
      </c>
    </row>
    <row r="1840" spans="1:16" ht="15" customHeight="1">
      <c r="A1840" s="139">
        <v>1839</v>
      </c>
      <c r="B1840" s="36" t="s">
        <v>24071</v>
      </c>
      <c r="C1840" s="36" t="s">
        <v>9783</v>
      </c>
      <c r="D1840" s="36" t="s">
        <v>24072</v>
      </c>
      <c r="E1840" s="36" t="s">
        <v>24052</v>
      </c>
      <c r="F1840" s="36" t="s">
        <v>24073</v>
      </c>
      <c r="G1840" s="36" t="s">
        <v>24074</v>
      </c>
      <c r="H1840" s="36" t="s">
        <v>24075</v>
      </c>
      <c r="I1840" s="36" t="s">
        <v>24076</v>
      </c>
      <c r="J1840" s="36" t="s">
        <v>24054</v>
      </c>
      <c r="K1840" s="36" t="s">
        <v>24055</v>
      </c>
      <c r="L1840" s="36" t="s">
        <v>24077</v>
      </c>
      <c r="M1840" s="36" t="s">
        <v>24078</v>
      </c>
      <c r="N1840" s="36" t="s">
        <v>24079</v>
      </c>
      <c r="O1840" s="36" t="s">
        <v>24080</v>
      </c>
      <c r="P1840" s="36" t="s">
        <v>24071</v>
      </c>
    </row>
    <row r="1841" spans="1:16" ht="15" customHeight="1">
      <c r="A1841" s="139">
        <v>1840</v>
      </c>
      <c r="B1841" s="36" t="s">
        <v>24081</v>
      </c>
      <c r="C1841" s="36" t="s">
        <v>24082</v>
      </c>
      <c r="D1841" s="36" t="s">
        <v>24083</v>
      </c>
      <c r="E1841" s="36" t="s">
        <v>24084</v>
      </c>
      <c r="F1841" s="36" t="s">
        <v>24085</v>
      </c>
      <c r="G1841" s="36" t="s">
        <v>24086</v>
      </c>
      <c r="H1841" s="36" t="s">
        <v>24087</v>
      </c>
      <c r="I1841" s="36" t="s">
        <v>24088</v>
      </c>
      <c r="J1841" s="36" t="s">
        <v>24089</v>
      </c>
      <c r="K1841" s="36" t="s">
        <v>24090</v>
      </c>
      <c r="L1841" s="36" t="s">
        <v>24091</v>
      </c>
      <c r="M1841" s="36" t="s">
        <v>24092</v>
      </c>
      <c r="N1841" s="36" t="s">
        <v>24093</v>
      </c>
      <c r="O1841" s="36" t="s">
        <v>24094</v>
      </c>
      <c r="P1841" s="36" t="s">
        <v>24081</v>
      </c>
    </row>
    <row r="1842" spans="1:16" ht="15" customHeight="1">
      <c r="A1842" s="139">
        <v>1841</v>
      </c>
      <c r="B1842" s="36" t="s">
        <v>24095</v>
      </c>
      <c r="C1842" s="36" t="s">
        <v>24096</v>
      </c>
      <c r="D1842" s="36" t="s">
        <v>24097</v>
      </c>
      <c r="E1842" s="36" t="s">
        <v>24098</v>
      </c>
      <c r="F1842" s="36" t="s">
        <v>24099</v>
      </c>
      <c r="G1842" s="36" t="s">
        <v>24100</v>
      </c>
      <c r="H1842" s="36" t="s">
        <v>24101</v>
      </c>
      <c r="I1842" s="36" t="s">
        <v>24102</v>
      </c>
      <c r="J1842" s="36" t="s">
        <v>24103</v>
      </c>
      <c r="K1842" s="36" t="s">
        <v>24104</v>
      </c>
      <c r="L1842" s="36" t="s">
        <v>24105</v>
      </c>
      <c r="M1842" s="36" t="s">
        <v>24106</v>
      </c>
      <c r="N1842" s="36" t="s">
        <v>24107</v>
      </c>
      <c r="O1842" s="36" t="s">
        <v>24108</v>
      </c>
      <c r="P1842" s="36" t="s">
        <v>24095</v>
      </c>
    </row>
    <row r="1843" spans="1:16" ht="15" customHeight="1">
      <c r="A1843" s="139">
        <v>1842</v>
      </c>
      <c r="B1843" s="36" t="s">
        <v>24109</v>
      </c>
      <c r="C1843" s="36" t="s">
        <v>24110</v>
      </c>
      <c r="D1843" s="36" t="s">
        <v>24111</v>
      </c>
      <c r="E1843" s="36" t="s">
        <v>24112</v>
      </c>
      <c r="F1843" s="36" t="s">
        <v>24113</v>
      </c>
      <c r="G1843" s="36" t="s">
        <v>24114</v>
      </c>
      <c r="H1843" s="36" t="s">
        <v>24115</v>
      </c>
      <c r="I1843" s="36" t="s">
        <v>24116</v>
      </c>
      <c r="J1843" s="36" t="s">
        <v>24117</v>
      </c>
      <c r="K1843" s="36" t="s">
        <v>24118</v>
      </c>
      <c r="L1843" s="36" t="s">
        <v>24119</v>
      </c>
      <c r="M1843" s="36" t="s">
        <v>24120</v>
      </c>
      <c r="N1843" s="36" t="s">
        <v>24121</v>
      </c>
      <c r="O1843" s="36" t="s">
        <v>24122</v>
      </c>
      <c r="P1843" s="36" t="s">
        <v>24109</v>
      </c>
    </row>
    <row r="1844" spans="1:16" ht="15" customHeight="1">
      <c r="A1844" s="139">
        <v>1843</v>
      </c>
      <c r="B1844" s="36" t="s">
        <v>24123</v>
      </c>
      <c r="C1844" s="36" t="s">
        <v>24124</v>
      </c>
      <c r="D1844" s="36" t="s">
        <v>24125</v>
      </c>
      <c r="E1844" s="36" t="s">
        <v>24126</v>
      </c>
      <c r="F1844" s="36" t="s">
        <v>24127</v>
      </c>
      <c r="G1844" s="36" t="s">
        <v>24128</v>
      </c>
      <c r="H1844" s="36" t="s">
        <v>24129</v>
      </c>
      <c r="I1844" s="36" t="s">
        <v>24130</v>
      </c>
      <c r="J1844" s="36" t="s">
        <v>24131</v>
      </c>
      <c r="K1844" s="36" t="s">
        <v>24132</v>
      </c>
      <c r="L1844" s="36" t="s">
        <v>24133</v>
      </c>
      <c r="M1844" s="36" t="s">
        <v>24134</v>
      </c>
      <c r="N1844" s="36" t="s">
        <v>24135</v>
      </c>
      <c r="O1844" s="36" t="s">
        <v>24136</v>
      </c>
      <c r="P1844" s="36" t="s">
        <v>24123</v>
      </c>
    </row>
    <row r="1845" spans="1:16" ht="15" customHeight="1">
      <c r="A1845" s="139">
        <v>1844</v>
      </c>
      <c r="B1845" s="36" t="s">
        <v>24137</v>
      </c>
      <c r="C1845" s="36" t="s">
        <v>24137</v>
      </c>
      <c r="D1845" s="36" t="s">
        <v>24138</v>
      </c>
      <c r="E1845" s="36" t="s">
        <v>24139</v>
      </c>
      <c r="F1845" s="36" t="s">
        <v>24140</v>
      </c>
      <c r="G1845" s="36" t="s">
        <v>24137</v>
      </c>
      <c r="H1845" s="36" t="s">
        <v>24141</v>
      </c>
      <c r="I1845" s="36" t="s">
        <v>24142</v>
      </c>
      <c r="J1845" s="36" t="s">
        <v>24143</v>
      </c>
      <c r="K1845" s="36" t="s">
        <v>24144</v>
      </c>
      <c r="L1845" s="36" t="s">
        <v>24137</v>
      </c>
      <c r="M1845" s="36" t="s">
        <v>24137</v>
      </c>
      <c r="N1845" s="36" t="s">
        <v>24137</v>
      </c>
      <c r="O1845" s="36" t="s">
        <v>24145</v>
      </c>
      <c r="P1845" s="36" t="s">
        <v>24137</v>
      </c>
    </row>
    <row r="1846" spans="1:16" ht="15" customHeight="1">
      <c r="A1846" s="139">
        <v>1845</v>
      </c>
      <c r="B1846" s="36" t="s">
        <v>24146</v>
      </c>
      <c r="C1846" s="36" t="s">
        <v>24146</v>
      </c>
      <c r="D1846" s="36" t="s">
        <v>24147</v>
      </c>
      <c r="E1846" s="36" t="s">
        <v>24148</v>
      </c>
      <c r="F1846" s="36" t="s">
        <v>24149</v>
      </c>
      <c r="G1846" s="36" t="s">
        <v>24146</v>
      </c>
      <c r="H1846" s="36" t="s">
        <v>24150</v>
      </c>
      <c r="I1846" s="36" t="s">
        <v>24151</v>
      </c>
      <c r="J1846" s="36" t="s">
        <v>24152</v>
      </c>
      <c r="K1846" s="36" t="s">
        <v>24153</v>
      </c>
      <c r="L1846" s="36" t="s">
        <v>24146</v>
      </c>
      <c r="M1846" s="36" t="s">
        <v>24146</v>
      </c>
      <c r="N1846" s="36" t="s">
        <v>24146</v>
      </c>
      <c r="O1846" s="36" t="s">
        <v>24154</v>
      </c>
      <c r="P1846" s="36" t="s">
        <v>24146</v>
      </c>
    </row>
    <row r="1847" spans="1:16" ht="15" customHeight="1">
      <c r="A1847" s="139">
        <v>1846</v>
      </c>
      <c r="B1847" s="36" t="s">
        <v>24155</v>
      </c>
      <c r="C1847" s="36" t="s">
        <v>24155</v>
      </c>
      <c r="D1847" s="36" t="s">
        <v>24156</v>
      </c>
      <c r="E1847" s="36" t="s">
        <v>24157</v>
      </c>
      <c r="F1847" s="36" t="s">
        <v>24158</v>
      </c>
      <c r="G1847" s="36" t="s">
        <v>24155</v>
      </c>
      <c r="H1847" s="36" t="s">
        <v>24159</v>
      </c>
      <c r="I1847" s="36" t="s">
        <v>24160</v>
      </c>
      <c r="J1847" s="36" t="s">
        <v>24161</v>
      </c>
      <c r="K1847" s="36" t="s">
        <v>24162</v>
      </c>
      <c r="L1847" s="36" t="s">
        <v>24155</v>
      </c>
      <c r="M1847" s="36" t="s">
        <v>24155</v>
      </c>
      <c r="N1847" s="36" t="s">
        <v>24155</v>
      </c>
      <c r="O1847" s="36" t="s">
        <v>24163</v>
      </c>
      <c r="P1847" s="36" t="s">
        <v>24155</v>
      </c>
    </row>
    <row r="1848" spans="1:16" ht="15" customHeight="1">
      <c r="A1848" s="139">
        <v>1847</v>
      </c>
      <c r="B1848" s="36" t="s">
        <v>24164</v>
      </c>
      <c r="C1848" s="36" t="s">
        <v>24164</v>
      </c>
      <c r="D1848" s="36" t="s">
        <v>24165</v>
      </c>
      <c r="E1848" s="36" t="s">
        <v>24166</v>
      </c>
      <c r="F1848" s="36" t="s">
        <v>24167</v>
      </c>
      <c r="G1848" s="36" t="s">
        <v>24164</v>
      </c>
      <c r="H1848" s="36" t="s">
        <v>24168</v>
      </c>
      <c r="I1848" s="36" t="s">
        <v>24169</v>
      </c>
      <c r="J1848" s="36" t="s">
        <v>24170</v>
      </c>
      <c r="K1848" s="36" t="s">
        <v>24171</v>
      </c>
      <c r="L1848" s="36" t="s">
        <v>24164</v>
      </c>
      <c r="M1848" s="36" t="s">
        <v>24164</v>
      </c>
      <c r="N1848" s="36" t="s">
        <v>24164</v>
      </c>
      <c r="O1848" s="36" t="s">
        <v>24172</v>
      </c>
      <c r="P1848" s="36" t="s">
        <v>24164</v>
      </c>
    </row>
    <row r="1849" spans="1:16" ht="15" customHeight="1">
      <c r="A1849" s="139">
        <v>1848</v>
      </c>
      <c r="B1849" s="36" t="s">
        <v>24173</v>
      </c>
      <c r="C1849" s="36" t="s">
        <v>24173</v>
      </c>
      <c r="D1849" s="36" t="s">
        <v>24173</v>
      </c>
      <c r="E1849" s="36" t="s">
        <v>24173</v>
      </c>
      <c r="F1849" s="36" t="s">
        <v>24173</v>
      </c>
      <c r="G1849" s="36" t="s">
        <v>24173</v>
      </c>
      <c r="H1849" s="36" t="s">
        <v>24173</v>
      </c>
      <c r="I1849" s="36" t="s">
        <v>24174</v>
      </c>
      <c r="J1849" s="36" t="s">
        <v>24173</v>
      </c>
      <c r="K1849" s="36" t="s">
        <v>24173</v>
      </c>
      <c r="L1849" s="36" t="s">
        <v>24173</v>
      </c>
      <c r="M1849" s="36" t="s">
        <v>24173</v>
      </c>
      <c r="N1849" s="36" t="s">
        <v>24173</v>
      </c>
      <c r="O1849" s="36" t="s">
        <v>24173</v>
      </c>
      <c r="P1849" s="36" t="s">
        <v>24173</v>
      </c>
    </row>
    <row r="1850" spans="1:16" ht="15" customHeight="1">
      <c r="A1850" s="139">
        <v>1849</v>
      </c>
      <c r="B1850" s="36" t="s">
        <v>24175</v>
      </c>
      <c r="C1850" s="36" t="s">
        <v>24176</v>
      </c>
      <c r="D1850" s="36" t="s">
        <v>24177</v>
      </c>
      <c r="E1850" s="36" t="s">
        <v>24178</v>
      </c>
      <c r="F1850" s="36" t="s">
        <v>24179</v>
      </c>
      <c r="G1850" s="36" t="s">
        <v>24180</v>
      </c>
      <c r="H1850" s="36" t="s">
        <v>24181</v>
      </c>
      <c r="I1850" s="36" t="s">
        <v>24182</v>
      </c>
      <c r="J1850" s="36" t="s">
        <v>24183</v>
      </c>
      <c r="K1850" s="36" t="s">
        <v>24180</v>
      </c>
      <c r="L1850" s="36" t="s">
        <v>24184</v>
      </c>
      <c r="M1850" s="36" t="s">
        <v>24185</v>
      </c>
      <c r="N1850" s="36" t="s">
        <v>24186</v>
      </c>
      <c r="O1850" s="36" t="s">
        <v>24187</v>
      </c>
      <c r="P1850" s="36" t="s">
        <v>24175</v>
      </c>
    </row>
    <row r="1851" spans="1:16" ht="15" customHeight="1">
      <c r="A1851" s="139">
        <v>1850</v>
      </c>
      <c r="B1851" s="36" t="s">
        <v>24188</v>
      </c>
      <c r="C1851" s="36" t="s">
        <v>24189</v>
      </c>
      <c r="D1851" s="36" t="s">
        <v>24190</v>
      </c>
      <c r="E1851" s="36" t="s">
        <v>24191</v>
      </c>
      <c r="F1851" s="36" t="s">
        <v>24192</v>
      </c>
      <c r="G1851" s="36" t="s">
        <v>24193</v>
      </c>
      <c r="H1851" s="36" t="s">
        <v>24194</v>
      </c>
      <c r="I1851" s="36" t="s">
        <v>24195</v>
      </c>
      <c r="J1851" s="36" t="s">
        <v>24196</v>
      </c>
      <c r="K1851" s="36" t="s">
        <v>24197</v>
      </c>
      <c r="L1851" s="36" t="s">
        <v>24198</v>
      </c>
      <c r="M1851" s="36" t="s">
        <v>24199</v>
      </c>
      <c r="N1851" s="36" t="s">
        <v>24200</v>
      </c>
      <c r="O1851" s="36" t="s">
        <v>24201</v>
      </c>
      <c r="P1851" s="36" t="s">
        <v>24188</v>
      </c>
    </row>
    <row r="1852" spans="1:16" ht="15" customHeight="1">
      <c r="A1852" s="139">
        <v>1851</v>
      </c>
      <c r="B1852" s="36" t="s">
        <v>24202</v>
      </c>
      <c r="C1852" s="36" t="s">
        <v>24203</v>
      </c>
      <c r="D1852" s="36" t="s">
        <v>24204</v>
      </c>
      <c r="E1852" s="36" t="s">
        <v>24205</v>
      </c>
      <c r="F1852" s="36" t="s">
        <v>24206</v>
      </c>
      <c r="G1852" s="36" t="s">
        <v>24207</v>
      </c>
      <c r="H1852" s="36" t="s">
        <v>24208</v>
      </c>
      <c r="I1852" s="36" t="s">
        <v>24209</v>
      </c>
      <c r="J1852" s="36" t="s">
        <v>24210</v>
      </c>
      <c r="K1852" s="36" t="s">
        <v>24211</v>
      </c>
      <c r="L1852" s="36" t="s">
        <v>24212</v>
      </c>
      <c r="M1852" s="36" t="s">
        <v>24213</v>
      </c>
      <c r="N1852" s="36" t="s">
        <v>24214</v>
      </c>
      <c r="O1852" s="36" t="s">
        <v>24215</v>
      </c>
      <c r="P1852" s="36" t="s">
        <v>24202</v>
      </c>
    </row>
    <row r="1853" spans="1:16" ht="15" customHeight="1">
      <c r="A1853" s="139">
        <v>1852</v>
      </c>
      <c r="B1853" s="36" t="s">
        <v>24216</v>
      </c>
      <c r="C1853" s="36" t="s">
        <v>24217</v>
      </c>
      <c r="D1853" s="36" t="s">
        <v>24218</v>
      </c>
      <c r="E1853" s="36" t="s">
        <v>24219</v>
      </c>
      <c r="F1853" s="36" t="s">
        <v>24220</v>
      </c>
      <c r="G1853" s="36" t="s">
        <v>24221</v>
      </c>
      <c r="H1853" s="36" t="s">
        <v>24222</v>
      </c>
      <c r="I1853" s="36" t="s">
        <v>24223</v>
      </c>
      <c r="J1853" s="36" t="s">
        <v>24224</v>
      </c>
      <c r="K1853" s="36" t="s">
        <v>24225</v>
      </c>
      <c r="L1853" s="36" t="s">
        <v>24226</v>
      </c>
      <c r="M1853" s="36" t="s">
        <v>24227</v>
      </c>
      <c r="N1853" s="36" t="s">
        <v>24228</v>
      </c>
      <c r="O1853" s="36" t="s">
        <v>24229</v>
      </c>
      <c r="P1853" s="36" t="s">
        <v>24216</v>
      </c>
    </row>
    <row r="1854" spans="1:16" ht="15" customHeight="1">
      <c r="A1854" s="139">
        <v>1853</v>
      </c>
      <c r="B1854" s="36" t="s">
        <v>24230</v>
      </c>
      <c r="C1854" s="36" t="s">
        <v>24217</v>
      </c>
      <c r="D1854" s="36" t="s">
        <v>24218</v>
      </c>
      <c r="E1854" s="36" t="s">
        <v>24219</v>
      </c>
      <c r="F1854" s="36" t="s">
        <v>24220</v>
      </c>
      <c r="G1854" s="36" t="s">
        <v>24221</v>
      </c>
      <c r="H1854" s="36" t="s">
        <v>24222</v>
      </c>
      <c r="I1854" s="36" t="s">
        <v>24223</v>
      </c>
      <c r="J1854" s="36" t="s">
        <v>24224</v>
      </c>
      <c r="K1854" s="36" t="s">
        <v>24225</v>
      </c>
      <c r="L1854" s="36" t="s">
        <v>24226</v>
      </c>
      <c r="M1854" s="36" t="s">
        <v>24227</v>
      </c>
      <c r="N1854" s="36" t="s">
        <v>24228</v>
      </c>
      <c r="O1854" s="36" t="s">
        <v>24229</v>
      </c>
      <c r="P1854" s="36" t="s">
        <v>24230</v>
      </c>
    </row>
    <row r="1855" spans="1:16" ht="15" customHeight="1">
      <c r="A1855" s="139">
        <v>1854</v>
      </c>
      <c r="B1855" s="36" t="s">
        <v>24231</v>
      </c>
      <c r="C1855" s="36" t="s">
        <v>24232</v>
      </c>
      <c r="D1855" s="36" t="s">
        <v>24233</v>
      </c>
      <c r="E1855" s="36" t="s">
        <v>24234</v>
      </c>
      <c r="F1855" s="36" t="s">
        <v>24235</v>
      </c>
      <c r="G1855" s="36" t="s">
        <v>24236</v>
      </c>
      <c r="H1855" s="36" t="s">
        <v>24237</v>
      </c>
      <c r="I1855" s="36" t="s">
        <v>24238</v>
      </c>
      <c r="J1855" s="36" t="s">
        <v>24239</v>
      </c>
      <c r="K1855" s="36" t="s">
        <v>24240</v>
      </c>
      <c r="L1855" s="36" t="s">
        <v>23058</v>
      </c>
      <c r="M1855" s="36" t="s">
        <v>24241</v>
      </c>
      <c r="N1855" s="36" t="s">
        <v>24242</v>
      </c>
      <c r="O1855" s="36" t="s">
        <v>24240</v>
      </c>
      <c r="P1855" s="36" t="s">
        <v>24231</v>
      </c>
    </row>
    <row r="1856" spans="1:16" ht="15" customHeight="1">
      <c r="A1856" s="139">
        <v>1855</v>
      </c>
      <c r="B1856" s="36" t="s">
        <v>24243</v>
      </c>
      <c r="C1856" s="36" t="s">
        <v>24244</v>
      </c>
      <c r="D1856" s="36" t="s">
        <v>24245</v>
      </c>
      <c r="E1856" s="36" t="s">
        <v>24246</v>
      </c>
      <c r="F1856" s="36" t="s">
        <v>24247</v>
      </c>
      <c r="G1856" s="36" t="s">
        <v>24248</v>
      </c>
      <c r="H1856" s="36" t="s">
        <v>24249</v>
      </c>
      <c r="I1856" s="36" t="s">
        <v>24250</v>
      </c>
      <c r="J1856" s="36" t="s">
        <v>24251</v>
      </c>
      <c r="K1856" s="36" t="s">
        <v>24252</v>
      </c>
      <c r="L1856" s="36" t="s">
        <v>24253</v>
      </c>
      <c r="M1856" s="36" t="s">
        <v>24254</v>
      </c>
      <c r="N1856" s="36" t="s">
        <v>24255</v>
      </c>
      <c r="O1856" s="36" t="s">
        <v>24256</v>
      </c>
      <c r="P1856" s="36" t="s">
        <v>24243</v>
      </c>
    </row>
    <row r="1857" spans="1:16" ht="15" customHeight="1">
      <c r="A1857" s="139">
        <v>1856</v>
      </c>
      <c r="B1857" s="36" t="s">
        <v>24257</v>
      </c>
      <c r="C1857" s="36" t="s">
        <v>24258</v>
      </c>
      <c r="D1857" s="36" t="s">
        <v>24259</v>
      </c>
      <c r="E1857" s="36" t="s">
        <v>24260</v>
      </c>
      <c r="F1857" s="36" t="s">
        <v>24261</v>
      </c>
      <c r="G1857" s="36" t="s">
        <v>24262</v>
      </c>
      <c r="H1857" s="36" t="s">
        <v>24263</v>
      </c>
      <c r="I1857" s="36" t="s">
        <v>24264</v>
      </c>
      <c r="J1857" s="36" t="s">
        <v>24265</v>
      </c>
      <c r="K1857" s="36" t="s">
        <v>24266</v>
      </c>
      <c r="L1857" s="36" t="s">
        <v>24267</v>
      </c>
      <c r="M1857" s="36" t="s">
        <v>24268</v>
      </c>
      <c r="N1857" s="36" t="s">
        <v>24269</v>
      </c>
      <c r="O1857" s="36" t="s">
        <v>24270</v>
      </c>
      <c r="P1857" s="36" t="s">
        <v>24257</v>
      </c>
    </row>
    <row r="1858" spans="1:16" ht="15" customHeight="1">
      <c r="A1858" s="139">
        <v>1857</v>
      </c>
      <c r="B1858" s="36" t="s">
        <v>24271</v>
      </c>
      <c r="C1858" s="36" t="s">
        <v>24272</v>
      </c>
      <c r="D1858" s="36" t="s">
        <v>24273</v>
      </c>
      <c r="E1858" s="36" t="s">
        <v>24274</v>
      </c>
      <c r="F1858" s="36" t="s">
        <v>24275</v>
      </c>
      <c r="G1858" s="36" t="s">
        <v>24276</v>
      </c>
      <c r="H1858" s="36" t="s">
        <v>24277</v>
      </c>
      <c r="I1858" s="36" t="s">
        <v>24278</v>
      </c>
      <c r="J1858" s="36" t="s">
        <v>24279</v>
      </c>
      <c r="K1858" s="36" t="s">
        <v>24280</v>
      </c>
      <c r="L1858" s="36" t="s">
        <v>24281</v>
      </c>
      <c r="M1858" s="36" t="s">
        <v>24282</v>
      </c>
      <c r="N1858" s="36" t="s">
        <v>24283</v>
      </c>
      <c r="O1858" s="36" t="s">
        <v>24284</v>
      </c>
      <c r="P1858" s="36" t="s">
        <v>24271</v>
      </c>
    </row>
    <row r="1859" spans="1:16" ht="15" customHeight="1">
      <c r="A1859" s="139">
        <v>1858</v>
      </c>
      <c r="B1859" s="36" t="s">
        <v>24285</v>
      </c>
      <c r="C1859" s="36" t="s">
        <v>24286</v>
      </c>
      <c r="D1859" s="36" t="s">
        <v>24287</v>
      </c>
      <c r="E1859" s="36" t="s">
        <v>24288</v>
      </c>
      <c r="F1859" s="36" t="s">
        <v>24289</v>
      </c>
      <c r="G1859" s="36" t="s">
        <v>24290</v>
      </c>
      <c r="H1859" s="36" t="s">
        <v>24291</v>
      </c>
      <c r="I1859" s="36" t="s">
        <v>24292</v>
      </c>
      <c r="J1859" s="36" t="s">
        <v>24293</v>
      </c>
      <c r="K1859" s="36" t="s">
        <v>24294</v>
      </c>
      <c r="L1859" s="36" t="s">
        <v>24295</v>
      </c>
      <c r="M1859" s="36" t="s">
        <v>24296</v>
      </c>
      <c r="N1859" s="36" t="s">
        <v>24297</v>
      </c>
      <c r="O1859" s="36" t="s">
        <v>24298</v>
      </c>
      <c r="P1859" s="36" t="s">
        <v>24285</v>
      </c>
    </row>
    <row r="1860" spans="1:16" ht="15" customHeight="1">
      <c r="A1860" s="139">
        <v>1859</v>
      </c>
      <c r="B1860" s="36" t="s">
        <v>24299</v>
      </c>
      <c r="C1860" s="36" t="s">
        <v>24300</v>
      </c>
      <c r="D1860" s="36" t="s">
        <v>24301</v>
      </c>
      <c r="E1860" s="36" t="s">
        <v>24302</v>
      </c>
      <c r="F1860" s="36" t="s">
        <v>24303</v>
      </c>
      <c r="G1860" s="36" t="s">
        <v>24304</v>
      </c>
      <c r="H1860" s="36" t="s">
        <v>24305</v>
      </c>
      <c r="I1860" s="36" t="s">
        <v>24306</v>
      </c>
      <c r="J1860" s="36" t="s">
        <v>24307</v>
      </c>
      <c r="K1860" s="36" t="s">
        <v>24308</v>
      </c>
      <c r="L1860" s="36" t="s">
        <v>24309</v>
      </c>
      <c r="M1860" s="36" t="s">
        <v>24310</v>
      </c>
      <c r="N1860" s="36" t="s">
        <v>24311</v>
      </c>
      <c r="O1860" s="36" t="s">
        <v>24312</v>
      </c>
      <c r="P1860" s="36" t="s">
        <v>24299</v>
      </c>
    </row>
    <row r="1861" spans="1:16" ht="15" customHeight="1">
      <c r="A1861" s="139">
        <v>1860</v>
      </c>
      <c r="B1861" s="36" t="s">
        <v>24313</v>
      </c>
      <c r="C1861" s="36" t="s">
        <v>24314</v>
      </c>
      <c r="D1861" s="36" t="s">
        <v>24315</v>
      </c>
      <c r="E1861" s="36" t="s">
        <v>24316</v>
      </c>
      <c r="F1861" s="36" t="s">
        <v>24317</v>
      </c>
      <c r="G1861" s="36" t="s">
        <v>24318</v>
      </c>
      <c r="H1861" s="36" t="s">
        <v>24319</v>
      </c>
      <c r="I1861" s="36" t="s">
        <v>24320</v>
      </c>
      <c r="J1861" s="36" t="s">
        <v>24321</v>
      </c>
      <c r="K1861" s="36" t="s">
        <v>24322</v>
      </c>
      <c r="L1861" s="36" t="s">
        <v>24323</v>
      </c>
      <c r="M1861" s="36" t="s">
        <v>24324</v>
      </c>
      <c r="N1861" s="36" t="s">
        <v>24325</v>
      </c>
      <c r="O1861" s="36" t="s">
        <v>24326</v>
      </c>
      <c r="P1861" s="36" t="s">
        <v>24313</v>
      </c>
    </row>
    <row r="1862" spans="1:16" ht="15" customHeight="1">
      <c r="A1862" s="139">
        <v>1861</v>
      </c>
      <c r="B1862" s="36" t="s">
        <v>24327</v>
      </c>
      <c r="C1862" s="36" t="s">
        <v>24328</v>
      </c>
      <c r="D1862" s="36" t="s">
        <v>24329</v>
      </c>
      <c r="E1862" s="36" t="s">
        <v>24330</v>
      </c>
      <c r="F1862" s="36" t="s">
        <v>24331</v>
      </c>
      <c r="G1862" s="36" t="s">
        <v>24332</v>
      </c>
      <c r="H1862" s="36" t="s">
        <v>24333</v>
      </c>
      <c r="I1862" s="36" t="s">
        <v>24334</v>
      </c>
      <c r="J1862" s="36" t="s">
        <v>24335</v>
      </c>
      <c r="K1862" s="36" t="s">
        <v>24336</v>
      </c>
      <c r="L1862" s="36" t="s">
        <v>24337</v>
      </c>
      <c r="M1862" s="36" t="s">
        <v>24338</v>
      </c>
      <c r="N1862" s="36" t="s">
        <v>24339</v>
      </c>
      <c r="O1862" s="36" t="s">
        <v>24340</v>
      </c>
      <c r="P1862" s="36" t="s">
        <v>24327</v>
      </c>
    </row>
    <row r="1863" spans="1:16" ht="15" customHeight="1">
      <c r="A1863" s="139">
        <v>1862</v>
      </c>
      <c r="B1863" s="36" t="s">
        <v>24341</v>
      </c>
      <c r="C1863" s="36" t="s">
        <v>24342</v>
      </c>
      <c r="D1863" s="36" t="s">
        <v>24343</v>
      </c>
      <c r="E1863" s="36" t="s">
        <v>24344</v>
      </c>
      <c r="F1863" s="36" t="s">
        <v>24345</v>
      </c>
      <c r="G1863" s="36" t="s">
        <v>24346</v>
      </c>
      <c r="H1863" s="36" t="s">
        <v>24347</v>
      </c>
      <c r="I1863" s="36" t="s">
        <v>24348</v>
      </c>
      <c r="J1863" s="36" t="s">
        <v>24349</v>
      </c>
      <c r="K1863" s="36" t="s">
        <v>24350</v>
      </c>
      <c r="L1863" s="36" t="s">
        <v>24351</v>
      </c>
      <c r="M1863" s="36" t="s">
        <v>24352</v>
      </c>
      <c r="N1863" s="36" t="s">
        <v>24353</v>
      </c>
      <c r="O1863" s="36" t="s">
        <v>24354</v>
      </c>
      <c r="P1863" s="36" t="s">
        <v>24341</v>
      </c>
    </row>
    <row r="1864" spans="1:16" ht="15" customHeight="1">
      <c r="A1864" s="139">
        <v>1863</v>
      </c>
      <c r="B1864" s="36" t="s">
        <v>24355</v>
      </c>
      <c r="C1864" s="36" t="s">
        <v>24356</v>
      </c>
      <c r="D1864" s="36" t="s">
        <v>24357</v>
      </c>
      <c r="E1864" s="36" t="s">
        <v>24358</v>
      </c>
      <c r="F1864" s="36" t="s">
        <v>24359</v>
      </c>
      <c r="G1864" s="36" t="s">
        <v>24360</v>
      </c>
      <c r="H1864" s="36" t="s">
        <v>24361</v>
      </c>
      <c r="I1864" s="36" t="s">
        <v>24362</v>
      </c>
      <c r="J1864" s="36" t="s">
        <v>24363</v>
      </c>
      <c r="K1864" s="36" t="s">
        <v>24364</v>
      </c>
      <c r="L1864" s="36" t="s">
        <v>24365</v>
      </c>
      <c r="M1864" s="36" t="s">
        <v>24366</v>
      </c>
      <c r="N1864" s="36" t="s">
        <v>24367</v>
      </c>
      <c r="O1864" s="36" t="s">
        <v>24368</v>
      </c>
      <c r="P1864" s="36" t="s">
        <v>24355</v>
      </c>
    </row>
    <row r="1865" spans="1:16" ht="15" customHeight="1">
      <c r="A1865" s="139">
        <v>1864</v>
      </c>
      <c r="B1865" s="36" t="s">
        <v>24369</v>
      </c>
      <c r="C1865" s="36" t="s">
        <v>24370</v>
      </c>
      <c r="D1865" s="36" t="s">
        <v>24371</v>
      </c>
      <c r="E1865" s="36" t="s">
        <v>24372</v>
      </c>
      <c r="F1865" s="36" t="s">
        <v>24373</v>
      </c>
      <c r="G1865" s="36" t="s">
        <v>24374</v>
      </c>
      <c r="H1865" s="36" t="s">
        <v>24375</v>
      </c>
      <c r="I1865" s="36" t="s">
        <v>24376</v>
      </c>
      <c r="J1865" s="36" t="s">
        <v>24377</v>
      </c>
      <c r="K1865" s="36" t="s">
        <v>24378</v>
      </c>
      <c r="L1865" s="36" t="s">
        <v>24379</v>
      </c>
      <c r="M1865" s="36" t="s">
        <v>24380</v>
      </c>
      <c r="N1865" s="36" t="s">
        <v>24381</v>
      </c>
      <c r="O1865" s="36" t="s">
        <v>24382</v>
      </c>
      <c r="P1865" s="36" t="s">
        <v>24369</v>
      </c>
    </row>
    <row r="1866" spans="1:16" ht="15" customHeight="1">
      <c r="A1866" s="139">
        <v>1865</v>
      </c>
      <c r="B1866" s="36" t="s">
        <v>13162</v>
      </c>
      <c r="C1866" s="36" t="s">
        <v>13162</v>
      </c>
      <c r="D1866" s="36" t="s">
        <v>13163</v>
      </c>
      <c r="E1866" s="36" t="s">
        <v>24383</v>
      </c>
      <c r="F1866" s="36" t="s">
        <v>24384</v>
      </c>
      <c r="G1866" s="36" t="s">
        <v>13162</v>
      </c>
      <c r="H1866" s="36" t="s">
        <v>24385</v>
      </c>
      <c r="I1866" s="36" t="s">
        <v>24386</v>
      </c>
      <c r="J1866" s="36" t="s">
        <v>13168</v>
      </c>
      <c r="K1866" s="36" t="s">
        <v>13169</v>
      </c>
      <c r="L1866" s="36" t="s">
        <v>13162</v>
      </c>
      <c r="M1866" s="36" t="s">
        <v>13162</v>
      </c>
      <c r="N1866" s="36" t="s">
        <v>24387</v>
      </c>
      <c r="O1866" s="36" t="s">
        <v>13183</v>
      </c>
      <c r="P1866" s="36" t="s">
        <v>13162</v>
      </c>
    </row>
    <row r="1867" spans="1:16" ht="15" customHeight="1">
      <c r="A1867" s="139">
        <v>1866</v>
      </c>
      <c r="B1867" s="36" t="s">
        <v>24388</v>
      </c>
      <c r="C1867" s="36" t="s">
        <v>24389</v>
      </c>
      <c r="D1867" s="36" t="s">
        <v>24390</v>
      </c>
      <c r="E1867" s="36" t="s">
        <v>24391</v>
      </c>
      <c r="F1867" s="36" t="s">
        <v>24392</v>
      </c>
      <c r="G1867" s="36" t="s">
        <v>24393</v>
      </c>
      <c r="H1867" s="36" t="s">
        <v>24394</v>
      </c>
      <c r="I1867" s="36" t="s">
        <v>24395</v>
      </c>
      <c r="J1867" s="36" t="s">
        <v>24396</v>
      </c>
      <c r="K1867" s="36" t="s">
        <v>24397</v>
      </c>
      <c r="L1867" s="36" t="s">
        <v>24398</v>
      </c>
      <c r="M1867" s="36" t="s">
        <v>24399</v>
      </c>
      <c r="N1867" s="36" t="s">
        <v>24400</v>
      </c>
      <c r="O1867" s="36" t="s">
        <v>24401</v>
      </c>
      <c r="P1867" s="36" t="s">
        <v>24388</v>
      </c>
    </row>
    <row r="1868" spans="1:16" ht="15" customHeight="1">
      <c r="A1868" s="139">
        <v>1867</v>
      </c>
      <c r="B1868" s="36" t="s">
        <v>24402</v>
      </c>
      <c r="C1868" s="36" t="s">
        <v>24403</v>
      </c>
      <c r="D1868" s="36" t="s">
        <v>24404</v>
      </c>
      <c r="E1868" s="36" t="s">
        <v>24405</v>
      </c>
      <c r="F1868" s="36" t="s">
        <v>24406</v>
      </c>
      <c r="G1868" s="36" t="s">
        <v>24407</v>
      </c>
      <c r="H1868" s="36" t="s">
        <v>24408</v>
      </c>
      <c r="I1868" s="36" t="s">
        <v>24409</v>
      </c>
      <c r="J1868" s="36" t="s">
        <v>24410</v>
      </c>
      <c r="K1868" s="36" t="s">
        <v>24411</v>
      </c>
      <c r="L1868" s="36" t="s">
        <v>24412</v>
      </c>
      <c r="M1868" s="36" t="s">
        <v>24413</v>
      </c>
      <c r="N1868" s="36" t="s">
        <v>24414</v>
      </c>
      <c r="O1868" s="36" t="s">
        <v>24415</v>
      </c>
      <c r="P1868" s="36" t="s">
        <v>24402</v>
      </c>
    </row>
    <row r="1869" spans="1:16" ht="15" customHeight="1">
      <c r="A1869" s="139">
        <v>1868</v>
      </c>
      <c r="B1869" s="36" t="s">
        <v>24416</v>
      </c>
      <c r="C1869" s="36" t="s">
        <v>24417</v>
      </c>
      <c r="D1869" s="36" t="s">
        <v>24418</v>
      </c>
      <c r="E1869" s="36" t="s">
        <v>24419</v>
      </c>
      <c r="F1869" s="36" t="s">
        <v>24420</v>
      </c>
      <c r="G1869" s="36" t="s">
        <v>24421</v>
      </c>
      <c r="H1869" s="36" t="s">
        <v>24422</v>
      </c>
      <c r="I1869" s="36" t="s">
        <v>24423</v>
      </c>
      <c r="J1869" s="36" t="s">
        <v>24424</v>
      </c>
      <c r="K1869" s="36" t="s">
        <v>24425</v>
      </c>
      <c r="L1869" s="36" t="s">
        <v>24426</v>
      </c>
      <c r="M1869" s="36" t="s">
        <v>24427</v>
      </c>
      <c r="N1869" s="36" t="s">
        <v>24428</v>
      </c>
      <c r="O1869" s="36" t="s">
        <v>24429</v>
      </c>
      <c r="P1869" s="36" t="s">
        <v>24416</v>
      </c>
    </row>
    <row r="1870" spans="1:16" ht="15" customHeight="1">
      <c r="A1870" s="139">
        <v>1869</v>
      </c>
      <c r="B1870" s="36" t="s">
        <v>24430</v>
      </c>
      <c r="C1870" s="36" t="s">
        <v>24431</v>
      </c>
      <c r="D1870" s="36" t="s">
        <v>24432</v>
      </c>
      <c r="E1870" s="36" t="s">
        <v>24433</v>
      </c>
      <c r="F1870" s="36" t="s">
        <v>24434</v>
      </c>
      <c r="G1870" s="36" t="s">
        <v>24435</v>
      </c>
      <c r="H1870" s="36" t="s">
        <v>24436</v>
      </c>
      <c r="I1870" s="36" t="s">
        <v>24437</v>
      </c>
      <c r="J1870" s="36" t="s">
        <v>24438</v>
      </c>
      <c r="K1870" s="36" t="s">
        <v>24439</v>
      </c>
      <c r="L1870" s="36" t="s">
        <v>24440</v>
      </c>
      <c r="M1870" s="36" t="s">
        <v>24441</v>
      </c>
      <c r="N1870" s="36" t="s">
        <v>24442</v>
      </c>
      <c r="O1870" s="36" t="s">
        <v>24443</v>
      </c>
      <c r="P1870" s="36" t="s">
        <v>24430</v>
      </c>
    </row>
    <row r="1871" spans="1:16" ht="15" customHeight="1">
      <c r="A1871" s="139">
        <v>1870</v>
      </c>
      <c r="B1871" s="36" t="s">
        <v>24444</v>
      </c>
      <c r="C1871" s="36" t="s">
        <v>24445</v>
      </c>
      <c r="D1871" s="36" t="s">
        <v>24446</v>
      </c>
      <c r="E1871" s="36" t="s">
        <v>24447</v>
      </c>
      <c r="F1871" s="36" t="s">
        <v>24448</v>
      </c>
      <c r="G1871" s="36" t="s">
        <v>24449</v>
      </c>
      <c r="H1871" s="36" t="s">
        <v>24450</v>
      </c>
      <c r="I1871" s="36" t="s">
        <v>24451</v>
      </c>
      <c r="J1871" s="36" t="s">
        <v>24452</v>
      </c>
      <c r="K1871" s="36" t="s">
        <v>24453</v>
      </c>
      <c r="L1871" s="36" t="s">
        <v>24454</v>
      </c>
      <c r="M1871" s="36" t="s">
        <v>24455</v>
      </c>
      <c r="N1871" s="36" t="s">
        <v>24456</v>
      </c>
      <c r="O1871" s="36" t="s">
        <v>24457</v>
      </c>
      <c r="P1871" s="36" t="s">
        <v>24444</v>
      </c>
    </row>
    <row r="1872" spans="1:16" ht="15" customHeight="1">
      <c r="A1872" s="139">
        <v>1871</v>
      </c>
      <c r="B1872" s="36" t="s">
        <v>24458</v>
      </c>
      <c r="C1872" s="36" t="s">
        <v>24459</v>
      </c>
      <c r="D1872" s="36" t="s">
        <v>24460</v>
      </c>
      <c r="E1872" s="36" t="s">
        <v>24461</v>
      </c>
      <c r="F1872" s="36" t="s">
        <v>24462</v>
      </c>
      <c r="G1872" s="36" t="s">
        <v>24463</v>
      </c>
      <c r="H1872" s="36" t="s">
        <v>24464</v>
      </c>
      <c r="I1872" s="36" t="s">
        <v>24465</v>
      </c>
      <c r="J1872" s="36" t="s">
        <v>24466</v>
      </c>
      <c r="K1872" s="36" t="s">
        <v>24467</v>
      </c>
      <c r="L1872" s="36" t="s">
        <v>24468</v>
      </c>
      <c r="M1872" s="36" t="s">
        <v>24469</v>
      </c>
      <c r="N1872" s="36" t="s">
        <v>24470</v>
      </c>
      <c r="O1872" s="36" t="s">
        <v>24471</v>
      </c>
      <c r="P1872" s="36" t="s">
        <v>24458</v>
      </c>
    </row>
    <row r="1873" spans="1:16" ht="15" customHeight="1">
      <c r="A1873" s="139">
        <v>1872</v>
      </c>
      <c r="B1873" s="36" t="s">
        <v>24472</v>
      </c>
      <c r="C1873" s="36" t="s">
        <v>24473</v>
      </c>
      <c r="D1873" s="36" t="s">
        <v>24474</v>
      </c>
      <c r="E1873" s="36" t="s">
        <v>24475</v>
      </c>
      <c r="F1873" s="36" t="s">
        <v>24476</v>
      </c>
      <c r="G1873" s="36" t="s">
        <v>24477</v>
      </c>
      <c r="H1873" s="36" t="s">
        <v>24478</v>
      </c>
      <c r="I1873" s="36" t="s">
        <v>24479</v>
      </c>
      <c r="J1873" s="36" t="s">
        <v>24480</v>
      </c>
      <c r="K1873" s="36" t="s">
        <v>24481</v>
      </c>
      <c r="L1873" s="36" t="s">
        <v>24482</v>
      </c>
      <c r="M1873" s="36" t="s">
        <v>24483</v>
      </c>
      <c r="N1873" s="36" t="s">
        <v>24483</v>
      </c>
      <c r="O1873" s="36" t="s">
        <v>24484</v>
      </c>
      <c r="P1873" s="36" t="s">
        <v>24472</v>
      </c>
    </row>
    <row r="1874" spans="1:16" ht="15" customHeight="1">
      <c r="A1874" s="139">
        <v>1873</v>
      </c>
      <c r="B1874" s="36" t="s">
        <v>24485</v>
      </c>
      <c r="C1874" s="36" t="s">
        <v>24486</v>
      </c>
      <c r="D1874" s="36" t="s">
        <v>24487</v>
      </c>
      <c r="E1874" s="36" t="s">
        <v>24488</v>
      </c>
      <c r="F1874" s="36" t="s">
        <v>24489</v>
      </c>
      <c r="G1874" s="36" t="s">
        <v>24490</v>
      </c>
      <c r="H1874" s="36" t="s">
        <v>24491</v>
      </c>
      <c r="I1874" s="36" t="s">
        <v>24492</v>
      </c>
      <c r="J1874" s="36" t="s">
        <v>24493</v>
      </c>
      <c r="K1874" s="36" t="s">
        <v>24494</v>
      </c>
      <c r="L1874" s="36" t="s">
        <v>24495</v>
      </c>
      <c r="M1874" s="36" t="s">
        <v>24486</v>
      </c>
      <c r="N1874" s="36" t="s">
        <v>24486</v>
      </c>
      <c r="O1874" s="36" t="s">
        <v>24496</v>
      </c>
      <c r="P1874" s="36" t="s">
        <v>24485</v>
      </c>
    </row>
    <row r="1875" spans="1:16" ht="15" customHeight="1">
      <c r="A1875" s="139">
        <v>1874</v>
      </c>
      <c r="B1875" s="36" t="s">
        <v>24497</v>
      </c>
      <c r="C1875" s="36" t="s">
        <v>24498</v>
      </c>
      <c r="D1875" s="36" t="s">
        <v>24499</v>
      </c>
      <c r="E1875" s="467" t="s">
        <v>24500</v>
      </c>
      <c r="F1875" s="36" t="s">
        <v>24501</v>
      </c>
      <c r="G1875" s="36" t="s">
        <v>24502</v>
      </c>
      <c r="H1875" s="36" t="s">
        <v>24503</v>
      </c>
      <c r="I1875" s="36" t="s">
        <v>24504</v>
      </c>
      <c r="J1875" s="36" t="s">
        <v>24505</v>
      </c>
      <c r="K1875" s="36" t="s">
        <v>24506</v>
      </c>
      <c r="L1875" s="36" t="s">
        <v>24507</v>
      </c>
      <c r="M1875" s="36" t="s">
        <v>24508</v>
      </c>
      <c r="N1875" s="36" t="s">
        <v>24509</v>
      </c>
      <c r="O1875" s="36" t="s">
        <v>24510</v>
      </c>
      <c r="P1875" s="36" t="s">
        <v>24497</v>
      </c>
    </row>
    <row r="1876" spans="1:16" ht="15" customHeight="1">
      <c r="A1876" s="139">
        <v>1875</v>
      </c>
      <c r="B1876" s="36" t="s">
        <v>24511</v>
      </c>
      <c r="C1876" s="36" t="s">
        <v>24512</v>
      </c>
      <c r="D1876" s="36" t="s">
        <v>24513</v>
      </c>
      <c r="E1876" s="467" t="s">
        <v>24514</v>
      </c>
      <c r="F1876" s="36" t="s">
        <v>24515</v>
      </c>
      <c r="G1876" s="36" t="s">
        <v>24516</v>
      </c>
      <c r="H1876" s="36" t="s">
        <v>24517</v>
      </c>
      <c r="I1876" s="36" t="s">
        <v>24518</v>
      </c>
      <c r="J1876" s="36" t="s">
        <v>24519</v>
      </c>
      <c r="K1876" s="36" t="s">
        <v>24520</v>
      </c>
      <c r="L1876" s="36" t="s">
        <v>24521</v>
      </c>
      <c r="M1876" s="36" t="s">
        <v>24522</v>
      </c>
      <c r="N1876" s="36" t="s">
        <v>24523</v>
      </c>
      <c r="O1876" s="36" t="s">
        <v>24524</v>
      </c>
      <c r="P1876" s="36" t="s">
        <v>24511</v>
      </c>
    </row>
    <row r="1877" spans="1:16" ht="15" customHeight="1">
      <c r="A1877" s="139">
        <v>1876</v>
      </c>
      <c r="B1877" s="36" t="s">
        <v>24525</v>
      </c>
      <c r="C1877" s="36" t="s">
        <v>24526</v>
      </c>
      <c r="D1877" s="36" t="s">
        <v>24527</v>
      </c>
      <c r="E1877" s="467" t="s">
        <v>24528</v>
      </c>
      <c r="F1877" s="36" t="s">
        <v>24529</v>
      </c>
      <c r="G1877" s="36" t="s">
        <v>24530</v>
      </c>
      <c r="H1877" s="36" t="s">
        <v>24531</v>
      </c>
      <c r="I1877" s="36" t="s">
        <v>24532</v>
      </c>
      <c r="J1877" s="36" t="s">
        <v>24533</v>
      </c>
      <c r="K1877" s="36" t="s">
        <v>24534</v>
      </c>
      <c r="L1877" s="36" t="s">
        <v>24535</v>
      </c>
      <c r="M1877" s="36" t="s">
        <v>24536</v>
      </c>
      <c r="N1877" s="36" t="s">
        <v>24537</v>
      </c>
      <c r="O1877" s="36" t="s">
        <v>24538</v>
      </c>
      <c r="P1877" s="36" t="s">
        <v>24525</v>
      </c>
    </row>
    <row r="1878" spans="1:16" ht="15" customHeight="1">
      <c r="A1878" s="139">
        <v>1877</v>
      </c>
      <c r="B1878" s="36" t="s">
        <v>24539</v>
      </c>
      <c r="C1878" s="36" t="s">
        <v>24540</v>
      </c>
      <c r="D1878" s="36" t="s">
        <v>24541</v>
      </c>
      <c r="E1878" s="467" t="s">
        <v>24542</v>
      </c>
      <c r="F1878" s="36" t="s">
        <v>24543</v>
      </c>
      <c r="G1878" s="36" t="s">
        <v>24544</v>
      </c>
      <c r="H1878" s="36" t="s">
        <v>24545</v>
      </c>
      <c r="I1878" s="36" t="s">
        <v>24546</v>
      </c>
      <c r="J1878" s="36" t="s">
        <v>24547</v>
      </c>
      <c r="K1878" s="36" t="s">
        <v>24548</v>
      </c>
      <c r="L1878" s="36" t="s">
        <v>24549</v>
      </c>
      <c r="M1878" s="36" t="s">
        <v>24550</v>
      </c>
      <c r="N1878" s="36" t="s">
        <v>24551</v>
      </c>
      <c r="O1878" s="36" t="s">
        <v>24552</v>
      </c>
      <c r="P1878" s="36" t="s">
        <v>24539</v>
      </c>
    </row>
    <row r="1879" spans="1:16" ht="15" customHeight="1">
      <c r="A1879" s="139">
        <v>1878</v>
      </c>
      <c r="B1879" s="36" t="s">
        <v>24553</v>
      </c>
      <c r="C1879" s="36" t="s">
        <v>24554</v>
      </c>
      <c r="D1879" s="36" t="s">
        <v>24554</v>
      </c>
      <c r="E1879" s="467" t="s">
        <v>24553</v>
      </c>
      <c r="F1879" s="36" t="s">
        <v>24553</v>
      </c>
      <c r="G1879" s="36" t="s">
        <v>24553</v>
      </c>
      <c r="H1879" s="36" t="s">
        <v>24553</v>
      </c>
      <c r="I1879" s="36" t="s">
        <v>24554</v>
      </c>
      <c r="J1879" s="36" t="s">
        <v>24553</v>
      </c>
      <c r="K1879" s="36" t="s">
        <v>24553</v>
      </c>
      <c r="L1879" s="36" t="s">
        <v>24553</v>
      </c>
      <c r="M1879" s="36" t="s">
        <v>24553</v>
      </c>
      <c r="N1879" s="36" t="s">
        <v>24553</v>
      </c>
      <c r="O1879" s="36" t="s">
        <v>24553</v>
      </c>
      <c r="P1879" s="36" t="s">
        <v>24553</v>
      </c>
    </row>
    <row r="1880" spans="1:16" ht="15" customHeight="1">
      <c r="A1880" s="139">
        <v>1879</v>
      </c>
      <c r="B1880" s="36" t="s">
        <v>24555</v>
      </c>
      <c r="C1880" s="36" t="s">
        <v>24556</v>
      </c>
      <c r="D1880" s="36" t="s">
        <v>24557</v>
      </c>
      <c r="E1880" s="467" t="s">
        <v>24558</v>
      </c>
      <c r="F1880" s="36" t="s">
        <v>24559</v>
      </c>
      <c r="G1880" s="36" t="s">
        <v>24560</v>
      </c>
      <c r="H1880" s="36" t="s">
        <v>24561</v>
      </c>
      <c r="I1880" s="36" t="s">
        <v>24562</v>
      </c>
      <c r="J1880" s="36" t="s">
        <v>24563</v>
      </c>
      <c r="K1880" s="36" t="s">
        <v>24564</v>
      </c>
      <c r="L1880" s="36" t="s">
        <v>24565</v>
      </c>
      <c r="M1880" s="36" t="s">
        <v>24566</v>
      </c>
      <c r="N1880" s="36" t="s">
        <v>24567</v>
      </c>
      <c r="O1880" s="36" t="s">
        <v>24568</v>
      </c>
      <c r="P1880" s="36" t="s">
        <v>24555</v>
      </c>
    </row>
    <row r="1881" spans="1:16" ht="15" customHeight="1">
      <c r="A1881" s="139">
        <v>1880</v>
      </c>
      <c r="B1881" s="36" t="s">
        <v>24569</v>
      </c>
      <c r="C1881" s="36" t="s">
        <v>24570</v>
      </c>
      <c r="D1881" s="36" t="s">
        <v>24570</v>
      </c>
      <c r="E1881" s="467" t="s">
        <v>24569</v>
      </c>
      <c r="F1881" s="36" t="s">
        <v>24569</v>
      </c>
      <c r="G1881" s="36" t="s">
        <v>24569</v>
      </c>
      <c r="H1881" s="36" t="s">
        <v>24569</v>
      </c>
      <c r="I1881" s="36" t="s">
        <v>24570</v>
      </c>
      <c r="J1881" s="36" t="s">
        <v>24569</v>
      </c>
      <c r="K1881" s="36" t="s">
        <v>24569</v>
      </c>
      <c r="L1881" s="36" t="s">
        <v>24569</v>
      </c>
      <c r="M1881" s="36" t="s">
        <v>24569</v>
      </c>
      <c r="N1881" s="36" t="s">
        <v>24569</v>
      </c>
      <c r="O1881" s="36" t="s">
        <v>24569</v>
      </c>
      <c r="P1881" s="36" t="s">
        <v>24569</v>
      </c>
    </row>
    <row r="1882" spans="1:16" ht="15" customHeight="1">
      <c r="A1882" s="139">
        <v>1881</v>
      </c>
      <c r="B1882" s="36" t="s">
        <v>24571</v>
      </c>
      <c r="C1882" s="36" t="s">
        <v>24572</v>
      </c>
      <c r="D1882" s="36" t="s">
        <v>24573</v>
      </c>
      <c r="E1882" s="467" t="s">
        <v>24574</v>
      </c>
      <c r="F1882" s="36" t="s">
        <v>24575</v>
      </c>
      <c r="G1882" s="36" t="s">
        <v>24576</v>
      </c>
      <c r="H1882" s="36" t="s">
        <v>24577</v>
      </c>
      <c r="I1882" s="36" t="s">
        <v>24578</v>
      </c>
      <c r="J1882" s="36" t="s">
        <v>24579</v>
      </c>
      <c r="K1882" s="36" t="s">
        <v>24580</v>
      </c>
      <c r="L1882" s="36" t="s">
        <v>24581</v>
      </c>
      <c r="M1882" s="36" t="s">
        <v>24582</v>
      </c>
      <c r="N1882" s="36" t="s">
        <v>24583</v>
      </c>
      <c r="O1882" s="36" t="s">
        <v>24584</v>
      </c>
      <c r="P1882" s="36" t="s">
        <v>24571</v>
      </c>
    </row>
    <row r="1883" spans="1:16" ht="15" customHeight="1">
      <c r="A1883" s="139">
        <v>1882</v>
      </c>
      <c r="B1883" s="36" t="s">
        <v>24585</v>
      </c>
      <c r="C1883" s="36" t="s">
        <v>24586</v>
      </c>
      <c r="D1883" s="36" t="s">
        <v>24587</v>
      </c>
      <c r="E1883" s="467" t="s">
        <v>24588</v>
      </c>
      <c r="F1883" s="36" t="s">
        <v>24589</v>
      </c>
      <c r="G1883" s="36" t="s">
        <v>24590</v>
      </c>
      <c r="H1883" s="36" t="s">
        <v>24591</v>
      </c>
      <c r="I1883" s="36" t="s">
        <v>24592</v>
      </c>
      <c r="J1883" s="36" t="s">
        <v>24593</v>
      </c>
      <c r="K1883" s="36" t="s">
        <v>24594</v>
      </c>
      <c r="L1883" s="36" t="s">
        <v>24595</v>
      </c>
      <c r="M1883" s="36" t="s">
        <v>24596</v>
      </c>
      <c r="N1883" s="36" t="s">
        <v>24597</v>
      </c>
      <c r="O1883" s="36" t="s">
        <v>24598</v>
      </c>
      <c r="P1883" s="36" t="s">
        <v>24585</v>
      </c>
    </row>
    <row r="1884" spans="1:16" ht="15" customHeight="1">
      <c r="A1884" s="139">
        <v>1883</v>
      </c>
      <c r="B1884" s="36" t="s">
        <v>24599</v>
      </c>
      <c r="C1884" s="36" t="s">
        <v>24600</v>
      </c>
      <c r="D1884" s="36" t="s">
        <v>24601</v>
      </c>
      <c r="E1884" s="467" t="s">
        <v>24602</v>
      </c>
      <c r="F1884" s="36" t="s">
        <v>24603</v>
      </c>
      <c r="G1884" s="36" t="s">
        <v>24604</v>
      </c>
      <c r="H1884" s="36" t="s">
        <v>24605</v>
      </c>
      <c r="I1884" s="36" t="s">
        <v>24606</v>
      </c>
      <c r="J1884" s="36" t="s">
        <v>24607</v>
      </c>
      <c r="K1884" s="36" t="s">
        <v>24608</v>
      </c>
      <c r="L1884" s="36" t="s">
        <v>24609</v>
      </c>
      <c r="M1884" s="36" t="s">
        <v>24610</v>
      </c>
      <c r="N1884" s="36" t="s">
        <v>24611</v>
      </c>
      <c r="O1884" s="36" t="s">
        <v>24612</v>
      </c>
      <c r="P1884" s="36" t="s">
        <v>24599</v>
      </c>
    </row>
    <row r="1885" spans="1:16" ht="15" customHeight="1">
      <c r="A1885" s="139">
        <v>1884</v>
      </c>
      <c r="B1885" s="36" t="s">
        <v>24613</v>
      </c>
      <c r="C1885" s="36" t="s">
        <v>24614</v>
      </c>
      <c r="D1885" s="36" t="s">
        <v>24615</v>
      </c>
      <c r="E1885" s="467" t="s">
        <v>24616</v>
      </c>
      <c r="F1885" s="36" t="s">
        <v>24617</v>
      </c>
      <c r="G1885" s="36" t="s">
        <v>24618</v>
      </c>
      <c r="H1885" s="36" t="s">
        <v>24619</v>
      </c>
      <c r="I1885" s="36" t="s">
        <v>24620</v>
      </c>
      <c r="J1885" s="36" t="s">
        <v>24621</v>
      </c>
      <c r="K1885" s="36" t="s">
        <v>24622</v>
      </c>
      <c r="L1885" s="36" t="s">
        <v>24623</v>
      </c>
      <c r="M1885" s="36" t="s">
        <v>24624</v>
      </c>
      <c r="N1885" s="36" t="s">
        <v>24625</v>
      </c>
      <c r="O1885" s="36" t="s">
        <v>24626</v>
      </c>
      <c r="P1885" s="36" t="s">
        <v>24613</v>
      </c>
    </row>
    <row r="1886" spans="1:16" ht="15" customHeight="1">
      <c r="A1886" s="139">
        <v>1885</v>
      </c>
      <c r="B1886" s="36" t="s">
        <v>24627</v>
      </c>
      <c r="C1886" s="36" t="s">
        <v>24628</v>
      </c>
      <c r="D1886" s="36" t="s">
        <v>24629</v>
      </c>
      <c r="E1886" s="467" t="s">
        <v>24630</v>
      </c>
      <c r="F1886" s="36" t="s">
        <v>24631</v>
      </c>
      <c r="G1886" s="36" t="s">
        <v>24632</v>
      </c>
      <c r="H1886" s="36" t="s">
        <v>24633</v>
      </c>
      <c r="I1886" s="36" t="s">
        <v>24634</v>
      </c>
      <c r="J1886" s="36" t="s">
        <v>24635</v>
      </c>
      <c r="K1886" s="36" t="s">
        <v>24636</v>
      </c>
      <c r="L1886" s="36" t="s">
        <v>24637</v>
      </c>
      <c r="M1886" s="36" t="s">
        <v>24638</v>
      </c>
      <c r="N1886" s="36" t="s">
        <v>24639</v>
      </c>
      <c r="O1886" s="36" t="s">
        <v>24640</v>
      </c>
      <c r="P1886" s="36" t="s">
        <v>24627</v>
      </c>
    </row>
    <row r="1887" spans="1:16" ht="15" customHeight="1">
      <c r="A1887" s="139">
        <v>1886</v>
      </c>
      <c r="B1887" s="36" t="s">
        <v>24641</v>
      </c>
      <c r="C1887" s="36" t="s">
        <v>24642</v>
      </c>
      <c r="D1887" s="36" t="s">
        <v>24643</v>
      </c>
      <c r="E1887" s="467" t="s">
        <v>24644</v>
      </c>
      <c r="F1887" s="36" t="s">
        <v>24645</v>
      </c>
      <c r="G1887" s="36" t="s">
        <v>24646</v>
      </c>
      <c r="H1887" s="36" t="s">
        <v>24647</v>
      </c>
      <c r="I1887" s="36" t="s">
        <v>24648</v>
      </c>
      <c r="J1887" s="36" t="s">
        <v>24649</v>
      </c>
      <c r="K1887" s="36" t="s">
        <v>24650</v>
      </c>
      <c r="L1887" s="36" t="s">
        <v>24651</v>
      </c>
      <c r="M1887" s="36" t="s">
        <v>24652</v>
      </c>
      <c r="N1887" s="36" t="s">
        <v>24653</v>
      </c>
      <c r="O1887" s="36" t="s">
        <v>24654</v>
      </c>
      <c r="P1887" s="36" t="s">
        <v>24641</v>
      </c>
    </row>
    <row r="1888" spans="1:16" ht="15" customHeight="1">
      <c r="A1888" s="139">
        <v>1887</v>
      </c>
      <c r="B1888" s="36" t="s">
        <v>24655</v>
      </c>
      <c r="C1888" s="36" t="s">
        <v>24656</v>
      </c>
      <c r="D1888" s="36" t="s">
        <v>24657</v>
      </c>
      <c r="E1888" s="467" t="s">
        <v>24658</v>
      </c>
      <c r="F1888" s="36" t="s">
        <v>24659</v>
      </c>
      <c r="G1888" s="36" t="s">
        <v>24660</v>
      </c>
      <c r="H1888" s="36" t="s">
        <v>24661</v>
      </c>
      <c r="I1888" s="36" t="s">
        <v>24662</v>
      </c>
      <c r="J1888" s="36" t="s">
        <v>24663</v>
      </c>
      <c r="K1888" s="36" t="s">
        <v>24664</v>
      </c>
      <c r="L1888" s="36" t="s">
        <v>24665</v>
      </c>
      <c r="M1888" s="36" t="s">
        <v>24666</v>
      </c>
      <c r="N1888" s="36" t="s">
        <v>24667</v>
      </c>
      <c r="O1888" s="36" t="s">
        <v>24668</v>
      </c>
      <c r="P1888" s="36" t="s">
        <v>24655</v>
      </c>
    </row>
    <row r="1889" spans="1:16" ht="15" customHeight="1">
      <c r="A1889" s="139">
        <v>1888</v>
      </c>
      <c r="B1889" s="36" t="s">
        <v>24669</v>
      </c>
      <c r="C1889" s="36" t="s">
        <v>24670</v>
      </c>
      <c r="D1889" s="36" t="s">
        <v>24671</v>
      </c>
      <c r="E1889" s="467" t="s">
        <v>24672</v>
      </c>
      <c r="F1889" s="36" t="s">
        <v>24673</v>
      </c>
      <c r="G1889" s="36" t="s">
        <v>24674</v>
      </c>
      <c r="H1889" s="36" t="s">
        <v>24675</v>
      </c>
      <c r="I1889" s="36" t="s">
        <v>24676</v>
      </c>
      <c r="J1889" s="36" t="s">
        <v>24677</v>
      </c>
      <c r="K1889" s="36" t="s">
        <v>24678</v>
      </c>
      <c r="L1889" s="36" t="s">
        <v>24679</v>
      </c>
      <c r="M1889" s="36" t="s">
        <v>24680</v>
      </c>
      <c r="N1889" s="36" t="s">
        <v>24681</v>
      </c>
      <c r="O1889" s="36" t="s">
        <v>24682</v>
      </c>
      <c r="P1889" s="36" t="s">
        <v>24669</v>
      </c>
    </row>
    <row r="1890" spans="1:16" ht="15" customHeight="1">
      <c r="A1890" s="139">
        <v>1889</v>
      </c>
      <c r="B1890" s="36" t="s">
        <v>24683</v>
      </c>
      <c r="C1890" s="36" t="s">
        <v>24684</v>
      </c>
      <c r="D1890" s="36" t="s">
        <v>24685</v>
      </c>
      <c r="E1890" s="467" t="s">
        <v>24686</v>
      </c>
      <c r="F1890" s="36" t="s">
        <v>24687</v>
      </c>
      <c r="G1890" s="36" t="s">
        <v>24688</v>
      </c>
      <c r="H1890" s="36" t="s">
        <v>24689</v>
      </c>
      <c r="I1890" s="36" t="s">
        <v>24690</v>
      </c>
      <c r="J1890" s="36" t="s">
        <v>24691</v>
      </c>
      <c r="K1890" s="36" t="s">
        <v>24692</v>
      </c>
      <c r="L1890" s="36" t="s">
        <v>24693</v>
      </c>
      <c r="M1890" s="36" t="s">
        <v>24694</v>
      </c>
      <c r="N1890" s="36" t="s">
        <v>24695</v>
      </c>
      <c r="O1890" s="36" t="s">
        <v>24696</v>
      </c>
      <c r="P1890" s="36" t="s">
        <v>24683</v>
      </c>
    </row>
    <row r="1891" spans="1:16" ht="15" customHeight="1">
      <c r="A1891" s="139">
        <v>1890</v>
      </c>
      <c r="B1891" s="36" t="s">
        <v>24697</v>
      </c>
      <c r="C1891" s="36" t="s">
        <v>24698</v>
      </c>
      <c r="D1891" s="36" t="s">
        <v>24699</v>
      </c>
      <c r="E1891" s="467" t="s">
        <v>24700</v>
      </c>
      <c r="F1891" s="36" t="s">
        <v>24701</v>
      </c>
      <c r="G1891" s="36" t="s">
        <v>24702</v>
      </c>
      <c r="H1891" s="36" t="s">
        <v>24703</v>
      </c>
      <c r="I1891" s="36" t="s">
        <v>24704</v>
      </c>
      <c r="J1891" s="36" t="s">
        <v>24705</v>
      </c>
      <c r="K1891" s="36" t="s">
        <v>24706</v>
      </c>
      <c r="L1891" s="36" t="s">
        <v>24707</v>
      </c>
      <c r="M1891" s="36" t="s">
        <v>24708</v>
      </c>
      <c r="N1891" s="36" t="s">
        <v>24709</v>
      </c>
      <c r="O1891" s="36" t="s">
        <v>24710</v>
      </c>
      <c r="P1891" s="36" t="s">
        <v>24697</v>
      </c>
    </row>
    <row r="1892" spans="1:16" ht="15" customHeight="1">
      <c r="A1892" s="139">
        <v>1891</v>
      </c>
      <c r="B1892" s="36" t="s">
        <v>24711</v>
      </c>
      <c r="C1892" s="36" t="s">
        <v>24712</v>
      </c>
      <c r="D1892" s="36" t="s">
        <v>24713</v>
      </c>
      <c r="E1892" s="467" t="s">
        <v>24714</v>
      </c>
      <c r="F1892" s="36" t="s">
        <v>24715</v>
      </c>
      <c r="G1892" s="36" t="s">
        <v>24716</v>
      </c>
      <c r="H1892" s="36" t="s">
        <v>24717</v>
      </c>
      <c r="I1892" s="36" t="s">
        <v>24718</v>
      </c>
      <c r="J1892" s="36" t="s">
        <v>24719</v>
      </c>
      <c r="K1892" s="36" t="s">
        <v>24720</v>
      </c>
      <c r="L1892" s="36" t="s">
        <v>24721</v>
      </c>
      <c r="M1892" s="36" t="s">
        <v>24722</v>
      </c>
      <c r="N1892" s="36" t="s">
        <v>24723</v>
      </c>
      <c r="O1892" s="36" t="s">
        <v>24724</v>
      </c>
      <c r="P1892" s="36" t="s">
        <v>24711</v>
      </c>
    </row>
    <row r="1893" spans="1:16" ht="15" customHeight="1">
      <c r="A1893" s="139">
        <v>1892</v>
      </c>
      <c r="B1893" s="36" t="s">
        <v>24725</v>
      </c>
      <c r="C1893" s="36" t="s">
        <v>24726</v>
      </c>
      <c r="D1893" s="36" t="s">
        <v>24727</v>
      </c>
      <c r="E1893" s="467" t="s">
        <v>24728</v>
      </c>
      <c r="F1893" s="36" t="s">
        <v>24729</v>
      </c>
      <c r="G1893" s="36" t="s">
        <v>24730</v>
      </c>
      <c r="H1893" s="36" t="s">
        <v>24731</v>
      </c>
      <c r="I1893" s="36" t="s">
        <v>24732</v>
      </c>
      <c r="J1893" s="36" t="s">
        <v>24733</v>
      </c>
      <c r="K1893" s="36" t="s">
        <v>24734</v>
      </c>
      <c r="L1893" s="36" t="s">
        <v>24735</v>
      </c>
      <c r="M1893" s="36" t="s">
        <v>24736</v>
      </c>
      <c r="N1893" s="36" t="s">
        <v>24737</v>
      </c>
      <c r="O1893" s="36" t="s">
        <v>24738</v>
      </c>
      <c r="P1893" s="36" t="s">
        <v>24725</v>
      </c>
    </row>
    <row r="1894" spans="1:16" ht="15" customHeight="1">
      <c r="A1894" s="139">
        <v>1893</v>
      </c>
      <c r="B1894" s="36" t="s">
        <v>24739</v>
      </c>
      <c r="C1894" s="36" t="s">
        <v>24740</v>
      </c>
      <c r="D1894" s="36" t="s">
        <v>24741</v>
      </c>
      <c r="E1894" s="467" t="s">
        <v>24742</v>
      </c>
      <c r="F1894" s="36" t="s">
        <v>24743</v>
      </c>
      <c r="G1894" s="36" t="s">
        <v>24744</v>
      </c>
      <c r="H1894" s="36" t="s">
        <v>24745</v>
      </c>
      <c r="I1894" s="36" t="s">
        <v>24746</v>
      </c>
      <c r="J1894" s="36" t="s">
        <v>24747</v>
      </c>
      <c r="K1894" s="36" t="s">
        <v>24748</v>
      </c>
      <c r="L1894" s="36" t="s">
        <v>24749</v>
      </c>
      <c r="M1894" s="36" t="s">
        <v>24750</v>
      </c>
      <c r="N1894" s="36" t="s">
        <v>24751</v>
      </c>
      <c r="O1894" s="36" t="s">
        <v>24752</v>
      </c>
      <c r="P1894" s="36" t="s">
        <v>24739</v>
      </c>
    </row>
    <row r="1895" spans="1:16" ht="15" customHeight="1">
      <c r="A1895" s="139">
        <v>1894</v>
      </c>
      <c r="B1895" s="36" t="s">
        <v>24753</v>
      </c>
      <c r="C1895" s="36" t="s">
        <v>24754</v>
      </c>
      <c r="D1895" s="36" t="s">
        <v>24755</v>
      </c>
      <c r="E1895" s="467" t="s">
        <v>24756</v>
      </c>
      <c r="F1895" s="36" t="s">
        <v>24757</v>
      </c>
      <c r="G1895" s="36" t="s">
        <v>24758</v>
      </c>
      <c r="H1895" s="36" t="s">
        <v>24759</v>
      </c>
      <c r="I1895" s="36" t="s">
        <v>24760</v>
      </c>
      <c r="J1895" s="36" t="s">
        <v>24761</v>
      </c>
      <c r="K1895" s="36" t="s">
        <v>24762</v>
      </c>
      <c r="L1895" s="36" t="s">
        <v>24763</v>
      </c>
      <c r="M1895" s="36" t="s">
        <v>24764</v>
      </c>
      <c r="N1895" s="36" t="s">
        <v>24765</v>
      </c>
      <c r="O1895" s="36" t="s">
        <v>24766</v>
      </c>
      <c r="P1895" s="36" t="s">
        <v>24753</v>
      </c>
    </row>
    <row r="1896" spans="1:16" ht="15" customHeight="1">
      <c r="A1896" s="139">
        <v>1895</v>
      </c>
      <c r="B1896" s="36" t="s">
        <v>24767</v>
      </c>
      <c r="C1896" s="36" t="s">
        <v>24768</v>
      </c>
      <c r="D1896" s="36" t="s">
        <v>24769</v>
      </c>
      <c r="E1896" s="467" t="s">
        <v>24770</v>
      </c>
      <c r="F1896" s="36" t="s">
        <v>24771</v>
      </c>
      <c r="G1896" s="36" t="s">
        <v>24772</v>
      </c>
      <c r="H1896" s="36" t="s">
        <v>24773</v>
      </c>
      <c r="I1896" s="36" t="s">
        <v>24774</v>
      </c>
      <c r="J1896" s="36" t="s">
        <v>24775</v>
      </c>
      <c r="K1896" s="36" t="s">
        <v>24776</v>
      </c>
      <c r="L1896" s="36" t="s">
        <v>24777</v>
      </c>
      <c r="M1896" s="36" t="s">
        <v>24778</v>
      </c>
      <c r="N1896" s="36" t="s">
        <v>24779</v>
      </c>
      <c r="O1896" s="36" t="s">
        <v>24780</v>
      </c>
      <c r="P1896" s="36" t="s">
        <v>24767</v>
      </c>
    </row>
    <row r="1897" spans="1:16" ht="15" customHeight="1">
      <c r="A1897" s="139">
        <v>1896</v>
      </c>
      <c r="B1897" s="36" t="s">
        <v>24781</v>
      </c>
      <c r="C1897" s="36" t="s">
        <v>24782</v>
      </c>
      <c r="D1897" s="36" t="s">
        <v>24783</v>
      </c>
      <c r="E1897" s="467" t="s">
        <v>24784</v>
      </c>
      <c r="F1897" s="36" t="s">
        <v>24785</v>
      </c>
      <c r="G1897" s="36" t="s">
        <v>24786</v>
      </c>
      <c r="H1897" s="36" t="s">
        <v>24787</v>
      </c>
      <c r="I1897" s="36" t="s">
        <v>24788</v>
      </c>
      <c r="J1897" s="36" t="s">
        <v>24789</v>
      </c>
      <c r="K1897" s="36" t="s">
        <v>24790</v>
      </c>
      <c r="L1897" s="36" t="s">
        <v>24791</v>
      </c>
      <c r="M1897" s="36" t="s">
        <v>24792</v>
      </c>
      <c r="N1897" s="36" t="s">
        <v>24793</v>
      </c>
      <c r="O1897" s="36" t="s">
        <v>24794</v>
      </c>
      <c r="P1897" s="36" t="s">
        <v>24781</v>
      </c>
    </row>
    <row r="1898" spans="1:16" ht="15" customHeight="1">
      <c r="A1898" s="139">
        <v>1897</v>
      </c>
      <c r="B1898" s="36" t="s">
        <v>24795</v>
      </c>
      <c r="C1898" s="36" t="s">
        <v>24796</v>
      </c>
      <c r="D1898" s="36" t="s">
        <v>24797</v>
      </c>
      <c r="E1898" s="467" t="s">
        <v>24798</v>
      </c>
      <c r="F1898" s="36" t="s">
        <v>24799</v>
      </c>
      <c r="G1898" s="36" t="s">
        <v>24800</v>
      </c>
      <c r="H1898" s="36" t="s">
        <v>24801</v>
      </c>
      <c r="I1898" s="36" t="s">
        <v>24802</v>
      </c>
      <c r="J1898" s="36" t="s">
        <v>24803</v>
      </c>
      <c r="K1898" s="36" t="s">
        <v>24804</v>
      </c>
      <c r="L1898" s="36" t="s">
        <v>24805</v>
      </c>
      <c r="M1898" s="36" t="s">
        <v>24806</v>
      </c>
      <c r="N1898" s="36" t="s">
        <v>24807</v>
      </c>
      <c r="O1898" s="36" t="s">
        <v>24808</v>
      </c>
      <c r="P1898" s="36" t="s">
        <v>24795</v>
      </c>
    </row>
    <row r="1899" spans="1:16" ht="15" customHeight="1">
      <c r="A1899" s="139">
        <v>1898</v>
      </c>
      <c r="B1899" s="36" t="s">
        <v>24809</v>
      </c>
      <c r="C1899" s="36" t="s">
        <v>24810</v>
      </c>
      <c r="D1899" s="36" t="s">
        <v>24811</v>
      </c>
      <c r="E1899" s="467" t="s">
        <v>24812</v>
      </c>
      <c r="F1899" s="36" t="s">
        <v>24813</v>
      </c>
      <c r="G1899" s="36" t="s">
        <v>24814</v>
      </c>
      <c r="H1899" s="36" t="s">
        <v>24815</v>
      </c>
      <c r="I1899" s="36" t="s">
        <v>24816</v>
      </c>
      <c r="J1899" s="36" t="s">
        <v>24817</v>
      </c>
      <c r="K1899" s="36" t="s">
        <v>24818</v>
      </c>
      <c r="L1899" s="36" t="s">
        <v>24819</v>
      </c>
      <c r="M1899" s="36" t="s">
        <v>24820</v>
      </c>
      <c r="N1899" s="36" t="s">
        <v>24821</v>
      </c>
      <c r="O1899" s="36" t="s">
        <v>24822</v>
      </c>
      <c r="P1899" s="36" t="s">
        <v>24809</v>
      </c>
    </row>
    <row r="1900" spans="1:16" ht="15" customHeight="1">
      <c r="A1900" s="139">
        <v>1899</v>
      </c>
      <c r="B1900" s="36" t="s">
        <v>24823</v>
      </c>
      <c r="C1900" s="36" t="s">
        <v>24824</v>
      </c>
      <c r="D1900" s="36" t="s">
        <v>24825</v>
      </c>
      <c r="E1900" s="467" t="s">
        <v>24826</v>
      </c>
      <c r="F1900" s="36" t="s">
        <v>24827</v>
      </c>
      <c r="G1900" s="36" t="s">
        <v>24828</v>
      </c>
      <c r="H1900" s="36" t="s">
        <v>24829</v>
      </c>
      <c r="I1900" s="36" t="s">
        <v>24830</v>
      </c>
      <c r="J1900" s="36" t="s">
        <v>24831</v>
      </c>
      <c r="K1900" s="36" t="s">
        <v>24832</v>
      </c>
      <c r="L1900" s="36" t="s">
        <v>24833</v>
      </c>
      <c r="M1900" s="36" t="s">
        <v>24834</v>
      </c>
      <c r="N1900" s="36" t="s">
        <v>24835</v>
      </c>
      <c r="O1900" s="36" t="s">
        <v>24836</v>
      </c>
      <c r="P1900" s="36" t="s">
        <v>24823</v>
      </c>
    </row>
    <row r="1901" spans="1:16" ht="15" customHeight="1">
      <c r="A1901" s="139">
        <v>1900</v>
      </c>
      <c r="B1901" s="36" t="s">
        <v>24837</v>
      </c>
      <c r="C1901" s="36" t="s">
        <v>24838</v>
      </c>
      <c r="D1901" s="36" t="s">
        <v>24839</v>
      </c>
      <c r="E1901" s="36" t="s">
        <v>24840</v>
      </c>
      <c r="F1901" s="36" t="s">
        <v>24841</v>
      </c>
      <c r="G1901" s="36" t="s">
        <v>24842</v>
      </c>
      <c r="H1901" s="36" t="s">
        <v>24843</v>
      </c>
      <c r="I1901" s="36" t="s">
        <v>24844</v>
      </c>
      <c r="J1901" s="36" t="s">
        <v>24845</v>
      </c>
      <c r="K1901" s="36" t="s">
        <v>24846</v>
      </c>
      <c r="L1901" s="36" t="s">
        <v>24847</v>
      </c>
      <c r="M1901" s="36" t="s">
        <v>24848</v>
      </c>
      <c r="N1901" s="36" t="s">
        <v>24849</v>
      </c>
      <c r="O1901" s="36" t="s">
        <v>24850</v>
      </c>
      <c r="P1901" s="36" t="s">
        <v>24851</v>
      </c>
    </row>
    <row r="1902" spans="1:16" ht="15" customHeight="1">
      <c r="A1902" s="139">
        <v>1901</v>
      </c>
      <c r="B1902" s="36" t="s">
        <v>24852</v>
      </c>
      <c r="C1902" s="36" t="s">
        <v>24853</v>
      </c>
      <c r="D1902" s="36" t="s">
        <v>24854</v>
      </c>
      <c r="E1902" s="36" t="s">
        <v>24855</v>
      </c>
      <c r="F1902" s="36" t="s">
        <v>24856</v>
      </c>
      <c r="G1902" s="36" t="s">
        <v>24857</v>
      </c>
      <c r="H1902" s="36" t="s">
        <v>24858</v>
      </c>
      <c r="I1902" s="36" t="s">
        <v>24859</v>
      </c>
      <c r="J1902" s="36" t="s">
        <v>24860</v>
      </c>
      <c r="K1902" s="36" t="s">
        <v>24861</v>
      </c>
      <c r="L1902" s="36" t="s">
        <v>24862</v>
      </c>
      <c r="M1902" s="36" t="s">
        <v>24863</v>
      </c>
      <c r="N1902" s="36" t="s">
        <v>24864</v>
      </c>
      <c r="O1902" s="36" t="s">
        <v>24865</v>
      </c>
      <c r="P1902" s="36" t="s">
        <v>24852</v>
      </c>
    </row>
    <row r="1903" spans="1:16" ht="15" customHeight="1">
      <c r="A1903" s="139">
        <v>1902</v>
      </c>
      <c r="B1903" s="36" t="s">
        <v>24866</v>
      </c>
      <c r="C1903" s="36" t="s">
        <v>24867</v>
      </c>
      <c r="D1903" s="36" t="s">
        <v>24868</v>
      </c>
      <c r="E1903" s="36" t="s">
        <v>24869</v>
      </c>
      <c r="F1903" s="36" t="s">
        <v>24870</v>
      </c>
      <c r="G1903" s="36" t="s">
        <v>24871</v>
      </c>
      <c r="H1903" s="36" t="s">
        <v>24872</v>
      </c>
      <c r="I1903" s="36" t="s">
        <v>24873</v>
      </c>
      <c r="J1903" s="36" t="s">
        <v>24874</v>
      </c>
      <c r="K1903" s="36" t="s">
        <v>24875</v>
      </c>
      <c r="L1903" s="36" t="s">
        <v>24876</v>
      </c>
      <c r="M1903" s="36" t="s">
        <v>24877</v>
      </c>
      <c r="N1903" s="36" t="s">
        <v>24878</v>
      </c>
      <c r="O1903" s="36" t="s">
        <v>24879</v>
      </c>
      <c r="P1903" s="36" t="s">
        <v>24866</v>
      </c>
    </row>
    <row r="1904" spans="1:16" ht="15" customHeight="1">
      <c r="A1904" s="139">
        <v>1903</v>
      </c>
      <c r="B1904" s="36" t="s">
        <v>24880</v>
      </c>
      <c r="C1904" s="36" t="s">
        <v>24867</v>
      </c>
      <c r="D1904" s="36" t="s">
        <v>24881</v>
      </c>
      <c r="E1904" s="36" t="s">
        <v>24882</v>
      </c>
      <c r="F1904" s="36" t="s">
        <v>24883</v>
      </c>
      <c r="G1904" s="36" t="s">
        <v>24884</v>
      </c>
      <c r="H1904" s="36" t="s">
        <v>24885</v>
      </c>
      <c r="I1904" s="36" t="s">
        <v>24886</v>
      </c>
      <c r="J1904" s="36" t="s">
        <v>24887</v>
      </c>
      <c r="K1904" s="36" t="s">
        <v>24888</v>
      </c>
      <c r="L1904" s="36" t="s">
        <v>24889</v>
      </c>
      <c r="M1904" s="36" t="s">
        <v>24890</v>
      </c>
      <c r="N1904" s="36" t="s">
        <v>24891</v>
      </c>
      <c r="O1904" s="36" t="s">
        <v>24892</v>
      </c>
      <c r="P1904" s="36" t="s">
        <v>24880</v>
      </c>
    </row>
    <row r="1905" spans="1:16" ht="15" customHeight="1">
      <c r="A1905" s="139">
        <v>1904</v>
      </c>
      <c r="B1905" s="36" t="s">
        <v>24893</v>
      </c>
      <c r="C1905" s="36" t="s">
        <v>24894</v>
      </c>
      <c r="D1905" s="36" t="s">
        <v>24895</v>
      </c>
      <c r="E1905" s="36" t="s">
        <v>24896</v>
      </c>
      <c r="F1905" s="36" t="s">
        <v>24897</v>
      </c>
      <c r="G1905" s="36" t="s">
        <v>24898</v>
      </c>
      <c r="H1905" s="36" t="s">
        <v>24899</v>
      </c>
      <c r="I1905" s="36" t="s">
        <v>24900</v>
      </c>
      <c r="J1905" s="36" t="s">
        <v>24901</v>
      </c>
      <c r="K1905" s="36" t="s">
        <v>24902</v>
      </c>
      <c r="L1905" s="36" t="s">
        <v>24903</v>
      </c>
      <c r="M1905" s="36" t="s">
        <v>24904</v>
      </c>
      <c r="N1905" s="36" t="s">
        <v>24905</v>
      </c>
      <c r="O1905" s="36" t="s">
        <v>24906</v>
      </c>
      <c r="P1905" s="36" t="s">
        <v>24893</v>
      </c>
    </row>
    <row r="1906" spans="1:16" ht="15" customHeight="1">
      <c r="A1906" s="139">
        <v>1905</v>
      </c>
      <c r="B1906" s="36" t="s">
        <v>24809</v>
      </c>
      <c r="C1906" s="36" t="s">
        <v>24810</v>
      </c>
      <c r="D1906" s="36" t="s">
        <v>24811</v>
      </c>
      <c r="E1906" s="467" t="s">
        <v>24812</v>
      </c>
      <c r="F1906" s="36" t="s">
        <v>24813</v>
      </c>
      <c r="G1906" s="36" t="s">
        <v>24814</v>
      </c>
      <c r="H1906" s="36" t="s">
        <v>24815</v>
      </c>
      <c r="I1906" s="36" t="s">
        <v>24816</v>
      </c>
      <c r="J1906" s="36" t="s">
        <v>24817</v>
      </c>
      <c r="K1906" s="36" t="s">
        <v>24818</v>
      </c>
      <c r="L1906" s="36" t="s">
        <v>24819</v>
      </c>
      <c r="M1906" s="36" t="s">
        <v>24820</v>
      </c>
      <c r="N1906" s="36" t="s">
        <v>24821</v>
      </c>
      <c r="O1906" s="36" t="s">
        <v>24822</v>
      </c>
      <c r="P1906" s="36" t="s">
        <v>24809</v>
      </c>
    </row>
    <row r="1907" spans="1:16" ht="15" customHeight="1">
      <c r="A1907" s="139">
        <v>1906</v>
      </c>
      <c r="B1907" s="36" t="s">
        <v>24823</v>
      </c>
      <c r="C1907" s="36" t="s">
        <v>24824</v>
      </c>
      <c r="D1907" s="36" t="s">
        <v>24825</v>
      </c>
      <c r="E1907" s="467" t="s">
        <v>24826</v>
      </c>
      <c r="F1907" s="36" t="s">
        <v>24827</v>
      </c>
      <c r="G1907" s="36" t="s">
        <v>24828</v>
      </c>
      <c r="H1907" s="36" t="s">
        <v>24829</v>
      </c>
      <c r="I1907" s="36" t="s">
        <v>24830</v>
      </c>
      <c r="J1907" s="36" t="s">
        <v>24831</v>
      </c>
      <c r="K1907" s="36" t="s">
        <v>24832</v>
      </c>
      <c r="L1907" s="36" t="s">
        <v>24833</v>
      </c>
      <c r="M1907" s="36" t="s">
        <v>24834</v>
      </c>
      <c r="N1907" s="36" t="s">
        <v>24835</v>
      </c>
      <c r="O1907" s="36" t="s">
        <v>24836</v>
      </c>
      <c r="P1907" s="36" t="s">
        <v>24823</v>
      </c>
    </row>
    <row r="1908" spans="1:16" ht="15" customHeight="1">
      <c r="A1908" s="139">
        <v>1907</v>
      </c>
      <c r="B1908" s="36" t="s">
        <v>24907</v>
      </c>
      <c r="C1908" s="36" t="s">
        <v>24908</v>
      </c>
      <c r="D1908" s="36" t="s">
        <v>24909</v>
      </c>
      <c r="E1908" s="467" t="s">
        <v>24910</v>
      </c>
      <c r="F1908" s="36" t="s">
        <v>24911</v>
      </c>
      <c r="G1908" s="36" t="s">
        <v>24912</v>
      </c>
      <c r="H1908" s="36" t="s">
        <v>24913</v>
      </c>
      <c r="I1908" s="36" t="s">
        <v>24914</v>
      </c>
      <c r="J1908" s="36" t="s">
        <v>24915</v>
      </c>
      <c r="K1908" s="36" t="s">
        <v>24916</v>
      </c>
      <c r="L1908" s="36" t="s">
        <v>24917</v>
      </c>
      <c r="M1908" s="36" t="s">
        <v>24918</v>
      </c>
      <c r="N1908" s="36" t="s">
        <v>24919</v>
      </c>
      <c r="O1908" s="36" t="s">
        <v>24920</v>
      </c>
      <c r="P1908" s="36" t="s">
        <v>24907</v>
      </c>
    </row>
    <row r="1909" spans="1:16" ht="15" customHeight="1">
      <c r="A1909" s="139">
        <v>1908</v>
      </c>
      <c r="B1909" s="36" t="s">
        <v>24921</v>
      </c>
      <c r="C1909" s="36" t="s">
        <v>24922</v>
      </c>
      <c r="D1909" s="36" t="s">
        <v>24923</v>
      </c>
      <c r="E1909" s="467" t="s">
        <v>24924</v>
      </c>
      <c r="F1909" s="36" t="s">
        <v>24925</v>
      </c>
      <c r="G1909" s="36" t="s">
        <v>24926</v>
      </c>
      <c r="H1909" s="36" t="s">
        <v>24927</v>
      </c>
      <c r="I1909" s="36" t="s">
        <v>24928</v>
      </c>
      <c r="J1909" s="36" t="s">
        <v>24929</v>
      </c>
      <c r="K1909" s="36" t="s">
        <v>24930</v>
      </c>
      <c r="L1909" s="36" t="s">
        <v>24931</v>
      </c>
      <c r="M1909" s="36" t="s">
        <v>24932</v>
      </c>
      <c r="N1909" s="36" t="s">
        <v>24933</v>
      </c>
      <c r="O1909" s="36" t="s">
        <v>24934</v>
      </c>
      <c r="P1909" s="36" t="s">
        <v>24921</v>
      </c>
    </row>
    <row r="1910" spans="1:16" ht="15" customHeight="1">
      <c r="A1910" s="139">
        <v>1909</v>
      </c>
      <c r="B1910" s="36" t="s">
        <v>24935</v>
      </c>
      <c r="C1910" s="36" t="s">
        <v>24936</v>
      </c>
      <c r="D1910" s="36" t="s">
        <v>24937</v>
      </c>
      <c r="E1910" s="467" t="s">
        <v>24938</v>
      </c>
      <c r="F1910" s="36" t="s">
        <v>24939</v>
      </c>
      <c r="G1910" s="36" t="s">
        <v>24940</v>
      </c>
      <c r="H1910" s="36" t="s">
        <v>24941</v>
      </c>
      <c r="I1910" s="36" t="s">
        <v>24942</v>
      </c>
      <c r="J1910" s="36" t="s">
        <v>24943</v>
      </c>
      <c r="K1910" s="36" t="s">
        <v>24944</v>
      </c>
      <c r="L1910" s="36" t="s">
        <v>24945</v>
      </c>
      <c r="M1910" s="36" t="s">
        <v>24946</v>
      </c>
      <c r="N1910" s="36" t="s">
        <v>24946</v>
      </c>
      <c r="O1910" s="36" t="s">
        <v>24947</v>
      </c>
      <c r="P1910" s="36" t="s">
        <v>24935</v>
      </c>
    </row>
    <row r="1911" spans="1:16" ht="15" customHeight="1">
      <c r="A1911" s="139">
        <v>1910</v>
      </c>
      <c r="B1911" s="36" t="s">
        <v>24948</v>
      </c>
      <c r="C1911" s="36" t="s">
        <v>24949</v>
      </c>
      <c r="D1911" s="36" t="s">
        <v>24950</v>
      </c>
      <c r="E1911" s="467" t="s">
        <v>24951</v>
      </c>
      <c r="F1911" s="36" t="s">
        <v>24952</v>
      </c>
      <c r="G1911" s="36" t="s">
        <v>24953</v>
      </c>
      <c r="H1911" s="36" t="s">
        <v>24954</v>
      </c>
      <c r="I1911" s="36" t="s">
        <v>24955</v>
      </c>
      <c r="J1911" s="36" t="s">
        <v>24956</v>
      </c>
      <c r="K1911" s="36" t="s">
        <v>24957</v>
      </c>
      <c r="L1911" s="36" t="s">
        <v>24958</v>
      </c>
      <c r="M1911" s="36" t="s">
        <v>24959</v>
      </c>
      <c r="N1911" s="36" t="s">
        <v>24959</v>
      </c>
      <c r="O1911" s="36" t="s">
        <v>24960</v>
      </c>
      <c r="P1911" s="36" t="s">
        <v>24948</v>
      </c>
    </row>
    <row r="1912" spans="1:16" ht="15" customHeight="1">
      <c r="A1912" s="139">
        <v>1911</v>
      </c>
      <c r="B1912" s="36" t="s">
        <v>24961</v>
      </c>
      <c r="C1912" s="36" t="s">
        <v>24962</v>
      </c>
      <c r="D1912" s="36" t="s">
        <v>24963</v>
      </c>
      <c r="E1912" s="467" t="s">
        <v>24964</v>
      </c>
      <c r="F1912" s="36" t="s">
        <v>24965</v>
      </c>
      <c r="G1912" s="36" t="s">
        <v>24966</v>
      </c>
      <c r="H1912" s="36" t="s">
        <v>24967</v>
      </c>
      <c r="I1912" s="36" t="s">
        <v>24968</v>
      </c>
      <c r="J1912" s="36" t="s">
        <v>24969</v>
      </c>
      <c r="K1912" s="36" t="s">
        <v>24970</v>
      </c>
      <c r="L1912" s="36" t="s">
        <v>24971</v>
      </c>
      <c r="M1912" s="36" t="s">
        <v>24972</v>
      </c>
      <c r="N1912" s="36" t="s">
        <v>24973</v>
      </c>
      <c r="O1912" s="36" t="s">
        <v>24974</v>
      </c>
      <c r="P1912" s="36" t="s">
        <v>24961</v>
      </c>
    </row>
    <row r="1913" spans="1:16" ht="15" customHeight="1">
      <c r="A1913" s="139">
        <v>1912</v>
      </c>
      <c r="B1913" s="36" t="s">
        <v>24975</v>
      </c>
      <c r="C1913" s="36" t="s">
        <v>24976</v>
      </c>
      <c r="D1913" s="36" t="s">
        <v>24977</v>
      </c>
      <c r="E1913" s="36" t="s">
        <v>24978</v>
      </c>
      <c r="F1913" s="36" t="s">
        <v>24979</v>
      </c>
      <c r="G1913" s="36" t="s">
        <v>24980</v>
      </c>
      <c r="H1913" s="36" t="s">
        <v>24981</v>
      </c>
      <c r="I1913" s="36" t="s">
        <v>24982</v>
      </c>
      <c r="J1913" s="36" t="s">
        <v>24983</v>
      </c>
      <c r="K1913" s="36" t="s">
        <v>24984</v>
      </c>
      <c r="L1913" s="36" t="s">
        <v>24985</v>
      </c>
      <c r="M1913" s="36" t="s">
        <v>24986</v>
      </c>
      <c r="N1913" s="36" t="s">
        <v>24987</v>
      </c>
      <c r="O1913" s="36" t="s">
        <v>24988</v>
      </c>
      <c r="P1913" s="36" t="s">
        <v>24975</v>
      </c>
    </row>
    <row r="1914" spans="1:16" ht="15" customHeight="1">
      <c r="A1914" s="139">
        <v>1913</v>
      </c>
      <c r="B1914" s="36" t="s">
        <v>24989</v>
      </c>
      <c r="C1914" s="36" t="s">
        <v>24990</v>
      </c>
      <c r="D1914" s="36" t="s">
        <v>24991</v>
      </c>
      <c r="E1914" s="36" t="s">
        <v>24992</v>
      </c>
      <c r="F1914" s="36" t="s">
        <v>24993</v>
      </c>
      <c r="G1914" s="36" t="s">
        <v>24994</v>
      </c>
      <c r="H1914" s="36" t="s">
        <v>24995</v>
      </c>
      <c r="I1914" s="36" t="s">
        <v>24996</v>
      </c>
      <c r="J1914" s="36" t="s">
        <v>24997</v>
      </c>
      <c r="K1914" s="36" t="s">
        <v>24998</v>
      </c>
      <c r="L1914" s="36" t="s">
        <v>24999</v>
      </c>
      <c r="M1914" s="36" t="s">
        <v>25000</v>
      </c>
      <c r="N1914" s="36" t="s">
        <v>25001</v>
      </c>
      <c r="O1914" s="36" t="s">
        <v>25002</v>
      </c>
      <c r="P1914" s="36" t="s">
        <v>24989</v>
      </c>
    </row>
    <row r="1915" spans="1:16" ht="15" customHeight="1">
      <c r="A1915" s="139">
        <v>1914</v>
      </c>
      <c r="B1915" s="36" t="s">
        <v>25003</v>
      </c>
      <c r="C1915" s="36" t="s">
        <v>25004</v>
      </c>
      <c r="D1915" s="36" t="s">
        <v>25005</v>
      </c>
      <c r="E1915" s="36" t="s">
        <v>25006</v>
      </c>
      <c r="F1915" s="36" t="s">
        <v>25007</v>
      </c>
      <c r="G1915" s="36" t="s">
        <v>25008</v>
      </c>
      <c r="H1915" s="36" t="s">
        <v>25009</v>
      </c>
      <c r="I1915" s="36" t="s">
        <v>25010</v>
      </c>
      <c r="J1915" s="36" t="s">
        <v>25011</v>
      </c>
      <c r="K1915" s="36" t="s">
        <v>25003</v>
      </c>
      <c r="L1915" s="36" t="s">
        <v>25012</v>
      </c>
      <c r="M1915" s="36" t="s">
        <v>25003</v>
      </c>
      <c r="N1915" s="36" t="s">
        <v>25003</v>
      </c>
      <c r="O1915" s="36" t="s">
        <v>25009</v>
      </c>
      <c r="P1915" s="36" t="s">
        <v>25003</v>
      </c>
    </row>
    <row r="1916" spans="1:16" ht="15" customHeight="1">
      <c r="A1916" s="139">
        <v>1915</v>
      </c>
      <c r="B1916" s="36" t="s">
        <v>25013</v>
      </c>
      <c r="C1916" s="36" t="s">
        <v>25014</v>
      </c>
      <c r="D1916" s="36" t="s">
        <v>25015</v>
      </c>
      <c r="E1916" s="36" t="s">
        <v>25016</v>
      </c>
      <c r="F1916" s="36" t="s">
        <v>25017</v>
      </c>
      <c r="G1916" s="36" t="s">
        <v>25018</v>
      </c>
      <c r="H1916" s="36" t="s">
        <v>25019</v>
      </c>
      <c r="I1916" s="36" t="s">
        <v>25020</v>
      </c>
      <c r="J1916" s="36" t="s">
        <v>25021</v>
      </c>
      <c r="K1916" s="36" t="s">
        <v>25013</v>
      </c>
      <c r="L1916" s="36" t="s">
        <v>25022</v>
      </c>
      <c r="M1916" s="36" t="s">
        <v>25013</v>
      </c>
      <c r="N1916" s="36" t="s">
        <v>25013</v>
      </c>
      <c r="O1916" s="36" t="s">
        <v>25019</v>
      </c>
      <c r="P1916" s="36" t="s">
        <v>25013</v>
      </c>
    </row>
    <row r="1917" spans="1:16" ht="15" customHeight="1">
      <c r="A1917" s="139">
        <v>1916</v>
      </c>
      <c r="B1917" s="36" t="s">
        <v>25023</v>
      </c>
      <c r="C1917" s="36" t="s">
        <v>25024</v>
      </c>
      <c r="D1917" s="36" t="s">
        <v>25025</v>
      </c>
      <c r="E1917" s="467" t="s">
        <v>25026</v>
      </c>
      <c r="F1917" s="36" t="s">
        <v>25027</v>
      </c>
      <c r="G1917" s="36" t="s">
        <v>25028</v>
      </c>
      <c r="H1917" s="36" t="s">
        <v>25029</v>
      </c>
      <c r="I1917" s="36" t="s">
        <v>25030</v>
      </c>
      <c r="J1917" s="36" t="s">
        <v>25031</v>
      </c>
      <c r="K1917" s="36" t="s">
        <v>25032</v>
      </c>
      <c r="L1917" s="36" t="s">
        <v>25033</v>
      </c>
      <c r="M1917" s="36" t="s">
        <v>25034</v>
      </c>
      <c r="N1917" s="36" t="s">
        <v>25035</v>
      </c>
      <c r="O1917" s="36" t="s">
        <v>25036</v>
      </c>
      <c r="P1917" s="36" t="s">
        <v>25023</v>
      </c>
    </row>
    <row r="1918" spans="1:16">
      <c r="A1918" s="139">
        <v>1917</v>
      </c>
      <c r="B1918" s="36" t="s">
        <v>25037</v>
      </c>
      <c r="C1918" s="36" t="s">
        <v>25038</v>
      </c>
      <c r="D1918" s="36" t="s">
        <v>25039</v>
      </c>
      <c r="E1918" s="36" t="s">
        <v>25040</v>
      </c>
      <c r="F1918" s="36" t="s">
        <v>25041</v>
      </c>
      <c r="G1918" s="36" t="s">
        <v>25042</v>
      </c>
      <c r="H1918" s="36" t="s">
        <v>25043</v>
      </c>
      <c r="I1918" s="36" t="s">
        <v>25044</v>
      </c>
      <c r="J1918" s="36" t="s">
        <v>25045</v>
      </c>
      <c r="K1918" s="36" t="s">
        <v>25046</v>
      </c>
      <c r="L1918" s="36" t="s">
        <v>25047</v>
      </c>
      <c r="M1918" s="36" t="s">
        <v>25048</v>
      </c>
      <c r="N1918" s="36" t="s">
        <v>25049</v>
      </c>
      <c r="O1918" s="36" t="s">
        <v>25050</v>
      </c>
      <c r="P1918" s="36" t="s">
        <v>25037</v>
      </c>
    </row>
    <row r="1919" spans="1:16" ht="15" customHeight="1">
      <c r="A1919" s="139">
        <v>1918</v>
      </c>
      <c r="B1919" s="36" t="s">
        <v>25051</v>
      </c>
      <c r="C1919" s="67" t="s">
        <v>25052</v>
      </c>
      <c r="D1919" s="67" t="s">
        <v>25053</v>
      </c>
      <c r="E1919" s="36" t="s">
        <v>25054</v>
      </c>
      <c r="F1919" s="36" t="s">
        <v>25055</v>
      </c>
      <c r="H1919" s="36" t="s">
        <v>25056</v>
      </c>
      <c r="P1919" s="36" t="s">
        <v>25051</v>
      </c>
    </row>
    <row r="1920" spans="1:16" ht="15" customHeight="1">
      <c r="A1920" s="139">
        <v>1919</v>
      </c>
      <c r="B1920" s="36" t="s">
        <v>25057</v>
      </c>
      <c r="C1920" s="36" t="s">
        <v>25058</v>
      </c>
      <c r="D1920" s="67" t="s">
        <v>25059</v>
      </c>
      <c r="E1920" s="36" t="s">
        <v>25060</v>
      </c>
      <c r="F1920" s="36" t="s">
        <v>25061</v>
      </c>
      <c r="H1920" s="36" t="s">
        <v>25062</v>
      </c>
      <c r="P1920" s="36" t="s">
        <v>25057</v>
      </c>
    </row>
    <row r="1921" spans="1:16" ht="15" customHeight="1">
      <c r="A1921" s="139">
        <v>1920</v>
      </c>
      <c r="B1921" s="36" t="s">
        <v>25063</v>
      </c>
      <c r="C1921" s="67" t="s">
        <v>25064</v>
      </c>
      <c r="D1921" s="67" t="s">
        <v>25065</v>
      </c>
      <c r="E1921" s="36" t="s">
        <v>25066</v>
      </c>
      <c r="F1921" s="36" t="s">
        <v>25067</v>
      </c>
      <c r="H1921" s="36" t="s">
        <v>25068</v>
      </c>
      <c r="P1921" s="36" t="s">
        <v>25063</v>
      </c>
    </row>
    <row r="1922" spans="1:16" ht="15" customHeight="1">
      <c r="A1922" s="139">
        <v>1921</v>
      </c>
      <c r="B1922" s="36" t="s">
        <v>11468</v>
      </c>
      <c r="C1922" s="67" t="s">
        <v>25069</v>
      </c>
      <c r="D1922" s="67" t="s">
        <v>25070</v>
      </c>
      <c r="E1922" s="36" t="s">
        <v>25071</v>
      </c>
      <c r="F1922" s="36" t="s">
        <v>25072</v>
      </c>
      <c r="H1922" s="36" t="s">
        <v>25073</v>
      </c>
      <c r="P1922" s="36" t="s">
        <v>11468</v>
      </c>
    </row>
    <row r="1923" spans="1:16" ht="15" customHeight="1">
      <c r="A1923" s="139">
        <v>1922</v>
      </c>
      <c r="B1923" s="36" t="s">
        <v>15079</v>
      </c>
      <c r="C1923" s="67" t="s">
        <v>25074</v>
      </c>
      <c r="D1923" s="67" t="s">
        <v>25075</v>
      </c>
      <c r="E1923" s="36" t="s">
        <v>25076</v>
      </c>
      <c r="F1923" s="36" t="s">
        <v>25077</v>
      </c>
      <c r="H1923" s="36" t="s">
        <v>25078</v>
      </c>
      <c r="P1923" s="36" t="s">
        <v>15079</v>
      </c>
    </row>
    <row r="1924" spans="1:16" ht="15" customHeight="1">
      <c r="A1924" s="139">
        <v>1923</v>
      </c>
      <c r="B1924" s="36" t="s">
        <v>25079</v>
      </c>
      <c r="C1924" s="67" t="s">
        <v>25080</v>
      </c>
      <c r="D1924" s="67" t="s">
        <v>25081</v>
      </c>
      <c r="E1924" s="36" t="s">
        <v>25082</v>
      </c>
      <c r="F1924" s="36" t="s">
        <v>25083</v>
      </c>
      <c r="H1924" s="36" t="s">
        <v>25084</v>
      </c>
      <c r="P1924" s="36" t="s">
        <v>25079</v>
      </c>
    </row>
    <row r="1925" spans="1:16" ht="15" customHeight="1">
      <c r="A1925" s="139">
        <v>1924</v>
      </c>
      <c r="B1925" s="36" t="s">
        <v>25085</v>
      </c>
      <c r="C1925" s="67" t="s">
        <v>25086</v>
      </c>
      <c r="D1925" s="67" t="s">
        <v>25087</v>
      </c>
      <c r="E1925" s="36" t="s">
        <v>25088</v>
      </c>
      <c r="F1925" s="36" t="s">
        <v>25089</v>
      </c>
      <c r="H1925" s="36" t="s">
        <v>25090</v>
      </c>
      <c r="P1925" s="36" t="s">
        <v>25085</v>
      </c>
    </row>
    <row r="1926" spans="1:16" ht="15" customHeight="1">
      <c r="A1926" s="139">
        <v>1925</v>
      </c>
      <c r="B1926" s="36" t="s">
        <v>25091</v>
      </c>
      <c r="C1926" s="67" t="s">
        <v>25092</v>
      </c>
      <c r="D1926" s="67" t="s">
        <v>25093</v>
      </c>
      <c r="E1926" s="36" t="s">
        <v>25094</v>
      </c>
      <c r="F1926" s="36" t="s">
        <v>25095</v>
      </c>
      <c r="H1926" s="36" t="s">
        <v>25096</v>
      </c>
      <c r="P1926" s="36" t="s">
        <v>25091</v>
      </c>
    </row>
    <row r="1927" spans="1:16" ht="15" customHeight="1">
      <c r="A1927" s="139">
        <v>1926</v>
      </c>
      <c r="B1927" s="36" t="s">
        <v>25097</v>
      </c>
      <c r="C1927" s="67" t="s">
        <v>25098</v>
      </c>
      <c r="D1927" s="67" t="s">
        <v>25099</v>
      </c>
      <c r="E1927" s="36" t="s">
        <v>25100</v>
      </c>
      <c r="F1927" s="36" t="s">
        <v>25101</v>
      </c>
      <c r="H1927" s="36" t="s">
        <v>25102</v>
      </c>
      <c r="P1927" s="36" t="s">
        <v>25097</v>
      </c>
    </row>
    <row r="1928" spans="1:16" ht="15" customHeight="1">
      <c r="A1928" s="139">
        <v>1927</v>
      </c>
      <c r="B1928" s="36" t="s">
        <v>25103</v>
      </c>
      <c r="C1928" s="67" t="s">
        <v>25104</v>
      </c>
      <c r="D1928" s="67" t="s">
        <v>25105</v>
      </c>
      <c r="E1928" s="36" t="s">
        <v>25106</v>
      </c>
      <c r="F1928" s="36" t="s">
        <v>25107</v>
      </c>
      <c r="H1928" s="36" t="s">
        <v>25108</v>
      </c>
      <c r="P1928" s="36" t="s">
        <v>25103</v>
      </c>
    </row>
    <row r="1929" spans="1:16" ht="15" customHeight="1">
      <c r="A1929" s="139">
        <v>1928</v>
      </c>
      <c r="B1929" s="36" t="s">
        <v>25109</v>
      </c>
      <c r="C1929" s="36" t="s">
        <v>25110</v>
      </c>
      <c r="D1929" s="36" t="s">
        <v>25111</v>
      </c>
      <c r="E1929" s="36" t="s">
        <v>25112</v>
      </c>
      <c r="F1929" s="36" t="s">
        <v>25107</v>
      </c>
      <c r="H1929" s="36" t="s">
        <v>25113</v>
      </c>
      <c r="P1929" s="36" t="s">
        <v>25109</v>
      </c>
    </row>
    <row r="1930" spans="1:16" ht="15" customHeight="1">
      <c r="A1930" s="139">
        <v>1929</v>
      </c>
      <c r="B1930" s="36" t="s">
        <v>25114</v>
      </c>
      <c r="C1930" s="36" t="s">
        <v>25115</v>
      </c>
      <c r="D1930" s="36" t="s">
        <v>25116</v>
      </c>
      <c r="E1930" s="36" t="s">
        <v>25117</v>
      </c>
      <c r="F1930" s="36" t="s">
        <v>25118</v>
      </c>
      <c r="H1930" s="36" t="s">
        <v>25119</v>
      </c>
      <c r="P1930" s="36" t="s">
        <v>25114</v>
      </c>
    </row>
    <row r="1931" spans="1:16" ht="13.95" customHeight="1">
      <c r="A1931" s="139">
        <v>1930</v>
      </c>
      <c r="B1931" s="36" t="s">
        <v>25120</v>
      </c>
      <c r="C1931" s="36" t="s">
        <v>25121</v>
      </c>
      <c r="D1931" s="36" t="s">
        <v>25122</v>
      </c>
      <c r="E1931" s="36" t="s">
        <v>25123</v>
      </c>
      <c r="F1931" s="36" t="s">
        <v>25124</v>
      </c>
      <c r="G1931" s="67" t="s">
        <v>25125</v>
      </c>
      <c r="H1931" s="36" t="s">
        <v>25126</v>
      </c>
      <c r="I1931" s="67" t="s">
        <v>25127</v>
      </c>
      <c r="J1931" s="67" t="s">
        <v>25128</v>
      </c>
      <c r="K1931" s="67" t="s">
        <v>25129</v>
      </c>
      <c r="L1931" s="67" t="s">
        <v>25130</v>
      </c>
      <c r="M1931" s="67" t="s">
        <v>25131</v>
      </c>
      <c r="N1931" s="67" t="s">
        <v>25132</v>
      </c>
      <c r="O1931" s="67" t="s">
        <v>25133</v>
      </c>
      <c r="P1931" s="36" t="s">
        <v>25120</v>
      </c>
    </row>
    <row r="1932" spans="1:16">
      <c r="A1932" s="139">
        <v>1931</v>
      </c>
      <c r="B1932" s="36" t="s">
        <v>25134</v>
      </c>
      <c r="C1932" s="36" t="s">
        <v>25135</v>
      </c>
      <c r="D1932" s="36" t="s">
        <v>25136</v>
      </c>
      <c r="E1932" s="36" t="s">
        <v>25137</v>
      </c>
      <c r="F1932" s="36" t="s">
        <v>25138</v>
      </c>
      <c r="H1932" s="36" t="s">
        <v>25139</v>
      </c>
      <c r="P1932" s="36" t="s">
        <v>25134</v>
      </c>
    </row>
    <row r="1933" spans="1:16">
      <c r="A1933" s="139">
        <v>1932</v>
      </c>
      <c r="B1933" s="36" t="s">
        <v>25140</v>
      </c>
      <c r="C1933" s="36" t="s">
        <v>25141</v>
      </c>
      <c r="D1933" s="36" t="s">
        <v>25142</v>
      </c>
      <c r="E1933" s="36" t="s">
        <v>25143</v>
      </c>
      <c r="F1933" s="36" t="s">
        <v>25144</v>
      </c>
      <c r="H1933" s="36" t="s">
        <v>25145</v>
      </c>
      <c r="P1933" s="36" t="s">
        <v>25140</v>
      </c>
    </row>
    <row r="1934" spans="1:16" ht="15" customHeight="1">
      <c r="A1934" s="139">
        <v>1933</v>
      </c>
      <c r="B1934" s="36" t="s">
        <v>25146</v>
      </c>
      <c r="C1934" s="36" t="s">
        <v>25147</v>
      </c>
      <c r="D1934" s="36" t="s">
        <v>25148</v>
      </c>
      <c r="E1934" s="36" t="s">
        <v>25149</v>
      </c>
      <c r="F1934" s="36" t="s">
        <v>25150</v>
      </c>
      <c r="H1934" s="36" t="s">
        <v>25151</v>
      </c>
      <c r="P1934" s="36" t="s">
        <v>25146</v>
      </c>
    </row>
    <row r="1935" spans="1:16" ht="15" customHeight="1">
      <c r="A1935" s="139">
        <v>1934</v>
      </c>
      <c r="B1935" s="36" t="s">
        <v>25152</v>
      </c>
      <c r="C1935" s="36" t="s">
        <v>25153</v>
      </c>
      <c r="D1935" s="36" t="s">
        <v>25154</v>
      </c>
      <c r="E1935" s="36" t="s">
        <v>25155</v>
      </c>
      <c r="F1935" s="36" t="s">
        <v>25156</v>
      </c>
      <c r="H1935" s="36" t="s">
        <v>25157</v>
      </c>
      <c r="P1935" s="36" t="s">
        <v>25152</v>
      </c>
    </row>
    <row r="1936" spans="1:16" ht="15" customHeight="1">
      <c r="A1936" s="139">
        <v>1935</v>
      </c>
      <c r="B1936" s="36" t="s">
        <v>25158</v>
      </c>
      <c r="C1936" s="36" t="s">
        <v>25159</v>
      </c>
      <c r="D1936" s="36" t="s">
        <v>25160</v>
      </c>
      <c r="E1936" s="36" t="s">
        <v>25161</v>
      </c>
      <c r="F1936" s="36" t="s">
        <v>25162</v>
      </c>
      <c r="H1936" s="36" t="s">
        <v>25163</v>
      </c>
      <c r="J1936" s="36" t="s">
        <v>25164</v>
      </c>
      <c r="L1936" s="36" t="s">
        <v>25165</v>
      </c>
      <c r="M1936" s="36" t="s">
        <v>25166</v>
      </c>
      <c r="N1936" s="36" t="s">
        <v>25167</v>
      </c>
      <c r="P1936" s="36" t="s">
        <v>25158</v>
      </c>
    </row>
    <row r="1937" spans="1:16" ht="15" customHeight="1">
      <c r="A1937" s="139">
        <v>1936</v>
      </c>
      <c r="B1937" s="67" t="s">
        <v>25168</v>
      </c>
      <c r="C1937" s="67" t="s">
        <v>25169</v>
      </c>
      <c r="D1937" s="67" t="s">
        <v>25170</v>
      </c>
      <c r="E1937" s="36" t="s">
        <v>25171</v>
      </c>
      <c r="F1937" s="36" t="s">
        <v>25172</v>
      </c>
      <c r="H1937" s="67" t="s">
        <v>25173</v>
      </c>
      <c r="P1937" s="67" t="s">
        <v>25168</v>
      </c>
    </row>
    <row r="1938" spans="1:16" ht="15" customHeight="1">
      <c r="A1938" s="139">
        <v>1937</v>
      </c>
      <c r="B1938" s="67" t="s">
        <v>19973</v>
      </c>
      <c r="C1938" s="67" t="s">
        <v>25174</v>
      </c>
      <c r="D1938" s="67" t="s">
        <v>19975</v>
      </c>
      <c r="E1938" s="36" t="s">
        <v>19976</v>
      </c>
      <c r="F1938" s="36" t="s">
        <v>19977</v>
      </c>
      <c r="H1938" s="67" t="s">
        <v>25175</v>
      </c>
      <c r="P1938" s="67" t="s">
        <v>19973</v>
      </c>
    </row>
    <row r="1939" spans="1:16" ht="15" customHeight="1">
      <c r="A1939" s="139">
        <v>1938</v>
      </c>
      <c r="B1939" s="36" t="s">
        <v>25176</v>
      </c>
      <c r="C1939" s="36" t="s">
        <v>25177</v>
      </c>
      <c r="D1939" s="36" t="s">
        <v>25177</v>
      </c>
      <c r="E1939" s="36" t="s">
        <v>25178</v>
      </c>
      <c r="F1939" s="36" t="s">
        <v>25179</v>
      </c>
      <c r="H1939" s="36" t="s">
        <v>25180</v>
      </c>
      <c r="P1939" s="36" t="s">
        <v>25176</v>
      </c>
    </row>
    <row r="1940" spans="1:16" ht="15" customHeight="1">
      <c r="A1940" s="139">
        <v>1939</v>
      </c>
      <c r="B1940" s="36" t="s">
        <v>25181</v>
      </c>
      <c r="C1940" s="36" t="s">
        <v>25182</v>
      </c>
      <c r="D1940" s="36" t="s">
        <v>3888</v>
      </c>
      <c r="E1940" s="36" t="s">
        <v>3889</v>
      </c>
      <c r="F1940" s="36" t="s">
        <v>25183</v>
      </c>
      <c r="H1940" s="36" t="s">
        <v>25184</v>
      </c>
      <c r="P1940" s="36" t="s">
        <v>25181</v>
      </c>
    </row>
    <row r="1941" spans="1:16" ht="15" customHeight="1">
      <c r="A1941" s="139">
        <v>1940</v>
      </c>
      <c r="B1941" s="36" t="s">
        <v>25185</v>
      </c>
      <c r="C1941" s="36" t="s">
        <v>25186</v>
      </c>
      <c r="D1941" s="36" t="s">
        <v>25187</v>
      </c>
      <c r="E1941" s="36" t="s">
        <v>25188</v>
      </c>
      <c r="F1941" s="36" t="s">
        <v>25189</v>
      </c>
      <c r="H1941" s="36" t="s">
        <v>25190</v>
      </c>
      <c r="P1941" s="36" t="s">
        <v>25185</v>
      </c>
    </row>
    <row r="1942" spans="1:16" ht="15" customHeight="1">
      <c r="A1942" s="139">
        <v>1941</v>
      </c>
      <c r="B1942" s="36" t="s">
        <v>25191</v>
      </c>
      <c r="C1942" s="36" t="s">
        <v>25192</v>
      </c>
      <c r="D1942" s="36" t="s">
        <v>25193</v>
      </c>
      <c r="E1942" s="36" t="s">
        <v>25194</v>
      </c>
      <c r="F1942" s="36" t="s">
        <v>25195</v>
      </c>
      <c r="H1942" s="36" t="s">
        <v>25196</v>
      </c>
      <c r="P1942" s="36" t="s">
        <v>25191</v>
      </c>
    </row>
    <row r="1943" spans="1:16" ht="15" customHeight="1">
      <c r="A1943" s="139">
        <v>1942</v>
      </c>
      <c r="B1943" s="36" t="s">
        <v>25197</v>
      </c>
      <c r="C1943" s="36" t="s">
        <v>25198</v>
      </c>
      <c r="D1943" s="36" t="s">
        <v>25199</v>
      </c>
      <c r="E1943" s="36" t="s">
        <v>25200</v>
      </c>
      <c r="F1943" s="36" t="s">
        <v>25201</v>
      </c>
      <c r="H1943" s="36" t="s">
        <v>25202</v>
      </c>
      <c r="P1943" s="36" t="s">
        <v>25203</v>
      </c>
    </row>
    <row r="1944" spans="1:16" ht="15" customHeight="1">
      <c r="A1944" s="139">
        <v>1943</v>
      </c>
      <c r="B1944" s="36" t="s">
        <v>25204</v>
      </c>
      <c r="C1944" s="36" t="s">
        <v>25205</v>
      </c>
      <c r="E1944" s="36" t="s">
        <v>25206</v>
      </c>
      <c r="F1944" s="36" t="s">
        <v>25207</v>
      </c>
      <c r="H1944" s="36" t="s">
        <v>25208</v>
      </c>
      <c r="P1944" s="36" t="s">
        <v>25204</v>
      </c>
    </row>
    <row r="1945" spans="1:16" ht="15" customHeight="1">
      <c r="A1945" s="139">
        <v>1944</v>
      </c>
      <c r="B1945" s="36" t="s">
        <v>25209</v>
      </c>
      <c r="C1945" s="36" t="s">
        <v>25210</v>
      </c>
      <c r="D1945" s="36" t="s">
        <v>25211</v>
      </c>
      <c r="E1945" s="36" t="s">
        <v>25212</v>
      </c>
      <c r="F1945" s="36" t="s">
        <v>25212</v>
      </c>
      <c r="H1945" s="36" t="s">
        <v>25212</v>
      </c>
      <c r="P1945" s="36" t="s">
        <v>25209</v>
      </c>
    </row>
    <row r="1946" spans="1:16" ht="15" customHeight="1">
      <c r="A1946" s="139">
        <v>1945</v>
      </c>
      <c r="B1946" s="36" t="s">
        <v>25213</v>
      </c>
      <c r="C1946" s="36" t="s">
        <v>25214</v>
      </c>
      <c r="D1946" s="36" t="s">
        <v>25215</v>
      </c>
      <c r="E1946" s="36" t="s">
        <v>25216</v>
      </c>
      <c r="G1946" s="36" t="s">
        <v>25217</v>
      </c>
      <c r="P1946" s="36" t="s">
        <v>25213</v>
      </c>
    </row>
    <row r="1947" spans="1:16" ht="15" customHeight="1">
      <c r="A1947" s="139">
        <v>1946</v>
      </c>
      <c r="B1947" s="36" t="s">
        <v>25218</v>
      </c>
      <c r="C1947" s="36" t="s">
        <v>25219</v>
      </c>
      <c r="D1947" s="36" t="s">
        <v>25220</v>
      </c>
      <c r="E1947" s="36" t="s">
        <v>25221</v>
      </c>
      <c r="G1947" s="36" t="s">
        <v>25222</v>
      </c>
      <c r="P1947" s="36" t="s">
        <v>25218</v>
      </c>
    </row>
    <row r="1948" spans="1:16" ht="15" customHeight="1">
      <c r="A1948" s="139">
        <v>1947</v>
      </c>
      <c r="B1948" s="36" t="s">
        <v>25223</v>
      </c>
      <c r="C1948" s="36" t="s">
        <v>25224</v>
      </c>
      <c r="D1948" s="36" t="s">
        <v>25225</v>
      </c>
      <c r="E1948" s="36" t="s">
        <v>25226</v>
      </c>
      <c r="G1948" s="36" t="s">
        <v>25227</v>
      </c>
      <c r="P1948" s="36" t="s">
        <v>25223</v>
      </c>
    </row>
    <row r="1949" spans="1:16" ht="15" customHeight="1">
      <c r="A1949" s="139">
        <v>1948</v>
      </c>
      <c r="B1949" s="36" t="s">
        <v>25228</v>
      </c>
      <c r="C1949" s="36" t="s">
        <v>25229</v>
      </c>
      <c r="D1949" s="36" t="s">
        <v>25230</v>
      </c>
      <c r="E1949" s="36" t="s">
        <v>25231</v>
      </c>
      <c r="G1949" s="36" t="s">
        <v>25232</v>
      </c>
      <c r="P1949" s="36" t="s">
        <v>25228</v>
      </c>
    </row>
    <row r="1950" spans="1:16" ht="15" customHeight="1">
      <c r="A1950" s="139">
        <v>1949</v>
      </c>
      <c r="B1950" s="36" t="s">
        <v>25233</v>
      </c>
      <c r="C1950" s="36" t="s">
        <v>25234</v>
      </c>
      <c r="D1950" s="36" t="s">
        <v>25235</v>
      </c>
      <c r="E1950" s="36" t="s">
        <v>25236</v>
      </c>
      <c r="G1950" s="36" t="s">
        <v>25237</v>
      </c>
      <c r="J1950" s="36" t="s">
        <v>25238</v>
      </c>
      <c r="L1950" s="36" t="s">
        <v>25239</v>
      </c>
      <c r="M1950" s="36" t="s">
        <v>25240</v>
      </c>
      <c r="N1950" s="36" t="s">
        <v>25240</v>
      </c>
      <c r="P1950" s="36" t="s">
        <v>25233</v>
      </c>
    </row>
    <row r="1951" spans="1:16" ht="15" customHeight="1">
      <c r="A1951" s="139">
        <v>1950</v>
      </c>
      <c r="B1951" s="36" t="s">
        <v>25241</v>
      </c>
      <c r="C1951" s="36" t="s">
        <v>25242</v>
      </c>
      <c r="D1951" s="36" t="s">
        <v>25243</v>
      </c>
      <c r="E1951" s="36" t="s">
        <v>25244</v>
      </c>
      <c r="G1951" s="36" t="s">
        <v>25245</v>
      </c>
      <c r="J1951" s="36" t="s">
        <v>25246</v>
      </c>
      <c r="L1951" s="36" t="s">
        <v>25247</v>
      </c>
      <c r="M1951" s="36" t="s">
        <v>25248</v>
      </c>
      <c r="N1951" s="36" t="s">
        <v>25248</v>
      </c>
      <c r="P1951" s="36" t="s">
        <v>25241</v>
      </c>
    </row>
    <row r="1952" spans="1:16" ht="15" customHeight="1">
      <c r="A1952" s="139">
        <v>1951</v>
      </c>
      <c r="B1952" s="36" t="s">
        <v>25249</v>
      </c>
      <c r="C1952" s="36" t="s">
        <v>25250</v>
      </c>
      <c r="D1952" s="36" t="s">
        <v>25251</v>
      </c>
      <c r="E1952" s="36" t="s">
        <v>25252</v>
      </c>
      <c r="G1952" s="36" t="s">
        <v>25253</v>
      </c>
      <c r="J1952" s="36" t="s">
        <v>25254</v>
      </c>
      <c r="L1952" s="36" t="s">
        <v>25255</v>
      </c>
      <c r="M1952" s="36" t="s">
        <v>25256</v>
      </c>
      <c r="N1952" s="36" t="s">
        <v>25256</v>
      </c>
      <c r="P1952" s="36" t="s">
        <v>25249</v>
      </c>
    </row>
    <row r="1953" spans="1:16" ht="15" customHeight="1">
      <c r="A1953" s="139">
        <v>1952</v>
      </c>
      <c r="B1953" s="36" t="s">
        <v>25257</v>
      </c>
      <c r="C1953" s="36" t="s">
        <v>25258</v>
      </c>
      <c r="D1953" s="36" t="s">
        <v>25259</v>
      </c>
      <c r="E1953" s="36" t="s">
        <v>25260</v>
      </c>
      <c r="G1953" s="36" t="s">
        <v>25261</v>
      </c>
      <c r="P1953" s="36" t="s">
        <v>25257</v>
      </c>
    </row>
    <row r="1954" spans="1:16" ht="15" customHeight="1">
      <c r="A1954" s="139">
        <v>1953</v>
      </c>
      <c r="B1954" s="36" t="s">
        <v>25262</v>
      </c>
      <c r="C1954" s="36" t="s">
        <v>25263</v>
      </c>
      <c r="D1954" s="36" t="s">
        <v>25264</v>
      </c>
      <c r="E1954" s="36" t="s">
        <v>25265</v>
      </c>
      <c r="G1954" s="36" t="s">
        <v>25266</v>
      </c>
      <c r="P1954" s="36" t="s">
        <v>25262</v>
      </c>
    </row>
    <row r="1955" spans="1:16" ht="15" customHeight="1">
      <c r="A1955" s="139">
        <v>1954</v>
      </c>
      <c r="B1955" s="36" t="s">
        <v>25267</v>
      </c>
      <c r="C1955" s="36" t="s">
        <v>25268</v>
      </c>
      <c r="D1955" s="36" t="s">
        <v>25269</v>
      </c>
      <c r="E1955" s="36" t="s">
        <v>25270</v>
      </c>
      <c r="G1955" s="36" t="s">
        <v>25271</v>
      </c>
      <c r="P1955" s="36" t="s">
        <v>25267</v>
      </c>
    </row>
    <row r="1956" spans="1:16" ht="15" customHeight="1">
      <c r="A1956" s="139">
        <v>1955</v>
      </c>
      <c r="B1956" s="36" t="s">
        <v>25272</v>
      </c>
      <c r="C1956" s="36" t="s">
        <v>25272</v>
      </c>
      <c r="D1956" s="36" t="s">
        <v>25273</v>
      </c>
      <c r="E1956" s="36" t="s">
        <v>25272</v>
      </c>
      <c r="F1956" s="36" t="s">
        <v>25272</v>
      </c>
      <c r="G1956" s="36" t="s">
        <v>25272</v>
      </c>
      <c r="H1956" s="36" t="s">
        <v>25272</v>
      </c>
      <c r="I1956" s="36" t="s">
        <v>25272</v>
      </c>
      <c r="J1956" s="36" t="s">
        <v>25272</v>
      </c>
      <c r="K1956" s="36" t="s">
        <v>25272</v>
      </c>
      <c r="L1956" s="36" t="s">
        <v>25272</v>
      </c>
      <c r="M1956" s="36" t="s">
        <v>25272</v>
      </c>
      <c r="N1956" s="36" t="s">
        <v>25272</v>
      </c>
      <c r="O1956" s="36" t="s">
        <v>25272</v>
      </c>
      <c r="P1956" s="36" t="s">
        <v>25272</v>
      </c>
    </row>
    <row r="1957" spans="1:16" ht="15" customHeight="1">
      <c r="A1957" s="139">
        <v>1956</v>
      </c>
      <c r="B1957" s="36" t="s">
        <v>25274</v>
      </c>
      <c r="C1957" s="36" t="s">
        <v>25275</v>
      </c>
      <c r="D1957" s="36" t="s">
        <v>25276</v>
      </c>
      <c r="E1957" s="36" t="s">
        <v>25277</v>
      </c>
      <c r="P1957" s="36" t="s">
        <v>25274</v>
      </c>
    </row>
    <row r="1958" spans="1:16" ht="15" customHeight="1">
      <c r="A1958" s="139">
        <v>1957</v>
      </c>
      <c r="B1958" s="36" t="s">
        <v>25278</v>
      </c>
      <c r="C1958" s="36" t="s">
        <v>25279</v>
      </c>
      <c r="D1958" s="36" t="s">
        <v>25280</v>
      </c>
      <c r="E1958" s="36" t="s">
        <v>25281</v>
      </c>
      <c r="G1958" s="36" t="s">
        <v>25282</v>
      </c>
      <c r="P1958" s="36" t="s">
        <v>25278</v>
      </c>
    </row>
    <row r="1959" spans="1:16" ht="15" customHeight="1">
      <c r="A1959" s="139">
        <v>1958</v>
      </c>
      <c r="B1959" s="36" t="s">
        <v>25283</v>
      </c>
      <c r="C1959" s="36" t="s">
        <v>25284</v>
      </c>
      <c r="D1959" s="36" t="s">
        <v>25285</v>
      </c>
      <c r="E1959" s="36" t="s">
        <v>25286</v>
      </c>
      <c r="P1959" s="36" t="s">
        <v>25283</v>
      </c>
    </row>
    <row r="1960" spans="1:16" ht="15" customHeight="1">
      <c r="A1960" s="139">
        <v>1959</v>
      </c>
      <c r="B1960" s="36" t="s">
        <v>25287</v>
      </c>
      <c r="D1960" s="36" t="s">
        <v>25288</v>
      </c>
      <c r="E1960" s="36" t="s">
        <v>25289</v>
      </c>
      <c r="P1960" s="36" t="s">
        <v>25287</v>
      </c>
    </row>
    <row r="1961" spans="1:16" ht="15" customHeight="1">
      <c r="A1961" s="139">
        <v>1960</v>
      </c>
      <c r="B1961" s="36" t="s">
        <v>25290</v>
      </c>
      <c r="C1961" s="36" t="s">
        <v>25291</v>
      </c>
      <c r="D1961" s="36" t="s">
        <v>25292</v>
      </c>
      <c r="E1961" s="36" t="s">
        <v>25293</v>
      </c>
      <c r="P1961" s="36" t="s">
        <v>25294</v>
      </c>
    </row>
    <row r="1962" spans="1:16" ht="15" customHeight="1">
      <c r="A1962" s="139">
        <v>1961</v>
      </c>
      <c r="B1962" s="36" t="s">
        <v>25295</v>
      </c>
      <c r="C1962" s="36" t="s">
        <v>25296</v>
      </c>
      <c r="D1962" s="36" t="s">
        <v>25297</v>
      </c>
      <c r="E1962" s="36" t="s">
        <v>25298</v>
      </c>
      <c r="P1962" s="36" t="s">
        <v>25299</v>
      </c>
    </row>
    <row r="1963" spans="1:16" ht="15" customHeight="1">
      <c r="A1963" s="139">
        <v>1962</v>
      </c>
      <c r="B1963" s="36" t="s">
        <v>25300</v>
      </c>
      <c r="D1963" s="36" t="s">
        <v>25301</v>
      </c>
      <c r="E1963" s="36" t="s">
        <v>25302</v>
      </c>
      <c r="P1963" s="36" t="s">
        <v>25300</v>
      </c>
    </row>
    <row r="1964" spans="1:16" ht="15" customHeight="1">
      <c r="A1964" s="139">
        <v>1963</v>
      </c>
      <c r="B1964" s="36" t="s">
        <v>25303</v>
      </c>
      <c r="C1964" s="36" t="s">
        <v>25304</v>
      </c>
      <c r="D1964" s="36" t="s">
        <v>25305</v>
      </c>
      <c r="E1964" s="36" t="s">
        <v>25306</v>
      </c>
      <c r="P1964" s="36" t="s">
        <v>25303</v>
      </c>
    </row>
    <row r="1965" spans="1:16" ht="15" customHeight="1">
      <c r="A1965" s="139">
        <v>1964</v>
      </c>
      <c r="B1965" s="36" t="s">
        <v>25307</v>
      </c>
      <c r="C1965" s="36" t="s">
        <v>25308</v>
      </c>
      <c r="D1965" s="36" t="s">
        <v>25309</v>
      </c>
      <c r="E1965" s="36" t="s">
        <v>25310</v>
      </c>
      <c r="P1965" s="36" t="s">
        <v>25307</v>
      </c>
    </row>
    <row r="1966" spans="1:16" ht="15" customHeight="1">
      <c r="A1966" s="139">
        <v>1965</v>
      </c>
      <c r="B1966" s="36" t="s">
        <v>25311</v>
      </c>
      <c r="C1966" s="36" t="s">
        <v>25312</v>
      </c>
      <c r="D1966" s="36" t="s">
        <v>25313</v>
      </c>
      <c r="E1966" s="36" t="s">
        <v>25314</v>
      </c>
      <c r="P1966" s="36" t="s">
        <v>25311</v>
      </c>
    </row>
    <row r="1967" spans="1:16" ht="15" customHeight="1">
      <c r="A1967" s="139">
        <v>1966</v>
      </c>
      <c r="B1967" s="36" t="s">
        <v>25315</v>
      </c>
      <c r="D1967" s="36" t="s">
        <v>25316</v>
      </c>
      <c r="E1967" s="36" t="s">
        <v>25317</v>
      </c>
      <c r="P1967" s="36" t="s">
        <v>25315</v>
      </c>
    </row>
    <row r="1968" spans="1:16" ht="15" customHeight="1">
      <c r="A1968" s="139">
        <v>1967</v>
      </c>
      <c r="B1968" s="36" t="s">
        <v>25318</v>
      </c>
      <c r="C1968" s="36" t="s">
        <v>25319</v>
      </c>
      <c r="D1968" s="36" t="s">
        <v>25320</v>
      </c>
      <c r="E1968" s="36" t="s">
        <v>25321</v>
      </c>
      <c r="P1968" s="36" t="s">
        <v>25318</v>
      </c>
    </row>
    <row r="1969" spans="1:16" ht="15" customHeight="1">
      <c r="A1969" s="139">
        <v>1968</v>
      </c>
      <c r="B1969" s="36" t="s">
        <v>25322</v>
      </c>
      <c r="C1969" s="36" t="s">
        <v>25323</v>
      </c>
      <c r="E1969" s="36" t="s">
        <v>25324</v>
      </c>
      <c r="P1969" s="36" t="s">
        <v>25322</v>
      </c>
    </row>
    <row r="1970" spans="1:16" ht="15" customHeight="1">
      <c r="A1970" s="139">
        <v>1969</v>
      </c>
      <c r="B1970" s="36" t="s">
        <v>25325</v>
      </c>
      <c r="C1970" s="36" t="s">
        <v>25326</v>
      </c>
      <c r="D1970" s="36" t="s">
        <v>25327</v>
      </c>
      <c r="E1970" s="36" t="s">
        <v>25328</v>
      </c>
      <c r="P1970" s="36" t="s">
        <v>25325</v>
      </c>
    </row>
    <row r="1971" spans="1:16" ht="15" customHeight="1">
      <c r="A1971" s="139">
        <v>1970</v>
      </c>
      <c r="B1971" s="36" t="s">
        <v>25329</v>
      </c>
      <c r="C1971" s="36" t="s">
        <v>25330</v>
      </c>
      <c r="D1971" s="36" t="s">
        <v>25331</v>
      </c>
      <c r="E1971" s="36" t="s">
        <v>25332</v>
      </c>
      <c r="P1971" s="36" t="s">
        <v>25329</v>
      </c>
    </row>
    <row r="1972" spans="1:16" ht="15" customHeight="1">
      <c r="A1972" s="139">
        <v>1971</v>
      </c>
      <c r="B1972" s="36" t="s">
        <v>25333</v>
      </c>
      <c r="D1972" s="36" t="s">
        <v>25334</v>
      </c>
      <c r="E1972" s="36" t="s">
        <v>25335</v>
      </c>
      <c r="P1972" s="36" t="s">
        <v>25333</v>
      </c>
    </row>
    <row r="1973" spans="1:16" ht="15" customHeight="1">
      <c r="A1973" s="139">
        <v>1972</v>
      </c>
      <c r="B1973" s="36" t="s">
        <v>25336</v>
      </c>
      <c r="D1973" s="36" t="s">
        <v>25337</v>
      </c>
      <c r="E1973" s="36" t="s">
        <v>25338</v>
      </c>
      <c r="P1973" s="36" t="s">
        <v>25336</v>
      </c>
    </row>
    <row r="1974" spans="1:16" ht="15" customHeight="1">
      <c r="A1974" s="139">
        <v>1973</v>
      </c>
      <c r="B1974" s="36" t="s">
        <v>25339</v>
      </c>
      <c r="D1974" s="36" t="s">
        <v>25340</v>
      </c>
      <c r="E1974" s="36" t="s">
        <v>25341</v>
      </c>
      <c r="P1974" s="36" t="s">
        <v>25339</v>
      </c>
    </row>
    <row r="1975" spans="1:16" ht="15" customHeight="1">
      <c r="A1975" s="139">
        <v>1974</v>
      </c>
      <c r="B1975" s="36" t="s">
        <v>25342</v>
      </c>
      <c r="D1975" s="36" t="s">
        <v>25343</v>
      </c>
      <c r="E1975" s="36" t="s">
        <v>25344</v>
      </c>
      <c r="P1975" s="36" t="s">
        <v>25342</v>
      </c>
    </row>
    <row r="1976" spans="1:16" ht="15" customHeight="1">
      <c r="A1976" s="139">
        <v>1975</v>
      </c>
      <c r="B1976" s="36" t="s">
        <v>25345</v>
      </c>
      <c r="C1976" s="36" t="s">
        <v>25346</v>
      </c>
      <c r="D1976" s="36" t="s">
        <v>25347</v>
      </c>
      <c r="E1976" s="36" t="s">
        <v>25348</v>
      </c>
      <c r="P1976" s="36" t="s">
        <v>25345</v>
      </c>
    </row>
    <row r="1977" spans="1:16" ht="15" customHeight="1">
      <c r="A1977" s="139">
        <v>1976</v>
      </c>
      <c r="B1977" s="36" t="s">
        <v>25349</v>
      </c>
      <c r="C1977" s="36" t="s">
        <v>25350</v>
      </c>
      <c r="D1977" s="36" t="s">
        <v>25351</v>
      </c>
      <c r="E1977" s="36" t="s">
        <v>25352</v>
      </c>
      <c r="P1977" s="36" t="s">
        <v>25349</v>
      </c>
    </row>
    <row r="1978" spans="1:16" ht="15" customHeight="1">
      <c r="A1978" s="139">
        <v>1977</v>
      </c>
      <c r="B1978" s="36" t="s">
        <v>25353</v>
      </c>
      <c r="D1978" s="36" t="s">
        <v>25354</v>
      </c>
      <c r="E1978" s="36" t="s">
        <v>25355</v>
      </c>
      <c r="P1978" s="36" t="s">
        <v>25353</v>
      </c>
    </row>
    <row r="1979" spans="1:16" ht="15" customHeight="1">
      <c r="A1979" s="139">
        <v>1978</v>
      </c>
      <c r="B1979" s="36" t="s">
        <v>25356</v>
      </c>
      <c r="D1979" s="36" t="s">
        <v>25357</v>
      </c>
      <c r="E1979" s="36" t="s">
        <v>25358</v>
      </c>
      <c r="P1979" s="36" t="s">
        <v>25356</v>
      </c>
    </row>
    <row r="1980" spans="1:16" ht="15" customHeight="1">
      <c r="A1980" s="139">
        <v>1979</v>
      </c>
      <c r="B1980" s="36" t="s">
        <v>25359</v>
      </c>
      <c r="D1980" s="36" t="s">
        <v>25360</v>
      </c>
      <c r="E1980" s="36" t="s">
        <v>25361</v>
      </c>
      <c r="P1980" s="36" t="s">
        <v>25359</v>
      </c>
    </row>
    <row r="1981" spans="1:16" ht="15" customHeight="1">
      <c r="A1981" s="139">
        <v>1980</v>
      </c>
      <c r="B1981" s="36" t="s">
        <v>25362</v>
      </c>
      <c r="D1981" s="36" t="s">
        <v>25363</v>
      </c>
      <c r="E1981" s="36" t="s">
        <v>25364</v>
      </c>
      <c r="P1981" s="36" t="s">
        <v>25362</v>
      </c>
    </row>
    <row r="1982" spans="1:16" ht="15" customHeight="1">
      <c r="A1982" s="139">
        <v>1981</v>
      </c>
      <c r="B1982" s="36" t="s">
        <v>25365</v>
      </c>
      <c r="D1982" s="36" t="s">
        <v>25366</v>
      </c>
      <c r="E1982" s="36" t="s">
        <v>25367</v>
      </c>
      <c r="P1982" s="36" t="s">
        <v>25365</v>
      </c>
    </row>
    <row r="1983" spans="1:16" ht="15" customHeight="1">
      <c r="A1983" s="139">
        <v>1982</v>
      </c>
      <c r="B1983" s="36" t="s">
        <v>25368</v>
      </c>
      <c r="D1983" s="36" t="s">
        <v>25369</v>
      </c>
      <c r="E1983" s="36" t="s">
        <v>25370</v>
      </c>
      <c r="P1983" s="36" t="s">
        <v>25368</v>
      </c>
    </row>
    <row r="1984" spans="1:16" ht="15" customHeight="1">
      <c r="A1984" s="139">
        <v>1983</v>
      </c>
      <c r="B1984" s="36" t="s">
        <v>25371</v>
      </c>
      <c r="D1984" s="36" t="s">
        <v>25372</v>
      </c>
      <c r="E1984" s="36" t="s">
        <v>25373</v>
      </c>
      <c r="P1984" s="36" t="s">
        <v>25371</v>
      </c>
    </row>
    <row r="1985" spans="1:16" ht="15" customHeight="1">
      <c r="A1985" s="139">
        <v>1984</v>
      </c>
      <c r="B1985" s="36" t="s">
        <v>25374</v>
      </c>
      <c r="D1985" s="36" t="s">
        <v>25375</v>
      </c>
      <c r="E1985" s="36" t="s">
        <v>25376</v>
      </c>
      <c r="P1985" s="36" t="s">
        <v>25374</v>
      </c>
    </row>
    <row r="1986" spans="1:16" ht="15" customHeight="1">
      <c r="A1986" s="139">
        <v>1985</v>
      </c>
      <c r="B1986" s="36" t="s">
        <v>25377</v>
      </c>
      <c r="D1986" s="36" t="s">
        <v>25378</v>
      </c>
      <c r="E1986" s="36" t="s">
        <v>25379</v>
      </c>
      <c r="P1986" s="36" t="s">
        <v>25377</v>
      </c>
    </row>
    <row r="1987" spans="1:16" ht="15" customHeight="1">
      <c r="A1987" s="139">
        <v>1986</v>
      </c>
      <c r="B1987" s="36" t="s">
        <v>25380</v>
      </c>
      <c r="D1987" s="36" t="s">
        <v>25381</v>
      </c>
      <c r="E1987" s="36" t="s">
        <v>25382</v>
      </c>
      <c r="P1987" s="36" t="s">
        <v>25380</v>
      </c>
    </row>
    <row r="1988" spans="1:16" ht="15" customHeight="1">
      <c r="A1988" s="139">
        <v>1987</v>
      </c>
      <c r="B1988" s="36" t="s">
        <v>25383</v>
      </c>
      <c r="D1988" s="36" t="s">
        <v>25384</v>
      </c>
      <c r="E1988" s="36" t="s">
        <v>25385</v>
      </c>
      <c r="P1988" s="36" t="s">
        <v>25383</v>
      </c>
    </row>
    <row r="1989" spans="1:16" ht="15" customHeight="1">
      <c r="A1989" s="139">
        <v>1988</v>
      </c>
      <c r="B1989" s="36" t="s">
        <v>25386</v>
      </c>
      <c r="D1989" s="36" t="s">
        <v>25387</v>
      </c>
      <c r="E1989" s="36" t="s">
        <v>25388</v>
      </c>
      <c r="P1989" s="36" t="s">
        <v>25386</v>
      </c>
    </row>
    <row r="1990" spans="1:16" ht="15" customHeight="1">
      <c r="A1990" s="139">
        <v>1989</v>
      </c>
      <c r="B1990" s="36" t="s">
        <v>25389</v>
      </c>
      <c r="D1990" s="36" t="s">
        <v>25390</v>
      </c>
      <c r="E1990" s="36" t="s">
        <v>25391</v>
      </c>
      <c r="P1990" s="36" t="s">
        <v>25389</v>
      </c>
    </row>
    <row r="1991" spans="1:16" ht="15" customHeight="1">
      <c r="A1991" s="139">
        <v>1990</v>
      </c>
      <c r="B1991" s="36" t="s">
        <v>25392</v>
      </c>
      <c r="D1991" s="36" t="s">
        <v>25393</v>
      </c>
      <c r="E1991" s="36" t="s">
        <v>25394</v>
      </c>
      <c r="P1991" s="36" t="s">
        <v>25392</v>
      </c>
    </row>
    <row r="1992" spans="1:16" ht="15" customHeight="1">
      <c r="A1992" s="139">
        <v>1991</v>
      </c>
      <c r="B1992" s="36" t="s">
        <v>25395</v>
      </c>
      <c r="E1992" s="36" t="s">
        <v>25396</v>
      </c>
      <c r="P1992" s="36" t="s">
        <v>25395</v>
      </c>
    </row>
    <row r="1993" spans="1:16" ht="15" customHeight="1">
      <c r="A1993" s="139">
        <v>1992</v>
      </c>
      <c r="B1993" s="36" t="s">
        <v>25397</v>
      </c>
      <c r="D1993" s="36" t="s">
        <v>25398</v>
      </c>
      <c r="E1993" s="36" t="s">
        <v>25399</v>
      </c>
      <c r="P1993" s="36" t="s">
        <v>25397</v>
      </c>
    </row>
    <row r="1994" spans="1:16" ht="15" customHeight="1">
      <c r="A1994" s="139">
        <v>1993</v>
      </c>
      <c r="B1994" s="36" t="s">
        <v>25400</v>
      </c>
      <c r="D1994" s="36" t="s">
        <v>25401</v>
      </c>
      <c r="E1994" s="36" t="s">
        <v>25402</v>
      </c>
      <c r="P1994" s="36" t="s">
        <v>25400</v>
      </c>
    </row>
    <row r="1995" spans="1:16" ht="15" customHeight="1">
      <c r="A1995" s="139">
        <v>1994</v>
      </c>
      <c r="B1995" s="36" t="s">
        <v>25403</v>
      </c>
      <c r="D1995" s="36" t="s">
        <v>25404</v>
      </c>
      <c r="E1995" s="36" t="s">
        <v>25405</v>
      </c>
      <c r="P1995" s="36" t="s">
        <v>25403</v>
      </c>
    </row>
    <row r="1996" spans="1:16" ht="15" customHeight="1">
      <c r="A1996" s="139">
        <v>1995</v>
      </c>
      <c r="B1996" s="36" t="s">
        <v>25406</v>
      </c>
      <c r="D1996" s="36" t="s">
        <v>25407</v>
      </c>
      <c r="E1996" s="36" t="s">
        <v>15278</v>
      </c>
      <c r="P1996" s="36" t="s">
        <v>25406</v>
      </c>
    </row>
    <row r="1997" spans="1:16" ht="15" customHeight="1">
      <c r="A1997" s="139">
        <v>1996</v>
      </c>
      <c r="B1997" s="36" t="s">
        <v>25408</v>
      </c>
      <c r="D1997" s="36" t="s">
        <v>25390</v>
      </c>
      <c r="E1997" s="36" t="s">
        <v>25409</v>
      </c>
      <c r="P1997" s="36" t="s">
        <v>25408</v>
      </c>
    </row>
    <row r="1998" spans="1:16" ht="15" customHeight="1">
      <c r="A1998" s="139">
        <v>1997</v>
      </c>
      <c r="B1998" s="36" t="s">
        <v>25410</v>
      </c>
      <c r="D1998" s="36" t="s">
        <v>25411</v>
      </c>
      <c r="E1998" s="36" t="s">
        <v>25412</v>
      </c>
      <c r="P1998" s="36" t="s">
        <v>25410</v>
      </c>
    </row>
    <row r="1999" spans="1:16" ht="15" customHeight="1">
      <c r="A1999" s="139">
        <v>1998</v>
      </c>
      <c r="B1999" s="36" t="s">
        <v>25413</v>
      </c>
      <c r="D1999" s="36" t="s">
        <v>25414</v>
      </c>
      <c r="E1999" s="36" t="s">
        <v>25415</v>
      </c>
      <c r="P1999" s="36" t="s">
        <v>25413</v>
      </c>
    </row>
    <row r="2000" spans="1:16" ht="15" customHeight="1">
      <c r="A2000" s="139">
        <v>1999</v>
      </c>
      <c r="B2000" s="36" t="s">
        <v>25416</v>
      </c>
      <c r="D2000" s="36" t="s">
        <v>25417</v>
      </c>
      <c r="E2000" s="36" t="s">
        <v>25418</v>
      </c>
      <c r="P2000" s="36" t="s">
        <v>25416</v>
      </c>
    </row>
    <row r="2001" spans="1:16" ht="15" customHeight="1">
      <c r="A2001" s="139">
        <v>2000</v>
      </c>
      <c r="B2001" s="36" t="s">
        <v>25419</v>
      </c>
      <c r="E2001" s="36" t="s">
        <v>25420</v>
      </c>
      <c r="P2001" s="36" t="s">
        <v>25419</v>
      </c>
    </row>
    <row r="2002" spans="1:16" ht="15" customHeight="1">
      <c r="A2002" s="139">
        <v>2001</v>
      </c>
      <c r="B2002" s="36" t="s">
        <v>25421</v>
      </c>
      <c r="E2002" s="36" t="s">
        <v>25422</v>
      </c>
      <c r="P2002" s="36" t="s">
        <v>25421</v>
      </c>
    </row>
    <row r="2003" spans="1:16" ht="15" customHeight="1">
      <c r="A2003" s="139">
        <v>2002</v>
      </c>
      <c r="B2003" s="36" t="s">
        <v>25423</v>
      </c>
      <c r="E2003" s="36" t="s">
        <v>25424</v>
      </c>
      <c r="P2003" s="36" t="s">
        <v>25423</v>
      </c>
    </row>
    <row r="2004" spans="1:16" ht="15" customHeight="1">
      <c r="A2004" s="139">
        <v>2003</v>
      </c>
      <c r="B2004" s="36" t="s">
        <v>25425</v>
      </c>
      <c r="E2004" s="36" t="s">
        <v>25426</v>
      </c>
      <c r="P2004" s="36" t="s">
        <v>25425</v>
      </c>
    </row>
    <row r="2005" spans="1:16" ht="15" customHeight="1">
      <c r="A2005" s="139">
        <v>2004</v>
      </c>
      <c r="B2005" s="36" t="s">
        <v>25427</v>
      </c>
      <c r="E2005" s="36" t="s">
        <v>25428</v>
      </c>
      <c r="P2005" s="36" t="s">
        <v>25427</v>
      </c>
    </row>
    <row r="2006" spans="1:16" ht="15" customHeight="1">
      <c r="A2006" s="139">
        <v>2005</v>
      </c>
      <c r="B2006" s="36" t="s">
        <v>25429</v>
      </c>
      <c r="E2006" s="36" t="s">
        <v>25430</v>
      </c>
      <c r="P2006" s="36" t="s">
        <v>25429</v>
      </c>
    </row>
    <row r="2007" spans="1:16" ht="15" customHeight="1">
      <c r="A2007" s="139">
        <v>2006</v>
      </c>
      <c r="B2007" s="36" t="s">
        <v>25431</v>
      </c>
      <c r="E2007" s="36" t="s">
        <v>25432</v>
      </c>
      <c r="P2007" s="36" t="s">
        <v>25431</v>
      </c>
    </row>
    <row r="2008" spans="1:16" ht="15" customHeight="1">
      <c r="A2008" s="139">
        <v>2007</v>
      </c>
      <c r="B2008" s="36" t="s">
        <v>25433</v>
      </c>
      <c r="E2008" s="36" t="s">
        <v>25434</v>
      </c>
      <c r="P2008" s="36" t="s">
        <v>25433</v>
      </c>
    </row>
    <row r="2009" spans="1:16" ht="15" customHeight="1">
      <c r="A2009" s="139">
        <v>2008</v>
      </c>
      <c r="B2009" s="36" t="s">
        <v>25435</v>
      </c>
      <c r="E2009" s="36" t="s">
        <v>25436</v>
      </c>
      <c r="P2009" s="36" t="s">
        <v>25435</v>
      </c>
    </row>
    <row r="2010" spans="1:16" ht="27.6">
      <c r="A2010" s="139">
        <v>2009</v>
      </c>
      <c r="B2010" s="122" t="s">
        <v>25437</v>
      </c>
      <c r="E2010" s="36" t="s">
        <v>25438</v>
      </c>
      <c r="P2010" s="36" t="s">
        <v>25437</v>
      </c>
    </row>
    <row r="2011" spans="1:16" ht="15" customHeight="1">
      <c r="A2011" s="139">
        <v>2010</v>
      </c>
      <c r="B2011" s="36" t="s">
        <v>25439</v>
      </c>
      <c r="C2011" s="36" t="s">
        <v>25440</v>
      </c>
      <c r="D2011" s="36" t="s">
        <v>25441</v>
      </c>
      <c r="E2011" s="36" t="s">
        <v>25442</v>
      </c>
      <c r="P2011" s="36" t="s">
        <v>25439</v>
      </c>
    </row>
    <row r="2012" spans="1:16" ht="15" customHeight="1">
      <c r="A2012" s="139">
        <v>2011</v>
      </c>
      <c r="B2012" s="36" t="s">
        <v>25443</v>
      </c>
      <c r="D2012" s="36" t="s">
        <v>25444</v>
      </c>
      <c r="E2012" s="36" t="s">
        <v>25445</v>
      </c>
      <c r="P2012" s="36" t="s">
        <v>25443</v>
      </c>
    </row>
    <row r="2013" spans="1:16" ht="15" customHeight="1">
      <c r="A2013" s="139">
        <v>2012</v>
      </c>
      <c r="B2013" s="36" t="s">
        <v>25446</v>
      </c>
      <c r="C2013" s="36" t="s">
        <v>25447</v>
      </c>
      <c r="D2013" s="36" t="s">
        <v>25448</v>
      </c>
      <c r="E2013" s="36" t="s">
        <v>25449</v>
      </c>
      <c r="P2013" s="36" t="s">
        <v>25446</v>
      </c>
    </row>
    <row r="2014" spans="1:16" ht="15" customHeight="1">
      <c r="A2014" s="139">
        <v>2013</v>
      </c>
      <c r="B2014" s="36" t="s">
        <v>25450</v>
      </c>
      <c r="D2014" s="36" t="s">
        <v>25451</v>
      </c>
      <c r="E2014" s="36" t="s">
        <v>25452</v>
      </c>
      <c r="P2014" s="36" t="s">
        <v>25450</v>
      </c>
    </row>
    <row r="2015" spans="1:16" ht="15" customHeight="1">
      <c r="A2015" s="139">
        <v>2014</v>
      </c>
      <c r="B2015" s="36" t="s">
        <v>25453</v>
      </c>
      <c r="D2015" s="36" t="s">
        <v>25454</v>
      </c>
      <c r="E2015" s="36" t="s">
        <v>25455</v>
      </c>
      <c r="P2015" s="36" t="s">
        <v>25453</v>
      </c>
    </row>
    <row r="2016" spans="1:16" ht="15" customHeight="1">
      <c r="A2016" s="139">
        <v>2015</v>
      </c>
      <c r="B2016" s="36" t="s">
        <v>25456</v>
      </c>
      <c r="D2016" s="36" t="s">
        <v>25457</v>
      </c>
      <c r="E2016" s="36" t="s">
        <v>25458</v>
      </c>
      <c r="P2016" s="36" t="s">
        <v>25456</v>
      </c>
    </row>
    <row r="2017" spans="1:16" ht="15" customHeight="1">
      <c r="A2017" s="139">
        <v>2016</v>
      </c>
      <c r="B2017" s="36" t="s">
        <v>25459</v>
      </c>
      <c r="D2017" s="36" t="s">
        <v>25460</v>
      </c>
      <c r="E2017" s="36" t="s">
        <v>25461</v>
      </c>
      <c r="P2017" s="36" t="s">
        <v>25459</v>
      </c>
    </row>
    <row r="2018" spans="1:16" ht="15" customHeight="1">
      <c r="A2018" s="139">
        <v>2017</v>
      </c>
      <c r="B2018" s="36" t="s">
        <v>25462</v>
      </c>
      <c r="D2018" s="36" t="s">
        <v>25463</v>
      </c>
      <c r="E2018" s="36" t="s">
        <v>25464</v>
      </c>
      <c r="P2018" s="36" t="s">
        <v>25462</v>
      </c>
    </row>
    <row r="2019" spans="1:16" ht="15" customHeight="1">
      <c r="A2019" s="139">
        <v>2018</v>
      </c>
      <c r="B2019" s="36" t="s">
        <v>25465</v>
      </c>
      <c r="D2019" s="36" t="s">
        <v>25466</v>
      </c>
      <c r="E2019" s="36" t="s">
        <v>25467</v>
      </c>
      <c r="P2019" s="36" t="s">
        <v>25465</v>
      </c>
    </row>
    <row r="2020" spans="1:16" ht="15" customHeight="1">
      <c r="A2020" s="139">
        <v>2019</v>
      </c>
      <c r="B2020" s="36" t="s">
        <v>25468</v>
      </c>
      <c r="D2020" s="36" t="s">
        <v>25469</v>
      </c>
      <c r="E2020" s="36" t="s">
        <v>25470</v>
      </c>
      <c r="P2020" s="36" t="s">
        <v>25468</v>
      </c>
    </row>
    <row r="2021" spans="1:16" ht="15" customHeight="1">
      <c r="A2021" s="139">
        <v>2020</v>
      </c>
      <c r="B2021" s="36" t="s">
        <v>25471</v>
      </c>
      <c r="D2021" s="36" t="s">
        <v>25472</v>
      </c>
      <c r="E2021" s="36" t="s">
        <v>25473</v>
      </c>
      <c r="P2021" s="36" t="s">
        <v>25471</v>
      </c>
    </row>
    <row r="2022" spans="1:16" ht="15" customHeight="1">
      <c r="A2022" s="139">
        <v>2021</v>
      </c>
      <c r="B2022" s="36" t="s">
        <v>25474</v>
      </c>
      <c r="D2022" s="36" t="s">
        <v>25475</v>
      </c>
      <c r="E2022" s="36" t="s">
        <v>25476</v>
      </c>
      <c r="P2022" s="36" t="s">
        <v>25474</v>
      </c>
    </row>
    <row r="2023" spans="1:16" ht="15" customHeight="1">
      <c r="A2023" s="139">
        <v>2022</v>
      </c>
      <c r="B2023" s="36" t="s">
        <v>25477</v>
      </c>
      <c r="D2023" s="36" t="s">
        <v>25478</v>
      </c>
      <c r="E2023" s="36" t="s">
        <v>25479</v>
      </c>
      <c r="P2023" s="36" t="s">
        <v>25477</v>
      </c>
    </row>
    <row r="2024" spans="1:16" ht="15" customHeight="1">
      <c r="A2024" s="139">
        <v>2023</v>
      </c>
      <c r="B2024" s="36" t="s">
        <v>25480</v>
      </c>
      <c r="D2024" s="36" t="s">
        <v>25481</v>
      </c>
      <c r="E2024" s="36" t="s">
        <v>25482</v>
      </c>
      <c r="P2024" s="36" t="s">
        <v>25480</v>
      </c>
    </row>
    <row r="2025" spans="1:16" ht="15" customHeight="1">
      <c r="A2025" s="139">
        <v>2024</v>
      </c>
      <c r="B2025" s="36" t="s">
        <v>25483</v>
      </c>
      <c r="D2025" s="36" t="s">
        <v>25484</v>
      </c>
      <c r="E2025" s="36" t="s">
        <v>25485</v>
      </c>
      <c r="P2025" s="36" t="s">
        <v>25483</v>
      </c>
    </row>
    <row r="2026" spans="1:16" ht="15" customHeight="1">
      <c r="A2026" s="139">
        <v>2025</v>
      </c>
      <c r="B2026" s="36" t="s">
        <v>25486</v>
      </c>
      <c r="D2026" s="36" t="s">
        <v>25487</v>
      </c>
      <c r="E2026" s="36" t="s">
        <v>25488</v>
      </c>
      <c r="P2026" s="36" t="s">
        <v>25486</v>
      </c>
    </row>
    <row r="2027" spans="1:16" ht="15" customHeight="1">
      <c r="A2027" s="139">
        <v>2026</v>
      </c>
      <c r="B2027" s="36" t="s">
        <v>25489</v>
      </c>
      <c r="D2027" s="36" t="s">
        <v>25490</v>
      </c>
      <c r="E2027" s="36" t="s">
        <v>25491</v>
      </c>
      <c r="P2027" s="36" t="s">
        <v>25489</v>
      </c>
    </row>
    <row r="2028" spans="1:16" ht="15" customHeight="1">
      <c r="A2028" s="139">
        <v>2027</v>
      </c>
      <c r="B2028" s="36" t="s">
        <v>25492</v>
      </c>
      <c r="D2028" s="36" t="s">
        <v>25493</v>
      </c>
      <c r="E2028" s="36" t="s">
        <v>25494</v>
      </c>
      <c r="P2028" s="36" t="s">
        <v>25492</v>
      </c>
    </row>
    <row r="2029" spans="1:16" ht="15" customHeight="1">
      <c r="A2029" s="139">
        <v>2028</v>
      </c>
      <c r="B2029" s="36" t="s">
        <v>25495</v>
      </c>
      <c r="D2029" s="36" t="s">
        <v>25496</v>
      </c>
      <c r="E2029" s="36" t="s">
        <v>6044</v>
      </c>
      <c r="P2029" s="36" t="s">
        <v>25495</v>
      </c>
    </row>
    <row r="2030" spans="1:16" ht="15" customHeight="1">
      <c r="A2030" s="139">
        <v>2029</v>
      </c>
      <c r="B2030" s="36" t="s">
        <v>25497</v>
      </c>
      <c r="C2030" s="36" t="s">
        <v>25498</v>
      </c>
      <c r="D2030" s="36" t="s">
        <v>25499</v>
      </c>
      <c r="E2030" s="36" t="s">
        <v>25500</v>
      </c>
      <c r="F2030" s="36" t="s">
        <v>25501</v>
      </c>
      <c r="G2030" s="36" t="s">
        <v>25502</v>
      </c>
      <c r="H2030" s="36" t="s">
        <v>25503</v>
      </c>
      <c r="I2030" s="36" t="s">
        <v>25504</v>
      </c>
      <c r="J2030" s="36" t="s">
        <v>25505</v>
      </c>
      <c r="K2030" s="36" t="s">
        <v>25506</v>
      </c>
      <c r="L2030" s="36" t="s">
        <v>25507</v>
      </c>
      <c r="M2030" s="36" t="s">
        <v>25508</v>
      </c>
      <c r="N2030" s="36" t="s">
        <v>25509</v>
      </c>
      <c r="O2030" s="36" t="s">
        <v>25510</v>
      </c>
      <c r="P2030" s="36" t="s">
        <v>25497</v>
      </c>
    </row>
    <row r="2031" spans="1:16" ht="15" customHeight="1">
      <c r="A2031" s="139">
        <v>2030</v>
      </c>
      <c r="B2031" s="36" t="s">
        <v>25511</v>
      </c>
      <c r="C2031" s="36" t="s">
        <v>25512</v>
      </c>
      <c r="D2031" s="36" t="s">
        <v>25513</v>
      </c>
      <c r="E2031" s="36" t="s">
        <v>25514</v>
      </c>
      <c r="F2031" s="36" t="s">
        <v>25515</v>
      </c>
      <c r="G2031" s="36" t="s">
        <v>25516</v>
      </c>
      <c r="H2031" s="36" t="s">
        <v>25517</v>
      </c>
      <c r="I2031" s="36" t="s">
        <v>25515</v>
      </c>
      <c r="J2031" s="36" t="s">
        <v>25516</v>
      </c>
      <c r="K2031" s="36" t="s">
        <v>25518</v>
      </c>
      <c r="L2031" s="36" t="s">
        <v>25519</v>
      </c>
      <c r="M2031" s="36" t="s">
        <v>25513</v>
      </c>
      <c r="N2031" s="36" t="s">
        <v>25513</v>
      </c>
      <c r="O2031" s="36" t="s">
        <v>25515</v>
      </c>
      <c r="P2031" s="36" t="s">
        <v>25511</v>
      </c>
    </row>
    <row r="2032" spans="1:16" ht="15" customHeight="1">
      <c r="A2032" s="139">
        <v>2031</v>
      </c>
      <c r="B2032" s="36" t="s">
        <v>25520</v>
      </c>
      <c r="C2032" s="36" t="s">
        <v>25521</v>
      </c>
      <c r="D2032" s="36" t="s">
        <v>25522</v>
      </c>
      <c r="E2032" s="36" t="s">
        <v>25523</v>
      </c>
      <c r="F2032" s="36" t="s">
        <v>25524</v>
      </c>
      <c r="G2032" s="36" t="s">
        <v>25525</v>
      </c>
      <c r="H2032" s="36" t="s">
        <v>25526</v>
      </c>
      <c r="I2032" s="36" t="s">
        <v>25524</v>
      </c>
      <c r="J2032" s="36" t="s">
        <v>25527</v>
      </c>
      <c r="K2032" s="36" t="s">
        <v>25528</v>
      </c>
      <c r="L2032" s="36" t="s">
        <v>25529</v>
      </c>
      <c r="M2032" s="36" t="s">
        <v>25529</v>
      </c>
      <c r="N2032" s="36" t="s">
        <v>25530</v>
      </c>
      <c r="O2032" s="36" t="s">
        <v>25531</v>
      </c>
      <c r="P2032" s="36" t="s">
        <v>25520</v>
      </c>
    </row>
    <row r="2033" spans="1:16" ht="15" customHeight="1">
      <c r="A2033" s="139">
        <v>2032</v>
      </c>
      <c r="B2033" s="36" t="s">
        <v>25532</v>
      </c>
      <c r="C2033" s="36" t="s">
        <v>25533</v>
      </c>
      <c r="D2033" s="36" t="s">
        <v>25534</v>
      </c>
      <c r="E2033" s="36" t="s">
        <v>25535</v>
      </c>
      <c r="F2033" s="36" t="s">
        <v>25536</v>
      </c>
      <c r="G2033" s="36" t="s">
        <v>25537</v>
      </c>
      <c r="H2033" s="36" t="s">
        <v>25538</v>
      </c>
      <c r="I2033" s="36" t="s">
        <v>25539</v>
      </c>
      <c r="J2033" s="36" t="s">
        <v>25540</v>
      </c>
      <c r="K2033" s="36" t="s">
        <v>25541</v>
      </c>
      <c r="L2033" s="36" t="s">
        <v>25542</v>
      </c>
      <c r="M2033" s="36" t="s">
        <v>25543</v>
      </c>
      <c r="N2033" s="36" t="s">
        <v>25542</v>
      </c>
      <c r="O2033" s="36" t="s">
        <v>25544</v>
      </c>
      <c r="P2033" s="36" t="s">
        <v>25532</v>
      </c>
    </row>
    <row r="2034" spans="1:16" ht="15" customHeight="1">
      <c r="A2034" s="139">
        <v>2033</v>
      </c>
      <c r="B2034" s="36" t="s">
        <v>25545</v>
      </c>
      <c r="C2034" s="36" t="s">
        <v>25546</v>
      </c>
      <c r="D2034" s="36" t="s">
        <v>25547</v>
      </c>
      <c r="E2034" s="36" t="s">
        <v>25548</v>
      </c>
      <c r="F2034" s="36" t="s">
        <v>25549</v>
      </c>
      <c r="G2034" s="36" t="s">
        <v>25550</v>
      </c>
      <c r="H2034" s="36" t="s">
        <v>25551</v>
      </c>
      <c r="I2034" s="36" t="s">
        <v>25552</v>
      </c>
      <c r="J2034" s="36" t="s">
        <v>25553</v>
      </c>
      <c r="K2034" s="36" t="s">
        <v>25554</v>
      </c>
      <c r="L2034" s="36" t="s">
        <v>25555</v>
      </c>
      <c r="M2034" s="36" t="s">
        <v>25556</v>
      </c>
      <c r="N2034" s="36" t="s">
        <v>25557</v>
      </c>
      <c r="O2034" s="36" t="s">
        <v>25558</v>
      </c>
      <c r="P2034" s="36" t="s">
        <v>25545</v>
      </c>
    </row>
    <row r="2035" spans="1:16" ht="15" customHeight="1">
      <c r="A2035" s="139">
        <v>2034</v>
      </c>
      <c r="B2035" s="36" t="s">
        <v>25559</v>
      </c>
      <c r="C2035" s="36" t="s">
        <v>25560</v>
      </c>
      <c r="D2035" s="36" t="s">
        <v>25561</v>
      </c>
      <c r="E2035" s="36" t="s">
        <v>25562</v>
      </c>
      <c r="F2035" s="36" t="s">
        <v>25563</v>
      </c>
      <c r="G2035" s="36" t="s">
        <v>25564</v>
      </c>
      <c r="H2035" s="36" t="s">
        <v>25565</v>
      </c>
      <c r="I2035" s="36" t="s">
        <v>25566</v>
      </c>
      <c r="J2035" s="36" t="s">
        <v>25567</v>
      </c>
      <c r="K2035" s="36" t="s">
        <v>25568</v>
      </c>
      <c r="L2035" s="36" t="s">
        <v>25569</v>
      </c>
      <c r="M2035" s="36" t="s">
        <v>25570</v>
      </c>
      <c r="N2035" s="36" t="s">
        <v>25571</v>
      </c>
      <c r="O2035" s="36" t="s">
        <v>25572</v>
      </c>
      <c r="P2035" s="36" t="s">
        <v>25559</v>
      </c>
    </row>
    <row r="2036" spans="1:16" ht="15" customHeight="1">
      <c r="A2036" s="139">
        <v>2035</v>
      </c>
      <c r="B2036" s="36" t="s">
        <v>25573</v>
      </c>
      <c r="C2036" s="36" t="s">
        <v>25574</v>
      </c>
      <c r="D2036" s="36" t="s">
        <v>25575</v>
      </c>
      <c r="E2036" s="36" t="s">
        <v>25576</v>
      </c>
      <c r="F2036" s="36" t="s">
        <v>25577</v>
      </c>
      <c r="G2036" s="36" t="s">
        <v>25578</v>
      </c>
      <c r="H2036" s="36" t="s">
        <v>25579</v>
      </c>
      <c r="I2036" s="36" t="s">
        <v>25580</v>
      </c>
      <c r="J2036" s="36" t="s">
        <v>25581</v>
      </c>
      <c r="K2036" s="36" t="s">
        <v>25582</v>
      </c>
      <c r="L2036" s="36" t="s">
        <v>25583</v>
      </c>
      <c r="M2036" s="36" t="s">
        <v>25584</v>
      </c>
      <c r="N2036" s="36" t="s">
        <v>25585</v>
      </c>
      <c r="O2036" s="36" t="s">
        <v>25586</v>
      </c>
      <c r="P2036" s="36" t="s">
        <v>25573</v>
      </c>
    </row>
    <row r="2037" spans="1:16" ht="15" customHeight="1">
      <c r="A2037" s="139">
        <v>2036</v>
      </c>
      <c r="B2037" s="36" t="s">
        <v>25587</v>
      </c>
      <c r="C2037" s="36" t="s">
        <v>25588</v>
      </c>
      <c r="D2037" s="36" t="s">
        <v>25589</v>
      </c>
      <c r="E2037" s="36" t="s">
        <v>25590</v>
      </c>
      <c r="F2037" s="36" t="s">
        <v>25591</v>
      </c>
      <c r="G2037" s="36" t="s">
        <v>25592</v>
      </c>
      <c r="H2037" s="36" t="s">
        <v>25593</v>
      </c>
      <c r="I2037" s="36" t="s">
        <v>25594</v>
      </c>
      <c r="J2037" s="36" t="s">
        <v>25595</v>
      </c>
      <c r="K2037" s="36" t="s">
        <v>25596</v>
      </c>
      <c r="L2037" s="36" t="s">
        <v>25597</v>
      </c>
      <c r="M2037" s="36" t="s">
        <v>25598</v>
      </c>
      <c r="N2037" s="36" t="s">
        <v>25599</v>
      </c>
      <c r="O2037" s="36" t="s">
        <v>25596</v>
      </c>
      <c r="P2037" s="36" t="s">
        <v>25587</v>
      </c>
    </row>
    <row r="2038" spans="1:16" ht="15" customHeight="1">
      <c r="A2038" s="139">
        <v>2037</v>
      </c>
      <c r="B2038" s="36" t="s">
        <v>25600</v>
      </c>
      <c r="C2038" s="36" t="s">
        <v>25601</v>
      </c>
      <c r="D2038" s="36" t="s">
        <v>25602</v>
      </c>
      <c r="E2038" s="36" t="s">
        <v>25603</v>
      </c>
      <c r="F2038" s="36" t="s">
        <v>25604</v>
      </c>
      <c r="G2038" s="36" t="s">
        <v>25605</v>
      </c>
      <c r="H2038" s="36" t="s">
        <v>25606</v>
      </c>
      <c r="I2038" s="36" t="s">
        <v>25607</v>
      </c>
      <c r="J2038" s="36" t="s">
        <v>25608</v>
      </c>
      <c r="K2038" s="36" t="s">
        <v>25609</v>
      </c>
      <c r="L2038" s="36" t="s">
        <v>25610</v>
      </c>
      <c r="M2038" s="36" t="s">
        <v>25611</v>
      </c>
      <c r="N2038" s="36" t="s">
        <v>25612</v>
      </c>
      <c r="O2038" s="36" t="s">
        <v>25613</v>
      </c>
      <c r="P2038" s="36" t="s">
        <v>25600</v>
      </c>
    </row>
    <row r="2039" spans="1:16" ht="15" customHeight="1">
      <c r="A2039" s="139">
        <v>2038</v>
      </c>
      <c r="B2039" s="36" t="s">
        <v>25614</v>
      </c>
      <c r="C2039" s="36" t="s">
        <v>25615</v>
      </c>
      <c r="D2039" s="36" t="s">
        <v>25616</v>
      </c>
      <c r="E2039" s="36" t="s">
        <v>25617</v>
      </c>
      <c r="F2039" s="36" t="s">
        <v>25618</v>
      </c>
      <c r="G2039" s="36" t="s">
        <v>25619</v>
      </c>
      <c r="H2039" s="36" t="s">
        <v>25620</v>
      </c>
      <c r="I2039" s="36" t="s">
        <v>25621</v>
      </c>
      <c r="J2039" s="36" t="s">
        <v>25622</v>
      </c>
      <c r="K2039" s="36" t="s">
        <v>25623</v>
      </c>
      <c r="L2039" s="36" t="s">
        <v>25624</v>
      </c>
      <c r="M2039" s="36" t="s">
        <v>25625</v>
      </c>
      <c r="N2039" s="36" t="s">
        <v>25626</v>
      </c>
      <c r="O2039" s="36" t="s">
        <v>25627</v>
      </c>
      <c r="P2039" s="36" t="s">
        <v>25614</v>
      </c>
    </row>
    <row r="2040" spans="1:16">
      <c r="A2040" s="139">
        <v>2039</v>
      </c>
      <c r="B2040" s="36" t="s">
        <v>25628</v>
      </c>
      <c r="C2040" s="36" t="s">
        <v>25629</v>
      </c>
      <c r="D2040" s="36" t="s">
        <v>25630</v>
      </c>
      <c r="E2040" s="36" t="s">
        <v>25631</v>
      </c>
      <c r="F2040" s="36" t="s">
        <v>25632</v>
      </c>
      <c r="G2040" s="36" t="s">
        <v>25633</v>
      </c>
      <c r="H2040" s="36" t="s">
        <v>25634</v>
      </c>
      <c r="I2040" s="36" t="s">
        <v>25635</v>
      </c>
      <c r="J2040" s="36" t="s">
        <v>25636</v>
      </c>
      <c r="K2040" s="36" t="s">
        <v>25637</v>
      </c>
      <c r="L2040" s="36" t="s">
        <v>25638</v>
      </c>
      <c r="M2040" s="36" t="s">
        <v>25639</v>
      </c>
      <c r="N2040" s="36" t="s">
        <v>25640</v>
      </c>
      <c r="O2040" s="36" t="s">
        <v>25641</v>
      </c>
      <c r="P2040" s="36" t="s">
        <v>25628</v>
      </c>
    </row>
    <row r="2041" spans="1:16" ht="15" customHeight="1">
      <c r="A2041" s="139">
        <v>2040</v>
      </c>
      <c r="B2041" s="36" t="s">
        <v>25642</v>
      </c>
      <c r="C2041" s="36" t="s">
        <v>25643</v>
      </c>
      <c r="D2041" s="36" t="s">
        <v>25644</v>
      </c>
      <c r="E2041" s="36" t="s">
        <v>25645</v>
      </c>
      <c r="F2041" s="36" t="s">
        <v>25646</v>
      </c>
      <c r="G2041" s="36" t="s">
        <v>25647</v>
      </c>
      <c r="H2041" s="36" t="s">
        <v>25648</v>
      </c>
      <c r="I2041" s="36" t="s">
        <v>25649</v>
      </c>
      <c r="J2041" s="36" t="s">
        <v>25650</v>
      </c>
      <c r="K2041" s="36" t="s">
        <v>25651</v>
      </c>
      <c r="L2041" s="36" t="s">
        <v>25652</v>
      </c>
      <c r="M2041" s="36" t="s">
        <v>25653</v>
      </c>
      <c r="N2041" s="36" t="s">
        <v>25654</v>
      </c>
      <c r="O2041" s="36" t="s">
        <v>25655</v>
      </c>
      <c r="P2041" s="36" t="s">
        <v>25642</v>
      </c>
    </row>
    <row r="2042" spans="1:16" ht="15" customHeight="1">
      <c r="A2042" s="139">
        <v>2041</v>
      </c>
      <c r="B2042" s="36" t="s">
        <v>25656</v>
      </c>
      <c r="C2042" s="36" t="s">
        <v>25657</v>
      </c>
      <c r="D2042" s="36" t="s">
        <v>25658</v>
      </c>
      <c r="E2042" s="36" t="s">
        <v>25659</v>
      </c>
      <c r="F2042" s="36" t="s">
        <v>25660</v>
      </c>
      <c r="G2042" s="36" t="s">
        <v>25661</v>
      </c>
      <c r="H2042" s="36" t="s">
        <v>25662</v>
      </c>
      <c r="I2042" s="36" t="s">
        <v>25663</v>
      </c>
      <c r="J2042" s="36" t="s">
        <v>25664</v>
      </c>
      <c r="K2042" s="36" t="s">
        <v>25665</v>
      </c>
      <c r="L2042" s="36" t="s">
        <v>25666</v>
      </c>
      <c r="M2042" s="36" t="s">
        <v>25667</v>
      </c>
      <c r="N2042" s="36" t="s">
        <v>25668</v>
      </c>
      <c r="O2042" s="36" t="s">
        <v>25669</v>
      </c>
      <c r="P2042" s="36" t="s">
        <v>25656</v>
      </c>
    </row>
    <row r="2043" spans="1:16" ht="15" customHeight="1">
      <c r="A2043" s="139">
        <v>2042</v>
      </c>
      <c r="B2043" s="36" t="s">
        <v>25670</v>
      </c>
      <c r="C2043" s="36" t="s">
        <v>25671</v>
      </c>
      <c r="D2043" s="36" t="s">
        <v>25672</v>
      </c>
      <c r="E2043" s="36" t="s">
        <v>25673</v>
      </c>
      <c r="F2043" s="36" t="s">
        <v>25674</v>
      </c>
      <c r="G2043" s="36" t="s">
        <v>25675</v>
      </c>
      <c r="H2043" s="36" t="s">
        <v>25676</v>
      </c>
      <c r="I2043" s="36" t="s">
        <v>25677</v>
      </c>
      <c r="J2043" s="36" t="s">
        <v>25678</v>
      </c>
      <c r="K2043" s="36" t="s">
        <v>25679</v>
      </c>
      <c r="L2043" s="36" t="s">
        <v>25680</v>
      </c>
      <c r="M2043" s="36" t="s">
        <v>25681</v>
      </c>
      <c r="N2043" s="36" t="s">
        <v>25682</v>
      </c>
      <c r="O2043" s="36" t="s">
        <v>25683</v>
      </c>
      <c r="P2043" s="36" t="s">
        <v>25670</v>
      </c>
    </row>
    <row r="2044" spans="1:16" ht="15" customHeight="1">
      <c r="A2044" s="139">
        <v>2043</v>
      </c>
      <c r="B2044" s="36" t="s">
        <v>25684</v>
      </c>
      <c r="C2044" s="36" t="s">
        <v>25685</v>
      </c>
      <c r="D2044" s="36" t="s">
        <v>25686</v>
      </c>
      <c r="E2044" s="36" t="s">
        <v>25687</v>
      </c>
      <c r="F2044" s="36" t="s">
        <v>25688</v>
      </c>
      <c r="G2044" s="36" t="s">
        <v>25689</v>
      </c>
      <c r="H2044" s="36" t="s">
        <v>25690</v>
      </c>
      <c r="I2044" s="36" t="s">
        <v>25691</v>
      </c>
      <c r="J2044" s="36" t="s">
        <v>25692</v>
      </c>
      <c r="K2044" s="36" t="s">
        <v>25693</v>
      </c>
      <c r="L2044" s="36" t="s">
        <v>25694</v>
      </c>
      <c r="M2044" s="36" t="s">
        <v>25695</v>
      </c>
      <c r="N2044" s="36" t="s">
        <v>25696</v>
      </c>
      <c r="O2044" s="36" t="s">
        <v>25697</v>
      </c>
      <c r="P2044" s="36" t="s">
        <v>25698</v>
      </c>
    </row>
    <row r="2045" spans="1:16" ht="15" customHeight="1">
      <c r="A2045" s="139">
        <v>2044</v>
      </c>
      <c r="B2045" s="36" t="s">
        <v>25699</v>
      </c>
      <c r="C2045" s="36" t="s">
        <v>25700</v>
      </c>
      <c r="D2045" s="36" t="s">
        <v>25701</v>
      </c>
      <c r="E2045" s="36" t="s">
        <v>25702</v>
      </c>
      <c r="F2045" s="36" t="s">
        <v>25703</v>
      </c>
      <c r="G2045" s="36" t="s">
        <v>25704</v>
      </c>
      <c r="H2045" s="36" t="s">
        <v>25705</v>
      </c>
      <c r="I2045" s="36" t="s">
        <v>25706</v>
      </c>
      <c r="J2045" s="36" t="s">
        <v>25707</v>
      </c>
      <c r="K2045" s="36" t="s">
        <v>25708</v>
      </c>
      <c r="L2045" s="36" t="s">
        <v>25709</v>
      </c>
      <c r="M2045" s="36" t="s">
        <v>25710</v>
      </c>
      <c r="N2045" s="36" t="s">
        <v>25711</v>
      </c>
      <c r="O2045" s="36" t="s">
        <v>25712</v>
      </c>
      <c r="P2045" s="36" t="s">
        <v>25699</v>
      </c>
    </row>
    <row r="2046" spans="1:16" ht="15" customHeight="1">
      <c r="A2046" s="139">
        <v>2045</v>
      </c>
      <c r="B2046" s="36" t="s">
        <v>25713</v>
      </c>
      <c r="C2046" s="36" t="s">
        <v>25714</v>
      </c>
      <c r="D2046" s="36" t="s">
        <v>25715</v>
      </c>
      <c r="E2046" s="36" t="s">
        <v>25716</v>
      </c>
      <c r="F2046" s="36" t="s">
        <v>25717</v>
      </c>
      <c r="G2046" s="36" t="s">
        <v>25718</v>
      </c>
      <c r="H2046" s="36" t="s">
        <v>25719</v>
      </c>
      <c r="I2046" s="36" t="s">
        <v>25720</v>
      </c>
      <c r="J2046" s="36" t="s">
        <v>25721</v>
      </c>
      <c r="K2046" s="36" t="s">
        <v>25722</v>
      </c>
      <c r="L2046" s="36" t="s">
        <v>25723</v>
      </c>
      <c r="M2046" s="36" t="s">
        <v>25724</v>
      </c>
      <c r="N2046" s="36" t="s">
        <v>25725</v>
      </c>
      <c r="O2046" s="36" t="s">
        <v>25726</v>
      </c>
      <c r="P2046" s="36" t="s">
        <v>25713</v>
      </c>
    </row>
    <row r="2047" spans="1:16" ht="15" customHeight="1">
      <c r="A2047" s="139">
        <v>2046</v>
      </c>
      <c r="B2047" s="36" t="s">
        <v>25727</v>
      </c>
      <c r="C2047" s="36" t="s">
        <v>25728</v>
      </c>
      <c r="D2047" s="36" t="s">
        <v>25729</v>
      </c>
      <c r="E2047" s="36" t="s">
        <v>25730</v>
      </c>
      <c r="F2047" s="36" t="s">
        <v>25731</v>
      </c>
      <c r="G2047" s="36" t="s">
        <v>25732</v>
      </c>
      <c r="H2047" s="36" t="s">
        <v>25733</v>
      </c>
      <c r="I2047" s="36" t="s">
        <v>25734</v>
      </c>
      <c r="J2047" s="36" t="s">
        <v>25735</v>
      </c>
      <c r="K2047" s="36" t="s">
        <v>25736</v>
      </c>
      <c r="L2047" s="36" t="s">
        <v>25737</v>
      </c>
      <c r="M2047" s="36" t="s">
        <v>25738</v>
      </c>
      <c r="N2047" s="36" t="s">
        <v>25739</v>
      </c>
      <c r="O2047" s="36" t="s">
        <v>25740</v>
      </c>
      <c r="P2047" s="36" t="s">
        <v>25727</v>
      </c>
    </row>
    <row r="2048" spans="1:16" ht="15" customHeight="1">
      <c r="A2048" s="139">
        <v>2047</v>
      </c>
      <c r="B2048" s="36" t="s">
        <v>25741</v>
      </c>
      <c r="C2048" s="36" t="s">
        <v>25742</v>
      </c>
      <c r="D2048" s="36" t="s">
        <v>25743</v>
      </c>
      <c r="E2048" s="36" t="s">
        <v>25744</v>
      </c>
      <c r="F2048" s="36" t="s">
        <v>25745</v>
      </c>
      <c r="G2048" s="36" t="s">
        <v>25746</v>
      </c>
      <c r="H2048" s="36" t="s">
        <v>25747</v>
      </c>
      <c r="I2048" s="36" t="s">
        <v>25748</v>
      </c>
      <c r="J2048" s="36" t="s">
        <v>25749</v>
      </c>
      <c r="K2048" s="36" t="s">
        <v>25750</v>
      </c>
      <c r="L2048" s="36" t="s">
        <v>25751</v>
      </c>
      <c r="M2048" s="36" t="s">
        <v>25752</v>
      </c>
      <c r="N2048" s="36" t="s">
        <v>25753</v>
      </c>
      <c r="O2048" s="36" t="s">
        <v>25754</v>
      </c>
      <c r="P2048" s="36" t="s">
        <v>25741</v>
      </c>
    </row>
    <row r="2049" spans="1:16" ht="15" customHeight="1">
      <c r="A2049" s="139">
        <v>2048</v>
      </c>
      <c r="B2049" s="36" t="s">
        <v>25755</v>
      </c>
      <c r="C2049" s="36" t="s">
        <v>25756</v>
      </c>
      <c r="D2049" s="36" t="s">
        <v>25757</v>
      </c>
      <c r="E2049" s="36" t="s">
        <v>25758</v>
      </c>
      <c r="F2049" s="36" t="s">
        <v>25759</v>
      </c>
      <c r="G2049" s="36" t="s">
        <v>25760</v>
      </c>
      <c r="H2049" s="36" t="s">
        <v>25761</v>
      </c>
      <c r="I2049" s="36" t="s">
        <v>25762</v>
      </c>
      <c r="J2049" s="36" t="s">
        <v>25763</v>
      </c>
      <c r="K2049" s="36" t="s">
        <v>25764</v>
      </c>
      <c r="L2049" s="36" t="s">
        <v>25765</v>
      </c>
      <c r="M2049" s="36" t="s">
        <v>25766</v>
      </c>
      <c r="N2049" s="36" t="s">
        <v>25767</v>
      </c>
      <c r="O2049" s="36" t="s">
        <v>25768</v>
      </c>
      <c r="P2049" s="36" t="s">
        <v>25755</v>
      </c>
    </row>
    <row r="2050" spans="1:16" ht="15" customHeight="1">
      <c r="A2050" s="139">
        <v>2049</v>
      </c>
      <c r="B2050" s="36" t="s">
        <v>25769</v>
      </c>
      <c r="C2050" s="36" t="s">
        <v>25770</v>
      </c>
      <c r="D2050" s="36" t="s">
        <v>25771</v>
      </c>
      <c r="E2050" s="36" t="s">
        <v>25772</v>
      </c>
      <c r="F2050" s="36" t="s">
        <v>25773</v>
      </c>
      <c r="G2050" s="36" t="s">
        <v>25774</v>
      </c>
      <c r="H2050" s="36" t="s">
        <v>25775</v>
      </c>
      <c r="I2050" s="36" t="s">
        <v>25776</v>
      </c>
      <c r="J2050" s="36" t="s">
        <v>25777</v>
      </c>
      <c r="K2050" s="36" t="s">
        <v>25778</v>
      </c>
      <c r="L2050" s="36" t="s">
        <v>25779</v>
      </c>
      <c r="M2050" s="36" t="s">
        <v>25780</v>
      </c>
      <c r="N2050" s="36" t="s">
        <v>25781</v>
      </c>
      <c r="O2050" s="36" t="s">
        <v>25782</v>
      </c>
      <c r="P2050" s="36" t="s">
        <v>25769</v>
      </c>
    </row>
    <row r="2051" spans="1:16" ht="15" customHeight="1">
      <c r="A2051" s="139">
        <v>2050</v>
      </c>
      <c r="B2051" s="36" t="s">
        <v>25783</v>
      </c>
      <c r="C2051" s="36" t="s">
        <v>25784</v>
      </c>
      <c r="D2051" s="36" t="s">
        <v>25785</v>
      </c>
      <c r="E2051" s="36" t="s">
        <v>25786</v>
      </c>
      <c r="F2051" s="36" t="s">
        <v>25787</v>
      </c>
      <c r="G2051" s="36" t="s">
        <v>25788</v>
      </c>
      <c r="H2051" s="36" t="s">
        <v>25789</v>
      </c>
      <c r="I2051" s="36" t="s">
        <v>25790</v>
      </c>
      <c r="J2051" s="36" t="s">
        <v>25791</v>
      </c>
      <c r="K2051" s="36" t="s">
        <v>25792</v>
      </c>
      <c r="L2051" s="36" t="s">
        <v>25793</v>
      </c>
      <c r="M2051" s="36" t="s">
        <v>25794</v>
      </c>
      <c r="N2051" s="36" t="s">
        <v>25795</v>
      </c>
      <c r="O2051" s="36" t="s">
        <v>25796</v>
      </c>
      <c r="P2051" s="36" t="s">
        <v>25783</v>
      </c>
    </row>
    <row r="2052" spans="1:16" ht="15" customHeight="1">
      <c r="A2052" s="139">
        <v>2051</v>
      </c>
      <c r="B2052" s="36" t="s">
        <v>25797</v>
      </c>
      <c r="C2052" s="36" t="s">
        <v>25798</v>
      </c>
      <c r="D2052" s="36" t="s">
        <v>25799</v>
      </c>
      <c r="E2052" s="36" t="s">
        <v>25800</v>
      </c>
      <c r="F2052" s="36" t="s">
        <v>25801</v>
      </c>
      <c r="G2052" s="36" t="s">
        <v>25802</v>
      </c>
      <c r="H2052" s="36" t="s">
        <v>25803</v>
      </c>
      <c r="I2052" s="36" t="s">
        <v>25804</v>
      </c>
      <c r="J2052" s="36" t="s">
        <v>25805</v>
      </c>
      <c r="K2052" s="36" t="s">
        <v>25806</v>
      </c>
      <c r="L2052" s="36" t="s">
        <v>25807</v>
      </c>
      <c r="M2052" s="36" t="s">
        <v>25808</v>
      </c>
      <c r="N2052" s="36" t="s">
        <v>25809</v>
      </c>
      <c r="O2052" s="36" t="s">
        <v>25810</v>
      </c>
      <c r="P2052" s="36" t="s">
        <v>25797</v>
      </c>
    </row>
    <row r="2053" spans="1:16" ht="15" customHeight="1">
      <c r="A2053" s="139">
        <v>2052</v>
      </c>
      <c r="B2053" s="36" t="s">
        <v>25811</v>
      </c>
      <c r="C2053" s="36" t="s">
        <v>25812</v>
      </c>
      <c r="D2053" s="36" t="s">
        <v>25813</v>
      </c>
      <c r="E2053" s="36" t="s">
        <v>25814</v>
      </c>
      <c r="F2053" s="36" t="s">
        <v>25815</v>
      </c>
      <c r="G2053" s="36" t="s">
        <v>25816</v>
      </c>
      <c r="H2053" s="36" t="s">
        <v>25817</v>
      </c>
      <c r="I2053" s="36" t="s">
        <v>25818</v>
      </c>
      <c r="J2053" s="36" t="s">
        <v>25819</v>
      </c>
      <c r="K2053" s="36" t="s">
        <v>25820</v>
      </c>
      <c r="L2053" s="36" t="s">
        <v>25821</v>
      </c>
      <c r="M2053" s="36" t="s">
        <v>25822</v>
      </c>
      <c r="N2053" s="36" t="s">
        <v>25823</v>
      </c>
      <c r="O2053" s="36" t="s">
        <v>25824</v>
      </c>
      <c r="P2053" s="36" t="s">
        <v>25811</v>
      </c>
    </row>
    <row r="2054" spans="1:16" ht="15" customHeight="1">
      <c r="A2054" s="139">
        <v>2053</v>
      </c>
      <c r="B2054" s="36" t="s">
        <v>25825</v>
      </c>
      <c r="C2054" s="36" t="s">
        <v>25826</v>
      </c>
      <c r="D2054" s="36" t="s">
        <v>25827</v>
      </c>
      <c r="E2054" s="36" t="s">
        <v>25828</v>
      </c>
      <c r="F2054" s="36" t="s">
        <v>25829</v>
      </c>
      <c r="G2054" s="36" t="s">
        <v>25830</v>
      </c>
      <c r="H2054" s="36" t="s">
        <v>25831</v>
      </c>
      <c r="I2054" s="36" t="s">
        <v>25832</v>
      </c>
      <c r="J2054" s="36" t="s">
        <v>25833</v>
      </c>
      <c r="K2054" s="36" t="s">
        <v>25834</v>
      </c>
      <c r="L2054" s="36" t="s">
        <v>25835</v>
      </c>
      <c r="M2054" s="36" t="s">
        <v>25836</v>
      </c>
      <c r="N2054" s="36" t="s">
        <v>25837</v>
      </c>
      <c r="O2054" s="36" t="s">
        <v>25838</v>
      </c>
      <c r="P2054" s="36" t="s">
        <v>25825</v>
      </c>
    </row>
    <row r="2055" spans="1:16" ht="15" customHeight="1">
      <c r="A2055" s="139">
        <v>2054</v>
      </c>
      <c r="B2055" s="36" t="s">
        <v>25839</v>
      </c>
      <c r="C2055" s="36" t="s">
        <v>25840</v>
      </c>
      <c r="D2055" s="36" t="s">
        <v>25841</v>
      </c>
      <c r="E2055" s="36" t="s">
        <v>25842</v>
      </c>
      <c r="F2055" s="36" t="s">
        <v>25843</v>
      </c>
      <c r="G2055" s="36" t="s">
        <v>25844</v>
      </c>
      <c r="H2055" s="36" t="s">
        <v>25845</v>
      </c>
      <c r="I2055" s="36" t="s">
        <v>25846</v>
      </c>
      <c r="J2055" s="36" t="s">
        <v>25847</v>
      </c>
      <c r="K2055" s="36" t="s">
        <v>25848</v>
      </c>
      <c r="L2055" s="36" t="s">
        <v>25849</v>
      </c>
      <c r="M2055" s="36" t="s">
        <v>25850</v>
      </c>
      <c r="N2055" s="36" t="s">
        <v>25851</v>
      </c>
      <c r="O2055" s="36" t="s">
        <v>25852</v>
      </c>
      <c r="P2055" s="36" t="s">
        <v>25839</v>
      </c>
    </row>
    <row r="2056" spans="1:16" ht="15" customHeight="1">
      <c r="A2056" s="139">
        <v>2055</v>
      </c>
      <c r="B2056" s="36" t="s">
        <v>25853</v>
      </c>
      <c r="C2056" s="36" t="s">
        <v>25854</v>
      </c>
      <c r="D2056" s="36" t="s">
        <v>25855</v>
      </c>
      <c r="E2056" s="36" t="s">
        <v>25856</v>
      </c>
      <c r="F2056" s="36" t="s">
        <v>25857</v>
      </c>
      <c r="G2056" s="36" t="s">
        <v>25858</v>
      </c>
      <c r="H2056" s="36" t="s">
        <v>25859</v>
      </c>
      <c r="I2056" s="36" t="s">
        <v>25860</v>
      </c>
      <c r="J2056" s="36" t="s">
        <v>25861</v>
      </c>
      <c r="K2056" s="36" t="s">
        <v>25862</v>
      </c>
      <c r="L2056" s="36" t="s">
        <v>25863</v>
      </c>
      <c r="M2056" s="36" t="s">
        <v>25864</v>
      </c>
      <c r="N2056" s="36" t="s">
        <v>25865</v>
      </c>
      <c r="O2056" s="36" t="s">
        <v>25866</v>
      </c>
      <c r="P2056" s="36" t="s">
        <v>25853</v>
      </c>
    </row>
    <row r="2057" spans="1:16" ht="15" customHeight="1">
      <c r="A2057" s="139">
        <v>2056</v>
      </c>
      <c r="B2057" s="36" t="s">
        <v>25867</v>
      </c>
      <c r="C2057" s="36" t="s">
        <v>25868</v>
      </c>
      <c r="D2057" s="36" t="s">
        <v>25868</v>
      </c>
      <c r="E2057" s="36" t="s">
        <v>25869</v>
      </c>
      <c r="F2057" s="36" t="s">
        <v>25870</v>
      </c>
      <c r="G2057" s="36" t="s">
        <v>25871</v>
      </c>
      <c r="H2057" s="36" t="s">
        <v>25872</v>
      </c>
      <c r="I2057" s="36" t="s">
        <v>25873</v>
      </c>
      <c r="J2057" s="36" t="s">
        <v>25874</v>
      </c>
      <c r="K2057" s="36" t="s">
        <v>25875</v>
      </c>
      <c r="L2057" s="36" t="s">
        <v>25876</v>
      </c>
      <c r="M2057" s="36" t="s">
        <v>25874</v>
      </c>
      <c r="N2057" s="36" t="s">
        <v>25877</v>
      </c>
      <c r="O2057" s="36" t="s">
        <v>25878</v>
      </c>
      <c r="P2057" s="36" t="s">
        <v>25867</v>
      </c>
    </row>
    <row r="2058" spans="1:16" ht="15" customHeight="1">
      <c r="A2058" s="139">
        <v>2057</v>
      </c>
      <c r="B2058" s="36" t="s">
        <v>25879</v>
      </c>
      <c r="C2058" s="36" t="s">
        <v>25880</v>
      </c>
      <c r="D2058" s="36" t="s">
        <v>25881</v>
      </c>
      <c r="E2058" s="36" t="s">
        <v>25882</v>
      </c>
      <c r="F2058" s="36" t="s">
        <v>25883</v>
      </c>
      <c r="G2058" s="36" t="s">
        <v>25884</v>
      </c>
      <c r="H2058" s="36" t="s">
        <v>25885</v>
      </c>
      <c r="I2058" s="36" t="s">
        <v>25886</v>
      </c>
      <c r="J2058" s="36" t="s">
        <v>25887</v>
      </c>
      <c r="K2058" s="36" t="s">
        <v>25888</v>
      </c>
      <c r="L2058" s="36" t="s">
        <v>25889</v>
      </c>
      <c r="M2058" s="36" t="s">
        <v>25890</v>
      </c>
      <c r="N2058" s="36" t="s">
        <v>25891</v>
      </c>
      <c r="O2058" s="36" t="s">
        <v>25892</v>
      </c>
      <c r="P2058" s="36" t="s">
        <v>25879</v>
      </c>
    </row>
    <row r="2059" spans="1:16" ht="15" customHeight="1">
      <c r="A2059" s="139">
        <v>2058</v>
      </c>
      <c r="B2059" s="36" t="s">
        <v>25893</v>
      </c>
      <c r="C2059" s="36" t="s">
        <v>25894</v>
      </c>
      <c r="D2059" s="36" t="s">
        <v>25895</v>
      </c>
      <c r="E2059" s="36" t="s">
        <v>25896</v>
      </c>
      <c r="F2059" s="36" t="s">
        <v>25897</v>
      </c>
      <c r="G2059" s="36" t="s">
        <v>25898</v>
      </c>
      <c r="H2059" s="36" t="s">
        <v>25899</v>
      </c>
      <c r="I2059" s="36" t="s">
        <v>25900</v>
      </c>
      <c r="J2059" s="36" t="s">
        <v>25901</v>
      </c>
      <c r="K2059" s="36" t="s">
        <v>25902</v>
      </c>
      <c r="L2059" s="36" t="s">
        <v>25903</v>
      </c>
      <c r="M2059" s="36" t="s">
        <v>25904</v>
      </c>
      <c r="N2059" s="36" t="s">
        <v>25905</v>
      </c>
      <c r="O2059" s="36" t="s">
        <v>25906</v>
      </c>
      <c r="P2059" s="36" t="s">
        <v>25893</v>
      </c>
    </row>
    <row r="2060" spans="1:16" ht="15" customHeight="1">
      <c r="A2060" s="139">
        <v>2059</v>
      </c>
      <c r="B2060" s="36" t="s">
        <v>25907</v>
      </c>
      <c r="C2060" s="36" t="s">
        <v>25908</v>
      </c>
      <c r="D2060" s="36" t="s">
        <v>25909</v>
      </c>
      <c r="E2060" s="36" t="s">
        <v>25910</v>
      </c>
      <c r="F2060" s="36" t="s">
        <v>25911</v>
      </c>
      <c r="G2060" s="36" t="s">
        <v>25912</v>
      </c>
      <c r="H2060" s="36" t="s">
        <v>25913</v>
      </c>
      <c r="I2060" s="36" t="s">
        <v>25914</v>
      </c>
      <c r="J2060" s="36" t="s">
        <v>25915</v>
      </c>
      <c r="K2060" s="36" t="s">
        <v>25916</v>
      </c>
      <c r="L2060" s="36" t="s">
        <v>25917</v>
      </c>
      <c r="M2060" s="36" t="s">
        <v>25918</v>
      </c>
      <c r="N2060" s="36" t="s">
        <v>25919</v>
      </c>
      <c r="O2060" s="36" t="s">
        <v>25920</v>
      </c>
      <c r="P2060" s="36" t="s">
        <v>25907</v>
      </c>
    </row>
    <row r="2061" spans="1:16" ht="15" customHeight="1">
      <c r="A2061" s="139">
        <v>2060</v>
      </c>
      <c r="B2061" s="36" t="s">
        <v>25921</v>
      </c>
      <c r="C2061" s="36" t="s">
        <v>25922</v>
      </c>
      <c r="D2061" s="36" t="s">
        <v>25923</v>
      </c>
      <c r="E2061" s="36" t="s">
        <v>25924</v>
      </c>
      <c r="F2061" s="36" t="s">
        <v>25925</v>
      </c>
      <c r="G2061" s="36" t="s">
        <v>25926</v>
      </c>
      <c r="H2061" s="36" t="s">
        <v>25927</v>
      </c>
      <c r="I2061" s="36" t="s">
        <v>25928</v>
      </c>
      <c r="J2061" s="36" t="s">
        <v>25929</v>
      </c>
      <c r="K2061" s="36" t="s">
        <v>25930</v>
      </c>
      <c r="L2061" s="36" t="s">
        <v>25931</v>
      </c>
      <c r="M2061" s="36" t="s">
        <v>25932</v>
      </c>
      <c r="N2061" s="36" t="s">
        <v>25933</v>
      </c>
      <c r="O2061" s="36" t="s">
        <v>25934</v>
      </c>
      <c r="P2061" s="36" t="s">
        <v>25921</v>
      </c>
    </row>
    <row r="2062" spans="1:16" ht="15" customHeight="1">
      <c r="A2062" s="139">
        <v>2061</v>
      </c>
      <c r="B2062" s="36" t="s">
        <v>25935</v>
      </c>
      <c r="C2062" s="36" t="s">
        <v>25936</v>
      </c>
      <c r="D2062" s="36" t="s">
        <v>25937</v>
      </c>
      <c r="E2062" s="36" t="s">
        <v>25938</v>
      </c>
      <c r="F2062" s="36" t="s">
        <v>25939</v>
      </c>
      <c r="G2062" s="36" t="s">
        <v>25940</v>
      </c>
      <c r="H2062" s="36" t="s">
        <v>25941</v>
      </c>
      <c r="I2062" s="36" t="s">
        <v>25942</v>
      </c>
      <c r="J2062" s="36" t="s">
        <v>25943</v>
      </c>
      <c r="K2062" s="36" t="s">
        <v>25944</v>
      </c>
      <c r="L2062" s="36" t="s">
        <v>25945</v>
      </c>
      <c r="M2062" s="36" t="s">
        <v>25946</v>
      </c>
      <c r="N2062" s="36" t="s">
        <v>25947</v>
      </c>
      <c r="O2062" s="36" t="s">
        <v>25948</v>
      </c>
      <c r="P2062" s="36" t="s">
        <v>25935</v>
      </c>
    </row>
    <row r="2063" spans="1:16" ht="15" customHeight="1">
      <c r="A2063" s="139">
        <v>2062</v>
      </c>
      <c r="B2063" s="36" t="s">
        <v>25949</v>
      </c>
      <c r="C2063" s="36" t="s">
        <v>25950</v>
      </c>
      <c r="D2063" s="36" t="s">
        <v>25951</v>
      </c>
      <c r="E2063" s="36" t="s">
        <v>25952</v>
      </c>
      <c r="F2063" s="36" t="s">
        <v>25953</v>
      </c>
      <c r="G2063" s="36" t="s">
        <v>25954</v>
      </c>
      <c r="H2063" s="36" t="s">
        <v>25955</v>
      </c>
      <c r="I2063" s="36" t="s">
        <v>25956</v>
      </c>
      <c r="J2063" s="36" t="s">
        <v>25957</v>
      </c>
      <c r="K2063" s="36" t="s">
        <v>25958</v>
      </c>
      <c r="L2063" s="36" t="s">
        <v>25959</v>
      </c>
      <c r="M2063" s="36" t="s">
        <v>25960</v>
      </c>
      <c r="N2063" s="36" t="s">
        <v>25961</v>
      </c>
      <c r="O2063" s="36" t="s">
        <v>25962</v>
      </c>
      <c r="P2063" s="36" t="s">
        <v>25949</v>
      </c>
    </row>
    <row r="2064" spans="1:16" ht="15" customHeight="1">
      <c r="A2064" s="139">
        <v>2063</v>
      </c>
      <c r="B2064" s="36" t="s">
        <v>25963</v>
      </c>
      <c r="C2064" s="36" t="s">
        <v>25964</v>
      </c>
      <c r="D2064" s="36" t="s">
        <v>25965</v>
      </c>
      <c r="E2064" s="36" t="s">
        <v>25966</v>
      </c>
      <c r="F2064" s="36" t="s">
        <v>25967</v>
      </c>
      <c r="G2064" s="36" t="s">
        <v>25968</v>
      </c>
      <c r="H2064" s="36" t="s">
        <v>25969</v>
      </c>
      <c r="I2064" s="36" t="s">
        <v>25970</v>
      </c>
      <c r="J2064" s="36" t="s">
        <v>25971</v>
      </c>
      <c r="K2064" s="36" t="s">
        <v>25972</v>
      </c>
      <c r="L2064" s="36" t="s">
        <v>25973</v>
      </c>
      <c r="M2064" s="36" t="s">
        <v>25974</v>
      </c>
      <c r="N2064" s="36" t="s">
        <v>25975</v>
      </c>
      <c r="O2064" s="36" t="s">
        <v>25976</v>
      </c>
      <c r="P2064" s="36" t="s">
        <v>25963</v>
      </c>
    </row>
    <row r="2065" spans="1:16" ht="15" customHeight="1">
      <c r="A2065" s="139">
        <v>2064</v>
      </c>
      <c r="B2065" s="36" t="s">
        <v>25977</v>
      </c>
      <c r="C2065" s="36" t="s">
        <v>25978</v>
      </c>
      <c r="D2065" s="36" t="s">
        <v>25979</v>
      </c>
      <c r="E2065" s="36" t="s">
        <v>25980</v>
      </c>
      <c r="F2065" s="36" t="s">
        <v>25981</v>
      </c>
      <c r="G2065" s="36" t="s">
        <v>25982</v>
      </c>
      <c r="H2065" s="36" t="s">
        <v>25983</v>
      </c>
      <c r="I2065" s="36" t="s">
        <v>25984</v>
      </c>
      <c r="J2065" s="36" t="s">
        <v>25985</v>
      </c>
      <c r="K2065" s="36" t="s">
        <v>25986</v>
      </c>
      <c r="L2065" s="36" t="s">
        <v>25987</v>
      </c>
      <c r="M2065" s="36" t="s">
        <v>25988</v>
      </c>
      <c r="N2065" s="36" t="s">
        <v>25989</v>
      </c>
      <c r="O2065" s="36" t="s">
        <v>25990</v>
      </c>
      <c r="P2065" s="36" t="s">
        <v>25977</v>
      </c>
    </row>
    <row r="2066" spans="1:16" ht="15" customHeight="1">
      <c r="A2066" s="139">
        <v>2065</v>
      </c>
      <c r="B2066" s="36" t="s">
        <v>25991</v>
      </c>
      <c r="C2066" s="36" t="s">
        <v>25992</v>
      </c>
      <c r="D2066" s="36" t="s">
        <v>25993</v>
      </c>
      <c r="E2066" s="36" t="s">
        <v>25994</v>
      </c>
      <c r="F2066" s="36" t="s">
        <v>25995</v>
      </c>
      <c r="G2066" s="36" t="s">
        <v>25996</v>
      </c>
      <c r="H2066" s="36" t="s">
        <v>25997</v>
      </c>
      <c r="I2066" s="36" t="s">
        <v>25998</v>
      </c>
      <c r="J2066" s="36" t="s">
        <v>25999</v>
      </c>
      <c r="K2066" s="36" t="s">
        <v>26000</v>
      </c>
      <c r="L2066" s="36" t="s">
        <v>26001</v>
      </c>
      <c r="M2066" s="36" t="s">
        <v>26002</v>
      </c>
      <c r="N2066" s="36" t="s">
        <v>26003</v>
      </c>
      <c r="O2066" s="36" t="s">
        <v>26004</v>
      </c>
      <c r="P2066" s="36" t="s">
        <v>25991</v>
      </c>
    </row>
    <row r="2067" spans="1:16" ht="15" customHeight="1">
      <c r="A2067" s="139">
        <v>2066</v>
      </c>
      <c r="B2067" s="36" t="s">
        <v>26005</v>
      </c>
      <c r="C2067" s="36" t="s">
        <v>26006</v>
      </c>
      <c r="D2067" s="36" t="s">
        <v>26007</v>
      </c>
      <c r="E2067" s="36" t="s">
        <v>26008</v>
      </c>
      <c r="F2067" s="36" t="s">
        <v>26009</v>
      </c>
      <c r="G2067" s="36" t="s">
        <v>26010</v>
      </c>
      <c r="H2067" s="36" t="s">
        <v>26011</v>
      </c>
      <c r="I2067" s="36" t="s">
        <v>26012</v>
      </c>
      <c r="J2067" s="36" t="s">
        <v>26013</v>
      </c>
      <c r="K2067" s="36" t="s">
        <v>26014</v>
      </c>
      <c r="L2067" s="36" t="s">
        <v>26015</v>
      </c>
      <c r="M2067" s="36" t="s">
        <v>26016</v>
      </c>
      <c r="N2067" s="36" t="s">
        <v>26017</v>
      </c>
      <c r="O2067" s="36" t="s">
        <v>26018</v>
      </c>
      <c r="P2067" s="36" t="s">
        <v>26005</v>
      </c>
    </row>
    <row r="2068" spans="1:16" ht="15" customHeight="1">
      <c r="A2068" s="139">
        <v>2067</v>
      </c>
      <c r="B2068" s="36" t="s">
        <v>26019</v>
      </c>
      <c r="C2068" s="36" t="s">
        <v>26020</v>
      </c>
      <c r="D2068" s="36" t="s">
        <v>3954</v>
      </c>
      <c r="E2068" s="36" t="s">
        <v>26021</v>
      </c>
      <c r="F2068" s="36" t="s">
        <v>26022</v>
      </c>
      <c r="G2068" s="36" t="s">
        <v>26023</v>
      </c>
      <c r="H2068" s="36" t="s">
        <v>26024</v>
      </c>
      <c r="I2068" s="36" t="s">
        <v>26025</v>
      </c>
      <c r="J2068" s="36" t="s">
        <v>26026</v>
      </c>
      <c r="K2068" s="36" t="s">
        <v>26027</v>
      </c>
      <c r="L2068" s="36" t="s">
        <v>26028</v>
      </c>
      <c r="M2068" s="36" t="s">
        <v>26029</v>
      </c>
      <c r="N2068" s="36" t="s">
        <v>26030</v>
      </c>
      <c r="O2068" s="36" t="s">
        <v>26031</v>
      </c>
      <c r="P2068" s="36" t="s">
        <v>26019</v>
      </c>
    </row>
    <row r="2069" spans="1:16" ht="15" customHeight="1">
      <c r="A2069" s="139">
        <v>2068</v>
      </c>
      <c r="B2069" s="36" t="s">
        <v>26032</v>
      </c>
      <c r="C2069" s="36" t="s">
        <v>26033</v>
      </c>
      <c r="D2069" s="36" t="s">
        <v>26034</v>
      </c>
      <c r="E2069" s="36" t="s">
        <v>26035</v>
      </c>
      <c r="F2069" s="36" t="s">
        <v>26036</v>
      </c>
      <c r="G2069" s="36" t="s">
        <v>26037</v>
      </c>
      <c r="H2069" s="36" t="s">
        <v>26038</v>
      </c>
      <c r="I2069" s="36" t="s">
        <v>26039</v>
      </c>
      <c r="J2069" s="36" t="s">
        <v>26040</v>
      </c>
      <c r="K2069" s="36" t="s">
        <v>26041</v>
      </c>
      <c r="L2069" s="36" t="s">
        <v>26042</v>
      </c>
      <c r="M2069" s="36" t="s">
        <v>26043</v>
      </c>
      <c r="N2069" s="36" t="s">
        <v>26044</v>
      </c>
      <c r="O2069" s="36" t="s">
        <v>26045</v>
      </c>
      <c r="P2069" s="36" t="s">
        <v>26032</v>
      </c>
    </row>
    <row r="2070" spans="1:16" ht="15" customHeight="1">
      <c r="A2070" s="139">
        <v>2069</v>
      </c>
      <c r="B2070" s="36" t="s">
        <v>26046</v>
      </c>
      <c r="C2070" s="36" t="s">
        <v>26047</v>
      </c>
      <c r="D2070" s="36" t="s">
        <v>26048</v>
      </c>
      <c r="E2070" s="36" t="s">
        <v>26049</v>
      </c>
      <c r="F2070" s="36" t="s">
        <v>26050</v>
      </c>
      <c r="G2070" s="36" t="s">
        <v>26051</v>
      </c>
      <c r="H2070" s="36" t="s">
        <v>26052</v>
      </c>
      <c r="I2070" s="36" t="s">
        <v>26053</v>
      </c>
      <c r="J2070" s="36" t="s">
        <v>26054</v>
      </c>
      <c r="K2070" s="36" t="s">
        <v>26055</v>
      </c>
      <c r="L2070" s="36" t="s">
        <v>26056</v>
      </c>
      <c r="M2070" s="36" t="s">
        <v>26057</v>
      </c>
      <c r="N2070" s="36" t="s">
        <v>26058</v>
      </c>
      <c r="O2070" s="36" t="s">
        <v>26059</v>
      </c>
      <c r="P2070" s="36" t="s">
        <v>26046</v>
      </c>
    </row>
    <row r="2071" spans="1:16" ht="15" customHeight="1">
      <c r="A2071" s="139">
        <v>2070</v>
      </c>
      <c r="B2071" s="36" t="s">
        <v>26060</v>
      </c>
      <c r="C2071" s="36" t="s">
        <v>26061</v>
      </c>
      <c r="D2071" s="36" t="s">
        <v>26062</v>
      </c>
      <c r="E2071" s="36" t="s">
        <v>26063</v>
      </c>
      <c r="F2071" s="36" t="s">
        <v>26064</v>
      </c>
      <c r="G2071" s="36" t="s">
        <v>26065</v>
      </c>
      <c r="H2071" s="36" t="s">
        <v>26066</v>
      </c>
      <c r="I2071" s="36" t="s">
        <v>26064</v>
      </c>
      <c r="J2071" s="36" t="s">
        <v>26067</v>
      </c>
      <c r="K2071" s="36" t="s">
        <v>26068</v>
      </c>
      <c r="L2071" s="36" t="s">
        <v>26069</v>
      </c>
      <c r="M2071" s="36" t="s">
        <v>26070</v>
      </c>
      <c r="N2071" s="36" t="s">
        <v>26071</v>
      </c>
      <c r="O2071" s="36" t="s">
        <v>26072</v>
      </c>
      <c r="P2071" s="36" t="s">
        <v>26060</v>
      </c>
    </row>
    <row r="2072" spans="1:16" ht="15" customHeight="1">
      <c r="A2072" s="139">
        <v>2071</v>
      </c>
      <c r="B2072" s="36" t="s">
        <v>26073</v>
      </c>
      <c r="C2072" s="36" t="s">
        <v>26074</v>
      </c>
      <c r="D2072" s="36" t="s">
        <v>26075</v>
      </c>
      <c r="E2072" s="36" t="s">
        <v>26076</v>
      </c>
      <c r="F2072" s="36" t="s">
        <v>26077</v>
      </c>
      <c r="G2072" s="36" t="s">
        <v>26078</v>
      </c>
      <c r="H2072" s="36" t="s">
        <v>26079</v>
      </c>
      <c r="I2072" s="36" t="s">
        <v>26080</v>
      </c>
      <c r="J2072" s="36" t="s">
        <v>26081</v>
      </c>
      <c r="K2072" s="36" t="s">
        <v>26082</v>
      </c>
      <c r="L2072" s="36" t="s">
        <v>26083</v>
      </c>
      <c r="M2072" s="36" t="s">
        <v>26084</v>
      </c>
      <c r="N2072" s="36" t="s">
        <v>26085</v>
      </c>
      <c r="O2072" s="36" t="s">
        <v>26086</v>
      </c>
      <c r="P2072" s="36" t="s">
        <v>26073</v>
      </c>
    </row>
    <row r="2073" spans="1:16" ht="15" customHeight="1">
      <c r="A2073" s="139">
        <v>2072</v>
      </c>
      <c r="B2073" s="36" t="s">
        <v>26087</v>
      </c>
      <c r="C2073" s="36" t="s">
        <v>26088</v>
      </c>
      <c r="D2073" s="36" t="s">
        <v>26089</v>
      </c>
      <c r="E2073" s="36" t="s">
        <v>26090</v>
      </c>
      <c r="F2073" s="36" t="s">
        <v>26091</v>
      </c>
      <c r="G2073" s="36" t="s">
        <v>26092</v>
      </c>
      <c r="H2073" s="36" t="s">
        <v>26093</v>
      </c>
      <c r="I2073" s="36" t="s">
        <v>26091</v>
      </c>
      <c r="J2073" s="36" t="s">
        <v>26094</v>
      </c>
      <c r="K2073" s="36" t="s">
        <v>26095</v>
      </c>
      <c r="L2073" s="36" t="s">
        <v>26096</v>
      </c>
      <c r="M2073" s="36" t="s">
        <v>26097</v>
      </c>
      <c r="N2073" s="36" t="s">
        <v>26098</v>
      </c>
      <c r="O2073" s="36" t="s">
        <v>26099</v>
      </c>
      <c r="P2073" s="36" t="s">
        <v>26087</v>
      </c>
    </row>
    <row r="2074" spans="1:16" ht="15" customHeight="1">
      <c r="A2074" s="139">
        <v>2073</v>
      </c>
      <c r="B2074" s="36" t="s">
        <v>26100</v>
      </c>
      <c r="C2074" s="36" t="s">
        <v>26101</v>
      </c>
      <c r="D2074" s="36" t="s">
        <v>26102</v>
      </c>
      <c r="E2074" s="36" t="s">
        <v>26103</v>
      </c>
      <c r="F2074" s="36" t="s">
        <v>26104</v>
      </c>
      <c r="G2074" s="36" t="s">
        <v>26105</v>
      </c>
      <c r="H2074" s="36" t="s">
        <v>26106</v>
      </c>
      <c r="I2074" s="36" t="s">
        <v>26104</v>
      </c>
      <c r="J2074" s="36" t="s">
        <v>26107</v>
      </c>
      <c r="K2074" s="36" t="s">
        <v>26108</v>
      </c>
      <c r="L2074" s="36" t="s">
        <v>26109</v>
      </c>
      <c r="M2074" s="36" t="s">
        <v>26110</v>
      </c>
      <c r="N2074" s="36" t="s">
        <v>26110</v>
      </c>
      <c r="O2074" s="36" t="s">
        <v>26104</v>
      </c>
      <c r="P2074" s="36" t="s">
        <v>26100</v>
      </c>
    </row>
    <row r="2075" spans="1:16" ht="15" customHeight="1">
      <c r="A2075" s="139">
        <v>2074</v>
      </c>
      <c r="B2075" s="36" t="s">
        <v>26111</v>
      </c>
      <c r="C2075" s="36" t="s">
        <v>26112</v>
      </c>
      <c r="D2075" s="36" t="s">
        <v>26113</v>
      </c>
      <c r="E2075" s="36" t="s">
        <v>26114</v>
      </c>
      <c r="F2075" s="36" t="s">
        <v>26115</v>
      </c>
      <c r="G2075" s="36" t="s">
        <v>26116</v>
      </c>
      <c r="H2075" s="36" t="s">
        <v>26117</v>
      </c>
      <c r="I2075" s="36" t="s">
        <v>26118</v>
      </c>
      <c r="J2075" s="36" t="s">
        <v>26119</v>
      </c>
      <c r="K2075" s="36" t="s">
        <v>26120</v>
      </c>
      <c r="L2075" s="36" t="s">
        <v>26121</v>
      </c>
      <c r="M2075" s="36" t="s">
        <v>26122</v>
      </c>
      <c r="N2075" s="36" t="s">
        <v>26123</v>
      </c>
      <c r="O2075" s="36" t="s">
        <v>26124</v>
      </c>
      <c r="P2075" s="36" t="s">
        <v>26111</v>
      </c>
    </row>
    <row r="2076" spans="1:16" ht="15" customHeight="1">
      <c r="A2076" s="139">
        <v>2075</v>
      </c>
      <c r="B2076" s="36" t="s">
        <v>26125</v>
      </c>
      <c r="C2076" s="36" t="s">
        <v>26126</v>
      </c>
      <c r="D2076" s="36" t="s">
        <v>26127</v>
      </c>
      <c r="E2076" s="36" t="s">
        <v>26128</v>
      </c>
      <c r="F2076" s="36" t="s">
        <v>26129</v>
      </c>
      <c r="G2076" s="36" t="s">
        <v>26130</v>
      </c>
      <c r="H2076" s="36" t="s">
        <v>26131</v>
      </c>
      <c r="I2076" s="36" t="s">
        <v>26132</v>
      </c>
      <c r="J2076" s="36" t="s">
        <v>26133</v>
      </c>
      <c r="K2076" s="36" t="s">
        <v>26134</v>
      </c>
      <c r="L2076" s="36" t="s">
        <v>26135</v>
      </c>
      <c r="M2076" s="36" t="s">
        <v>26136</v>
      </c>
      <c r="N2076" s="36" t="s">
        <v>26137</v>
      </c>
      <c r="O2076" s="36" t="s">
        <v>26138</v>
      </c>
      <c r="P2076" s="36" t="s">
        <v>26125</v>
      </c>
    </row>
    <row r="2077" spans="1:16" ht="15" customHeight="1">
      <c r="A2077" s="139">
        <v>2076</v>
      </c>
      <c r="B2077" s="36" t="s">
        <v>26139</v>
      </c>
      <c r="C2077" s="36" t="s">
        <v>26140</v>
      </c>
      <c r="D2077" s="36" t="s">
        <v>26141</v>
      </c>
      <c r="E2077" s="36" t="s">
        <v>26142</v>
      </c>
      <c r="F2077" s="36" t="s">
        <v>26143</v>
      </c>
      <c r="G2077" s="36" t="s">
        <v>26144</v>
      </c>
      <c r="H2077" s="36" t="s">
        <v>26145</v>
      </c>
      <c r="I2077" s="36" t="s">
        <v>26146</v>
      </c>
      <c r="J2077" s="36" t="s">
        <v>26147</v>
      </c>
      <c r="K2077" s="36" t="s">
        <v>26148</v>
      </c>
      <c r="L2077" s="36" t="s">
        <v>26149</v>
      </c>
      <c r="M2077" s="36" t="s">
        <v>26150</v>
      </c>
      <c r="N2077" s="36" t="s">
        <v>26149</v>
      </c>
      <c r="O2077" s="36" t="s">
        <v>26151</v>
      </c>
      <c r="P2077" s="36" t="s">
        <v>26139</v>
      </c>
    </row>
    <row r="2078" spans="1:16" ht="15" customHeight="1">
      <c r="A2078" s="139">
        <v>2077</v>
      </c>
      <c r="B2078" s="36" t="s">
        <v>26152</v>
      </c>
      <c r="C2078" s="36" t="s">
        <v>26153</v>
      </c>
      <c r="D2078" s="36" t="s">
        <v>26154</v>
      </c>
      <c r="E2078" s="36" t="s">
        <v>26155</v>
      </c>
      <c r="F2078" s="36" t="s">
        <v>26156</v>
      </c>
      <c r="G2078" s="36" t="s">
        <v>26157</v>
      </c>
      <c r="H2078" s="36" t="s">
        <v>26158</v>
      </c>
      <c r="I2078" s="36" t="s">
        <v>26156</v>
      </c>
      <c r="J2078" s="36" t="s">
        <v>26159</v>
      </c>
      <c r="K2078" s="36" t="s">
        <v>26160</v>
      </c>
      <c r="L2078" s="36" t="s">
        <v>26161</v>
      </c>
      <c r="M2078" s="36" t="s">
        <v>26161</v>
      </c>
      <c r="N2078" s="36" t="s">
        <v>26161</v>
      </c>
      <c r="O2078" s="36" t="s">
        <v>26162</v>
      </c>
      <c r="P2078" s="36" t="s">
        <v>26152</v>
      </c>
    </row>
    <row r="2079" spans="1:16" ht="15" customHeight="1">
      <c r="A2079" s="139">
        <v>2078</v>
      </c>
      <c r="B2079" s="36" t="s">
        <v>26163</v>
      </c>
      <c r="C2079" s="36" t="s">
        <v>26164</v>
      </c>
      <c r="D2079" s="36" t="s">
        <v>26165</v>
      </c>
      <c r="E2079" s="36" t="s">
        <v>26166</v>
      </c>
      <c r="F2079" s="36" t="s">
        <v>26167</v>
      </c>
      <c r="G2079" s="36" t="s">
        <v>26168</v>
      </c>
      <c r="H2079" s="36" t="s">
        <v>26169</v>
      </c>
      <c r="I2079" s="36" t="s">
        <v>26170</v>
      </c>
      <c r="J2079" s="36" t="s">
        <v>26171</v>
      </c>
      <c r="K2079" s="36" t="s">
        <v>26172</v>
      </c>
      <c r="L2079" s="36" t="s">
        <v>26173</v>
      </c>
      <c r="M2079" s="36" t="s">
        <v>26174</v>
      </c>
      <c r="N2079" s="36" t="s">
        <v>26175</v>
      </c>
      <c r="O2079" s="36" t="s">
        <v>26176</v>
      </c>
      <c r="P2079" s="36" t="s">
        <v>26163</v>
      </c>
    </row>
    <row r="2080" spans="1:16" ht="15" customHeight="1">
      <c r="A2080" s="139">
        <v>2079</v>
      </c>
      <c r="B2080" s="36" t="s">
        <v>26177</v>
      </c>
      <c r="C2080" s="36" t="s">
        <v>26178</v>
      </c>
      <c r="D2080" s="36" t="s">
        <v>26179</v>
      </c>
      <c r="E2080" s="36" t="s">
        <v>26180</v>
      </c>
      <c r="F2080" s="36" t="s">
        <v>26181</v>
      </c>
      <c r="G2080" s="36" t="s">
        <v>26182</v>
      </c>
      <c r="H2080" s="36" t="s">
        <v>26183</v>
      </c>
      <c r="I2080" s="36" t="s">
        <v>26184</v>
      </c>
      <c r="J2080" s="36" t="s">
        <v>26185</v>
      </c>
      <c r="K2080" s="36" t="s">
        <v>26186</v>
      </c>
      <c r="L2080" s="36" t="s">
        <v>26187</v>
      </c>
      <c r="M2080" s="36" t="s">
        <v>26188</v>
      </c>
      <c r="N2080" s="36" t="s">
        <v>26189</v>
      </c>
      <c r="O2080" s="36" t="s">
        <v>26190</v>
      </c>
      <c r="P2080" s="36" t="s">
        <v>26177</v>
      </c>
    </row>
    <row r="2081" spans="1:16" ht="15" customHeight="1">
      <c r="A2081" s="139">
        <v>2080</v>
      </c>
      <c r="B2081" s="36" t="s">
        <v>26191</v>
      </c>
      <c r="C2081" s="36" t="s">
        <v>26192</v>
      </c>
      <c r="D2081" s="36" t="s">
        <v>26193</v>
      </c>
      <c r="E2081" s="36" t="s">
        <v>26194</v>
      </c>
      <c r="F2081" s="36" t="s">
        <v>26195</v>
      </c>
      <c r="G2081" s="36" t="s">
        <v>26196</v>
      </c>
      <c r="H2081" s="36" t="s">
        <v>26197</v>
      </c>
      <c r="I2081" s="36" t="s">
        <v>26198</v>
      </c>
      <c r="J2081" s="36" t="s">
        <v>26199</v>
      </c>
      <c r="K2081" s="36" t="s">
        <v>26200</v>
      </c>
      <c r="L2081" s="36" t="s">
        <v>26201</v>
      </c>
      <c r="M2081" s="36" t="s">
        <v>26202</v>
      </c>
      <c r="N2081" s="36" t="s">
        <v>26203</v>
      </c>
      <c r="O2081" s="36" t="s">
        <v>26204</v>
      </c>
      <c r="P2081" s="36" t="s">
        <v>26191</v>
      </c>
    </row>
    <row r="2082" spans="1:16" ht="15" customHeight="1">
      <c r="A2082" s="139">
        <v>2081</v>
      </c>
      <c r="B2082" s="36" t="s">
        <v>26205</v>
      </c>
      <c r="C2082" s="36" t="s">
        <v>26206</v>
      </c>
      <c r="D2082" s="36" t="s">
        <v>26207</v>
      </c>
      <c r="E2082" s="36" t="s">
        <v>26208</v>
      </c>
      <c r="F2082" s="36" t="s">
        <v>26209</v>
      </c>
      <c r="G2082" s="36" t="s">
        <v>26210</v>
      </c>
      <c r="H2082" s="36" t="s">
        <v>26211</v>
      </c>
      <c r="I2082" s="36" t="s">
        <v>26212</v>
      </c>
      <c r="J2082" s="36" t="s">
        <v>26213</v>
      </c>
      <c r="K2082" s="36" t="s">
        <v>26214</v>
      </c>
      <c r="L2082" s="36" t="s">
        <v>26215</v>
      </c>
      <c r="M2082" s="36" t="s">
        <v>26216</v>
      </c>
      <c r="N2082" s="36" t="s">
        <v>26217</v>
      </c>
      <c r="O2082" s="36" t="s">
        <v>26218</v>
      </c>
      <c r="P2082" s="36" t="s">
        <v>26205</v>
      </c>
    </row>
    <row r="2083" spans="1:16" ht="15" customHeight="1">
      <c r="A2083" s="139">
        <v>2082</v>
      </c>
      <c r="B2083" s="36" t="s">
        <v>26219</v>
      </c>
      <c r="C2083" s="36" t="s">
        <v>26220</v>
      </c>
      <c r="D2083" s="36" t="s">
        <v>26221</v>
      </c>
      <c r="E2083" s="36" t="s">
        <v>26222</v>
      </c>
      <c r="F2083" s="36" t="s">
        <v>26223</v>
      </c>
      <c r="G2083" s="36" t="s">
        <v>26224</v>
      </c>
      <c r="H2083" s="36" t="s">
        <v>26225</v>
      </c>
      <c r="I2083" s="36" t="s">
        <v>26226</v>
      </c>
      <c r="J2083" s="36" t="s">
        <v>26227</v>
      </c>
      <c r="K2083" s="36" t="s">
        <v>26228</v>
      </c>
      <c r="L2083" s="36" t="s">
        <v>26229</v>
      </c>
      <c r="M2083" s="36" t="s">
        <v>26230</v>
      </c>
      <c r="N2083" s="36" t="s">
        <v>26231</v>
      </c>
      <c r="O2083" s="36" t="s">
        <v>26232</v>
      </c>
      <c r="P2083" s="36" t="s">
        <v>26219</v>
      </c>
    </row>
    <row r="2084" spans="1:16" ht="15" customHeight="1">
      <c r="A2084" s="139">
        <v>2083</v>
      </c>
      <c r="B2084" s="36" t="s">
        <v>26233</v>
      </c>
      <c r="C2084" s="36" t="s">
        <v>26234</v>
      </c>
      <c r="D2084" s="36" t="s">
        <v>26235</v>
      </c>
      <c r="E2084" s="36" t="s">
        <v>26236</v>
      </c>
      <c r="F2084" s="36" t="s">
        <v>26237</v>
      </c>
      <c r="G2084" s="36" t="s">
        <v>26238</v>
      </c>
      <c r="H2084" s="36" t="s">
        <v>26239</v>
      </c>
      <c r="I2084" s="36" t="s">
        <v>26240</v>
      </c>
      <c r="J2084" s="36" t="s">
        <v>26241</v>
      </c>
      <c r="K2084" s="36" t="s">
        <v>26242</v>
      </c>
      <c r="L2084" s="36" t="s">
        <v>26243</v>
      </c>
      <c r="M2084" s="36" t="s">
        <v>26244</v>
      </c>
      <c r="N2084" s="36" t="s">
        <v>26245</v>
      </c>
      <c r="O2084" s="36" t="s">
        <v>26246</v>
      </c>
      <c r="P2084" s="36" t="s">
        <v>26233</v>
      </c>
    </row>
    <row r="2085" spans="1:16" ht="15" customHeight="1">
      <c r="A2085" s="139">
        <v>2084</v>
      </c>
      <c r="B2085" s="36" t="s">
        <v>26247</v>
      </c>
      <c r="C2085" s="36" t="s">
        <v>26248</v>
      </c>
      <c r="D2085" s="36" t="s">
        <v>26249</v>
      </c>
      <c r="E2085" s="36" t="s">
        <v>26250</v>
      </c>
      <c r="F2085" s="36" t="s">
        <v>26251</v>
      </c>
      <c r="G2085" s="36" t="s">
        <v>26252</v>
      </c>
      <c r="H2085" s="36" t="s">
        <v>26253</v>
      </c>
      <c r="I2085" s="36" t="s">
        <v>26254</v>
      </c>
      <c r="J2085" s="36" t="s">
        <v>26255</v>
      </c>
      <c r="K2085" s="36" t="s">
        <v>26256</v>
      </c>
      <c r="L2085" s="36" t="s">
        <v>26257</v>
      </c>
      <c r="M2085" s="36" t="s">
        <v>26258</v>
      </c>
      <c r="N2085" s="36" t="s">
        <v>26259</v>
      </c>
      <c r="O2085" s="36" t="s">
        <v>26260</v>
      </c>
      <c r="P2085" s="36" t="s">
        <v>26247</v>
      </c>
    </row>
    <row r="2086" spans="1:16" ht="15" customHeight="1">
      <c r="A2086" s="139">
        <v>2085</v>
      </c>
      <c r="B2086" s="36" t="s">
        <v>26261</v>
      </c>
      <c r="C2086" s="36" t="s">
        <v>26020</v>
      </c>
      <c r="D2086" s="36" t="s">
        <v>3954</v>
      </c>
      <c r="E2086" s="36" t="s">
        <v>26262</v>
      </c>
      <c r="F2086" s="36" t="s">
        <v>26263</v>
      </c>
      <c r="G2086" s="36" t="s">
        <v>26264</v>
      </c>
      <c r="H2086" s="36" t="s">
        <v>26265</v>
      </c>
      <c r="I2086" s="36" t="s">
        <v>26266</v>
      </c>
      <c r="J2086" s="36" t="s">
        <v>26267</v>
      </c>
      <c r="K2086" s="36" t="s">
        <v>26268</v>
      </c>
      <c r="L2086" s="36" t="s">
        <v>26269</v>
      </c>
      <c r="M2086" s="36" t="s">
        <v>26270</v>
      </c>
      <c r="N2086" s="36" t="s">
        <v>26271</v>
      </c>
      <c r="O2086" s="36" t="s">
        <v>26272</v>
      </c>
      <c r="P2086" s="36" t="s">
        <v>26261</v>
      </c>
    </row>
    <row r="2087" spans="1:16" ht="15" customHeight="1">
      <c r="A2087" s="139">
        <v>2086</v>
      </c>
      <c r="B2087" s="36" t="s">
        <v>26273</v>
      </c>
      <c r="C2087" s="36" t="s">
        <v>26274</v>
      </c>
      <c r="D2087" s="36" t="s">
        <v>26274</v>
      </c>
      <c r="E2087" s="36" t="s">
        <v>26275</v>
      </c>
      <c r="F2087" s="36" t="s">
        <v>26276</v>
      </c>
      <c r="G2087" s="36" t="s">
        <v>26277</v>
      </c>
      <c r="H2087" s="36" t="s">
        <v>26278</v>
      </c>
      <c r="I2087" s="36" t="s">
        <v>26279</v>
      </c>
      <c r="J2087" s="36" t="s">
        <v>26280</v>
      </c>
      <c r="K2087" s="36" t="s">
        <v>26281</v>
      </c>
      <c r="L2087" s="36" t="s">
        <v>26282</v>
      </c>
      <c r="M2087" s="36" t="s">
        <v>26282</v>
      </c>
      <c r="N2087" s="36" t="s">
        <v>26282</v>
      </c>
      <c r="O2087" s="36" t="s">
        <v>26283</v>
      </c>
      <c r="P2087" s="36" t="s">
        <v>26273</v>
      </c>
    </row>
    <row r="2088" spans="1:16" ht="15" customHeight="1">
      <c r="A2088" s="139">
        <v>2087</v>
      </c>
      <c r="B2088" s="36" t="s">
        <v>26284</v>
      </c>
      <c r="C2088" s="36" t="s">
        <v>26285</v>
      </c>
      <c r="D2088" s="36" t="s">
        <v>26286</v>
      </c>
      <c r="E2088" s="36" t="s">
        <v>26287</v>
      </c>
      <c r="F2088" s="36" t="s">
        <v>26288</v>
      </c>
      <c r="G2088" s="36" t="s">
        <v>26289</v>
      </c>
      <c r="H2088" s="36" t="s">
        <v>26290</v>
      </c>
      <c r="I2088" s="36" t="s">
        <v>26291</v>
      </c>
      <c r="J2088" s="36" t="s">
        <v>26292</v>
      </c>
      <c r="K2088" s="36" t="s">
        <v>26293</v>
      </c>
      <c r="L2088" s="36" t="s">
        <v>26294</v>
      </c>
      <c r="M2088" s="36" t="s">
        <v>26295</v>
      </c>
      <c r="N2088" s="36" t="s">
        <v>26296</v>
      </c>
      <c r="O2088" s="36" t="s">
        <v>26297</v>
      </c>
      <c r="P2088" s="36" t="s">
        <v>26284</v>
      </c>
    </row>
    <row r="2089" spans="1:16" ht="15" customHeight="1">
      <c r="A2089" s="139">
        <v>2088</v>
      </c>
      <c r="B2089" s="36" t="s">
        <v>26298</v>
      </c>
      <c r="C2089" s="36" t="s">
        <v>26299</v>
      </c>
      <c r="D2089" s="36" t="s">
        <v>26300</v>
      </c>
      <c r="E2089" s="36" t="s">
        <v>26301</v>
      </c>
      <c r="F2089" s="36" t="s">
        <v>26302</v>
      </c>
      <c r="G2089" s="36" t="s">
        <v>26303</v>
      </c>
      <c r="H2089" s="36" t="s">
        <v>26304</v>
      </c>
      <c r="I2089" s="36" t="s">
        <v>26305</v>
      </c>
      <c r="J2089" s="36" t="s">
        <v>26306</v>
      </c>
      <c r="K2089" s="36" t="s">
        <v>26307</v>
      </c>
      <c r="L2089" s="36" t="s">
        <v>26308</v>
      </c>
      <c r="M2089" s="36" t="s">
        <v>26309</v>
      </c>
      <c r="N2089" s="36" t="s">
        <v>26310</v>
      </c>
      <c r="O2089" s="36" t="s">
        <v>26311</v>
      </c>
      <c r="P2089" s="36" t="s">
        <v>26298</v>
      </c>
    </row>
    <row r="2090" spans="1:16" ht="15" customHeight="1">
      <c r="A2090" s="139">
        <v>2089</v>
      </c>
      <c r="B2090" s="36" t="s">
        <v>26312</v>
      </c>
      <c r="C2090" s="36" t="s">
        <v>26313</v>
      </c>
      <c r="D2090" s="36" t="s">
        <v>26314</v>
      </c>
      <c r="E2090" s="36" t="s">
        <v>26315</v>
      </c>
      <c r="F2090" s="36" t="s">
        <v>26316</v>
      </c>
      <c r="G2090" s="36" t="s">
        <v>26317</v>
      </c>
      <c r="H2090" s="36" t="s">
        <v>26318</v>
      </c>
      <c r="I2090" s="36" t="s">
        <v>26319</v>
      </c>
      <c r="J2090" s="36" t="s">
        <v>26320</v>
      </c>
      <c r="K2090" s="36" t="s">
        <v>26321</v>
      </c>
      <c r="L2090" s="36" t="s">
        <v>26322</v>
      </c>
      <c r="M2090" s="36" t="s">
        <v>26323</v>
      </c>
      <c r="N2090" s="36" t="s">
        <v>26324</v>
      </c>
      <c r="O2090" s="36" t="s">
        <v>26325</v>
      </c>
      <c r="P2090" s="36" t="s">
        <v>26312</v>
      </c>
    </row>
    <row r="2091" spans="1:16" ht="15" customHeight="1">
      <c r="A2091" s="139">
        <v>2090</v>
      </c>
      <c r="B2091" s="36" t="s">
        <v>26326</v>
      </c>
      <c r="C2091" s="36" t="s">
        <v>26327</v>
      </c>
      <c r="D2091" s="36" t="s">
        <v>26328</v>
      </c>
      <c r="E2091" s="36" t="s">
        <v>26329</v>
      </c>
      <c r="F2091" s="36" t="s">
        <v>26330</v>
      </c>
      <c r="G2091" s="36" t="s">
        <v>26331</v>
      </c>
      <c r="H2091" s="36" t="s">
        <v>26332</v>
      </c>
      <c r="I2091" s="36" t="s">
        <v>26333</v>
      </c>
      <c r="J2091" s="36" t="s">
        <v>26334</v>
      </c>
      <c r="K2091" s="36" t="s">
        <v>26335</v>
      </c>
      <c r="L2091" s="36" t="s">
        <v>26336</v>
      </c>
      <c r="M2091" s="36" t="s">
        <v>26337</v>
      </c>
      <c r="N2091" s="36" t="s">
        <v>26338</v>
      </c>
      <c r="O2091" s="36" t="s">
        <v>26339</v>
      </c>
      <c r="P2091" s="36" t="s">
        <v>26326</v>
      </c>
    </row>
    <row r="2092" spans="1:16" ht="15" customHeight="1">
      <c r="A2092" s="139">
        <v>2091</v>
      </c>
      <c r="B2092" s="36" t="s">
        <v>26340</v>
      </c>
      <c r="C2092" s="36" t="s">
        <v>26341</v>
      </c>
      <c r="D2092" s="36" t="s">
        <v>26342</v>
      </c>
      <c r="E2092" s="36" t="s">
        <v>26343</v>
      </c>
      <c r="F2092" s="36" t="s">
        <v>26344</v>
      </c>
      <c r="G2092" s="36" t="s">
        <v>26345</v>
      </c>
      <c r="H2092" s="36" t="s">
        <v>26346</v>
      </c>
      <c r="I2092" s="36" t="s">
        <v>26347</v>
      </c>
      <c r="J2092" s="36" t="s">
        <v>26348</v>
      </c>
      <c r="K2092" s="36" t="s">
        <v>26349</v>
      </c>
      <c r="L2092" s="36" t="s">
        <v>26350</v>
      </c>
      <c r="M2092" s="36" t="s">
        <v>26351</v>
      </c>
      <c r="N2092" s="36" t="s">
        <v>26352</v>
      </c>
      <c r="O2092" s="36" t="s">
        <v>26353</v>
      </c>
      <c r="P2092" s="36" t="s">
        <v>26340</v>
      </c>
    </row>
    <row r="2093" spans="1:16" ht="15" customHeight="1">
      <c r="A2093" s="139">
        <v>2092</v>
      </c>
      <c r="B2093" s="36" t="s">
        <v>26354</v>
      </c>
      <c r="C2093" s="36" t="s">
        <v>11442</v>
      </c>
      <c r="D2093" s="36" t="s">
        <v>26355</v>
      </c>
      <c r="E2093" s="36" t="s">
        <v>26356</v>
      </c>
      <c r="F2093" s="36" t="s">
        <v>26357</v>
      </c>
      <c r="G2093" s="36" t="s">
        <v>26358</v>
      </c>
      <c r="H2093" s="36" t="s">
        <v>26359</v>
      </c>
      <c r="I2093" s="36" t="s">
        <v>26360</v>
      </c>
      <c r="J2093" s="36" t="s">
        <v>26361</v>
      </c>
      <c r="K2093" s="36" t="s">
        <v>26362</v>
      </c>
      <c r="L2093" s="36" t="s">
        <v>26363</v>
      </c>
      <c r="M2093" s="36" t="s">
        <v>26364</v>
      </c>
      <c r="N2093" s="36" t="s">
        <v>26365</v>
      </c>
      <c r="O2093" s="36" t="s">
        <v>26366</v>
      </c>
      <c r="P2093" s="36" t="s">
        <v>26354</v>
      </c>
    </row>
    <row r="2094" spans="1:16" ht="15" customHeight="1">
      <c r="A2094" s="139">
        <v>2093</v>
      </c>
      <c r="B2094" s="36" t="s">
        <v>26367</v>
      </c>
      <c r="C2094" s="36" t="s">
        <v>26368</v>
      </c>
      <c r="D2094" s="36" t="s">
        <v>26369</v>
      </c>
      <c r="E2094" s="36" t="s">
        <v>26370</v>
      </c>
      <c r="F2094" s="36" t="s">
        <v>26371</v>
      </c>
      <c r="G2094" s="36" t="s">
        <v>26372</v>
      </c>
      <c r="H2094" s="36" t="s">
        <v>26373</v>
      </c>
      <c r="I2094" s="36" t="s">
        <v>26374</v>
      </c>
      <c r="J2094" s="36" t="s">
        <v>26375</v>
      </c>
      <c r="K2094" s="36" t="s">
        <v>26376</v>
      </c>
      <c r="L2094" s="36" t="s">
        <v>26377</v>
      </c>
      <c r="M2094" s="36" t="s">
        <v>26378</v>
      </c>
      <c r="N2094" s="36" t="s">
        <v>26379</v>
      </c>
      <c r="O2094" s="36" t="s">
        <v>26380</v>
      </c>
      <c r="P2094" s="36" t="s">
        <v>26367</v>
      </c>
    </row>
    <row r="2095" spans="1:16" ht="15" customHeight="1">
      <c r="A2095" s="139">
        <v>2094</v>
      </c>
      <c r="B2095" s="36" t="s">
        <v>26381</v>
      </c>
      <c r="C2095" s="36" t="s">
        <v>26382</v>
      </c>
      <c r="D2095" s="36" t="s">
        <v>26383</v>
      </c>
      <c r="E2095" s="36" t="s">
        <v>26384</v>
      </c>
      <c r="P2095" s="36" t="s">
        <v>26381</v>
      </c>
    </row>
    <row r="2096" spans="1:16" ht="15" customHeight="1">
      <c r="A2096" s="139">
        <v>2095</v>
      </c>
      <c r="B2096" s="36" t="s">
        <v>26385</v>
      </c>
      <c r="C2096" s="36" t="s">
        <v>26386</v>
      </c>
      <c r="D2096" s="36" t="s">
        <v>26387</v>
      </c>
      <c r="E2096" s="36" t="s">
        <v>26388</v>
      </c>
      <c r="P2096" s="36" t="s">
        <v>26385</v>
      </c>
    </row>
    <row r="2097" spans="1:16" ht="15" customHeight="1">
      <c r="A2097" s="139">
        <v>2096</v>
      </c>
      <c r="B2097" s="36" t="s">
        <v>26389</v>
      </c>
      <c r="C2097" s="36" t="s">
        <v>26390</v>
      </c>
      <c r="D2097" s="36" t="s">
        <v>26391</v>
      </c>
      <c r="E2097" s="122" t="s">
        <v>26392</v>
      </c>
      <c r="F2097" s="36" t="s">
        <v>26393</v>
      </c>
      <c r="G2097" s="36" t="s">
        <v>26394</v>
      </c>
      <c r="H2097" s="36" t="s">
        <v>26395</v>
      </c>
      <c r="I2097" s="36" t="s">
        <v>26393</v>
      </c>
      <c r="J2097" s="36" t="s">
        <v>26396</v>
      </c>
      <c r="K2097" s="36" t="s">
        <v>26397</v>
      </c>
      <c r="L2097" s="36" t="s">
        <v>26398</v>
      </c>
      <c r="M2097" s="36" t="s">
        <v>26399</v>
      </c>
      <c r="N2097" s="36" t="s">
        <v>26400</v>
      </c>
      <c r="O2097" s="36" t="s">
        <v>26401</v>
      </c>
      <c r="P2097" s="36" t="s">
        <v>26389</v>
      </c>
    </row>
    <row r="2098" spans="1:16" ht="15" customHeight="1">
      <c r="A2098" s="139">
        <v>2097</v>
      </c>
      <c r="B2098" s="36" t="s">
        <v>26402</v>
      </c>
      <c r="C2098" s="36" t="s">
        <v>26403</v>
      </c>
      <c r="D2098" s="36" t="s">
        <v>26404</v>
      </c>
      <c r="E2098" s="36" t="s">
        <v>26405</v>
      </c>
      <c r="F2098" s="36" t="s">
        <v>26406</v>
      </c>
      <c r="G2098" s="36" t="s">
        <v>26407</v>
      </c>
      <c r="H2098" s="36" t="s">
        <v>26408</v>
      </c>
      <c r="I2098" s="36" t="s">
        <v>26409</v>
      </c>
      <c r="J2098" s="36" t="s">
        <v>26410</v>
      </c>
      <c r="K2098" s="36" t="s">
        <v>26411</v>
      </c>
      <c r="L2098" s="36" t="s">
        <v>26412</v>
      </c>
      <c r="M2098" s="36" t="s">
        <v>26412</v>
      </c>
      <c r="N2098" s="36" t="s">
        <v>26413</v>
      </c>
      <c r="O2098" s="36" t="s">
        <v>26414</v>
      </c>
      <c r="P2098" s="36" t="s">
        <v>26402</v>
      </c>
    </row>
    <row r="2099" spans="1:16">
      <c r="A2099" s="139">
        <v>2098</v>
      </c>
      <c r="B2099" s="36" t="s">
        <v>26415</v>
      </c>
      <c r="C2099" s="36" t="s">
        <v>26416</v>
      </c>
      <c r="D2099" s="36" t="s">
        <v>26417</v>
      </c>
      <c r="E2099" s="36" t="s">
        <v>26418</v>
      </c>
      <c r="F2099" s="36" t="s">
        <v>26419</v>
      </c>
      <c r="G2099" s="36" t="s">
        <v>26420</v>
      </c>
      <c r="H2099" s="36" t="s">
        <v>26421</v>
      </c>
      <c r="I2099" s="36" t="s">
        <v>26422</v>
      </c>
      <c r="J2099" s="36" t="s">
        <v>26423</v>
      </c>
      <c r="K2099" s="36" t="s">
        <v>26424</v>
      </c>
      <c r="L2099" s="36" t="s">
        <v>26425</v>
      </c>
      <c r="M2099" s="36" t="s">
        <v>26426</v>
      </c>
      <c r="N2099" s="36" t="s">
        <v>26427</v>
      </c>
      <c r="O2099" s="36" t="s">
        <v>26428</v>
      </c>
      <c r="P2099" s="36" t="s">
        <v>26415</v>
      </c>
    </row>
    <row r="2100" spans="1:16" ht="15" customHeight="1">
      <c r="A2100" s="139">
        <v>2099</v>
      </c>
      <c r="B2100" s="36" t="s">
        <v>26429</v>
      </c>
      <c r="C2100" s="36" t="s">
        <v>26430</v>
      </c>
      <c r="D2100" s="36" t="s">
        <v>26431</v>
      </c>
      <c r="E2100" s="36" t="s">
        <v>26432</v>
      </c>
      <c r="F2100" s="36" t="s">
        <v>26433</v>
      </c>
      <c r="G2100" s="36" t="s">
        <v>26434</v>
      </c>
      <c r="H2100" s="36" t="s">
        <v>26435</v>
      </c>
      <c r="I2100" s="36" t="s">
        <v>26436</v>
      </c>
      <c r="J2100" s="36" t="s">
        <v>26437</v>
      </c>
      <c r="K2100" s="36" t="s">
        <v>26438</v>
      </c>
      <c r="L2100" s="36" t="s">
        <v>26439</v>
      </c>
      <c r="M2100" s="36" t="s">
        <v>26440</v>
      </c>
      <c r="N2100" s="36" t="s">
        <v>26441</v>
      </c>
      <c r="O2100" s="36" t="s">
        <v>26442</v>
      </c>
      <c r="P2100" s="36" t="s">
        <v>26429</v>
      </c>
    </row>
    <row r="2101" spans="1:16" ht="16.2">
      <c r="A2101" s="139">
        <v>2100</v>
      </c>
      <c r="B2101" s="36" t="s">
        <v>26443</v>
      </c>
      <c r="C2101" s="36" t="s">
        <v>26444</v>
      </c>
      <c r="D2101" s="36" t="s">
        <v>26445</v>
      </c>
      <c r="E2101" s="36" t="s">
        <v>26446</v>
      </c>
      <c r="F2101" s="36" t="s">
        <v>16022</v>
      </c>
      <c r="G2101" s="36" t="s">
        <v>26447</v>
      </c>
      <c r="H2101" s="36" t="s">
        <v>26448</v>
      </c>
      <c r="I2101" s="36" t="s">
        <v>16025</v>
      </c>
      <c r="J2101" s="36" t="s">
        <v>26449</v>
      </c>
      <c r="K2101" s="36" t="s">
        <v>16027</v>
      </c>
      <c r="L2101" s="36" t="s">
        <v>26450</v>
      </c>
      <c r="M2101" s="36" t="s">
        <v>26451</v>
      </c>
      <c r="N2101" s="36" t="s">
        <v>26452</v>
      </c>
      <c r="O2101" s="36" t="s">
        <v>26453</v>
      </c>
      <c r="P2101" s="36" t="s">
        <v>26443</v>
      </c>
    </row>
    <row r="2102" spans="1:16" ht="15" customHeight="1">
      <c r="A2102" s="139">
        <v>2101</v>
      </c>
      <c r="B2102" s="36" t="s">
        <v>26454</v>
      </c>
      <c r="C2102" s="36" t="s">
        <v>26455</v>
      </c>
      <c r="D2102" s="36" t="s">
        <v>15909</v>
      </c>
      <c r="E2102" s="36" t="s">
        <v>26456</v>
      </c>
      <c r="F2102" s="36" t="s">
        <v>14143</v>
      </c>
      <c r="G2102" s="36" t="s">
        <v>26457</v>
      </c>
      <c r="H2102" s="36" t="s">
        <v>15913</v>
      </c>
      <c r="I2102" s="36" t="s">
        <v>15914</v>
      </c>
      <c r="J2102" s="36" t="s">
        <v>26458</v>
      </c>
      <c r="K2102" s="36" t="s">
        <v>26459</v>
      </c>
      <c r="L2102" s="36" t="s">
        <v>15917</v>
      </c>
      <c r="M2102" s="36" t="s">
        <v>26460</v>
      </c>
      <c r="N2102" s="36" t="s">
        <v>15918</v>
      </c>
      <c r="O2102" s="36" t="s">
        <v>26461</v>
      </c>
      <c r="P2102" s="36" t="s">
        <v>15907</v>
      </c>
    </row>
    <row r="2103" spans="1:16" ht="15" customHeight="1">
      <c r="A2103" s="139">
        <v>2102</v>
      </c>
      <c r="B2103" s="36" t="s">
        <v>26462</v>
      </c>
      <c r="C2103" s="36" t="s">
        <v>26463</v>
      </c>
      <c r="D2103" s="36" t="s">
        <v>26464</v>
      </c>
      <c r="E2103" s="36" t="s">
        <v>26465</v>
      </c>
      <c r="F2103" s="36" t="s">
        <v>26466</v>
      </c>
      <c r="G2103" s="36" t="s">
        <v>26467</v>
      </c>
      <c r="H2103" s="36" t="s">
        <v>26468</v>
      </c>
      <c r="I2103" s="36" t="s">
        <v>26469</v>
      </c>
      <c r="J2103" s="36" t="s">
        <v>26470</v>
      </c>
      <c r="K2103" s="36" t="s">
        <v>26471</v>
      </c>
      <c r="L2103" s="36" t="s">
        <v>26472</v>
      </c>
      <c r="M2103" s="36" t="s">
        <v>26473</v>
      </c>
      <c r="N2103" s="36" t="s">
        <v>26474</v>
      </c>
      <c r="O2103" s="36" t="s">
        <v>26471</v>
      </c>
      <c r="P2103" s="36" t="s">
        <v>26462</v>
      </c>
    </row>
    <row r="2104" spans="1:16">
      <c r="A2104" s="139">
        <v>2103</v>
      </c>
      <c r="B2104" s="36" t="s">
        <v>15736</v>
      </c>
      <c r="C2104" s="36" t="s">
        <v>26475</v>
      </c>
      <c r="D2104" s="36" t="s">
        <v>26476</v>
      </c>
      <c r="E2104" s="36" t="s">
        <v>5191</v>
      </c>
      <c r="F2104" s="36" t="s">
        <v>15739</v>
      </c>
      <c r="G2104" s="36" t="s">
        <v>15740</v>
      </c>
      <c r="H2104" s="36" t="s">
        <v>15741</v>
      </c>
      <c r="I2104" s="36" t="s">
        <v>15742</v>
      </c>
      <c r="J2104" s="36" t="s">
        <v>15743</v>
      </c>
      <c r="K2104" s="36" t="s">
        <v>5197</v>
      </c>
      <c r="L2104" s="36" t="s">
        <v>5198</v>
      </c>
      <c r="M2104" s="36" t="s">
        <v>5199</v>
      </c>
      <c r="N2104" s="36" t="s">
        <v>5200</v>
      </c>
      <c r="O2104" s="36" t="s">
        <v>15744</v>
      </c>
      <c r="P2104" s="36" t="s">
        <v>15736</v>
      </c>
    </row>
    <row r="2105" spans="1:16" ht="15" customHeight="1">
      <c r="A2105" s="139">
        <v>2104</v>
      </c>
      <c r="B2105" s="36" t="s">
        <v>26477</v>
      </c>
      <c r="C2105" s="36" t="s">
        <v>26478</v>
      </c>
      <c r="D2105" s="36" t="s">
        <v>26478</v>
      </c>
      <c r="E2105" s="36" t="s">
        <v>26479</v>
      </c>
      <c r="F2105" s="36" t="s">
        <v>26480</v>
      </c>
      <c r="G2105" s="36" t="s">
        <v>26481</v>
      </c>
      <c r="H2105" s="36" t="s">
        <v>26482</v>
      </c>
      <c r="I2105" s="36" t="s">
        <v>26483</v>
      </c>
      <c r="J2105" s="36" t="s">
        <v>26484</v>
      </c>
      <c r="K2105" s="36" t="s">
        <v>26485</v>
      </c>
      <c r="L2105" s="36" t="s">
        <v>26486</v>
      </c>
      <c r="M2105" s="36" t="s">
        <v>26487</v>
      </c>
      <c r="N2105" s="36" t="s">
        <v>26486</v>
      </c>
      <c r="O2105" s="36" t="s">
        <v>26488</v>
      </c>
      <c r="P2105" s="36" t="s">
        <v>26477</v>
      </c>
    </row>
    <row r="2106" spans="1:16" ht="15" customHeight="1">
      <c r="A2106" s="139">
        <v>2105</v>
      </c>
      <c r="B2106" s="36" t="s">
        <v>26489</v>
      </c>
      <c r="C2106" s="36" t="s">
        <v>26490</v>
      </c>
      <c r="D2106" s="36" t="s">
        <v>26491</v>
      </c>
      <c r="E2106" s="36" t="s">
        <v>26492</v>
      </c>
      <c r="F2106" s="36" t="s">
        <v>26493</v>
      </c>
      <c r="P2106" s="36" t="s">
        <v>26489</v>
      </c>
    </row>
    <row r="2107" spans="1:16" ht="15" customHeight="1">
      <c r="A2107" s="139">
        <v>2106</v>
      </c>
      <c r="B2107" s="36" t="s">
        <v>26494</v>
      </c>
      <c r="C2107" s="36" t="s">
        <v>26495</v>
      </c>
      <c r="D2107" s="36" t="s">
        <v>26496</v>
      </c>
      <c r="E2107" s="36" t="s">
        <v>26497</v>
      </c>
      <c r="F2107" s="36" t="s">
        <v>26498</v>
      </c>
      <c r="G2107" s="36" t="s">
        <v>26499</v>
      </c>
      <c r="H2107" s="36" t="s">
        <v>26500</v>
      </c>
      <c r="I2107" s="36" t="s">
        <v>26501</v>
      </c>
      <c r="J2107" s="36" t="s">
        <v>26502</v>
      </c>
      <c r="K2107" s="36" t="s">
        <v>26503</v>
      </c>
      <c r="L2107" s="36" t="s">
        <v>26504</v>
      </c>
      <c r="M2107" s="36" t="s">
        <v>26505</v>
      </c>
      <c r="N2107" s="36" t="s">
        <v>26506</v>
      </c>
      <c r="O2107" s="36" t="s">
        <v>26507</v>
      </c>
      <c r="P2107" s="36" t="s">
        <v>26494</v>
      </c>
    </row>
    <row r="2108" spans="1:16" ht="15" customHeight="1">
      <c r="A2108" s="139">
        <v>2107</v>
      </c>
      <c r="B2108" s="36" t="s">
        <v>26508</v>
      </c>
      <c r="C2108" s="36" t="s">
        <v>26509</v>
      </c>
      <c r="D2108" s="36" t="s">
        <v>26510</v>
      </c>
      <c r="E2108" s="36" t="s">
        <v>26511</v>
      </c>
      <c r="F2108" s="36" t="s">
        <v>26512</v>
      </c>
      <c r="G2108" s="36" t="s">
        <v>26513</v>
      </c>
      <c r="H2108" s="36" t="s">
        <v>26514</v>
      </c>
      <c r="I2108" s="36" t="s">
        <v>26515</v>
      </c>
      <c r="J2108" s="36" t="s">
        <v>26516</v>
      </c>
      <c r="K2108" s="36" t="s">
        <v>26517</v>
      </c>
      <c r="L2108" s="36" t="s">
        <v>26518</v>
      </c>
      <c r="M2108" s="36" t="s">
        <v>26519</v>
      </c>
      <c r="N2108" s="36" t="s">
        <v>26519</v>
      </c>
      <c r="O2108" s="36" t="s">
        <v>26520</v>
      </c>
      <c r="P2108" s="36" t="s">
        <v>26508</v>
      </c>
    </row>
    <row r="2109" spans="1:16" ht="15" customHeight="1">
      <c r="A2109" s="139">
        <v>2108</v>
      </c>
      <c r="B2109" s="36" t="s">
        <v>26521</v>
      </c>
      <c r="C2109" s="36" t="s">
        <v>26522</v>
      </c>
      <c r="D2109" s="36" t="s">
        <v>26523</v>
      </c>
      <c r="E2109" s="36" t="s">
        <v>26524</v>
      </c>
      <c r="F2109" s="36" t="s">
        <v>26525</v>
      </c>
      <c r="G2109" s="36" t="s">
        <v>26526</v>
      </c>
      <c r="H2109" s="36" t="s">
        <v>26527</v>
      </c>
      <c r="I2109" s="36" t="s">
        <v>26528</v>
      </c>
      <c r="J2109" s="36" t="s">
        <v>26529</v>
      </c>
      <c r="K2109" s="36" t="s">
        <v>26530</v>
      </c>
      <c r="L2109" s="36" t="s">
        <v>26531</v>
      </c>
      <c r="M2109" s="36" t="s">
        <v>26532</v>
      </c>
      <c r="N2109" s="36" t="s">
        <v>26533</v>
      </c>
      <c r="O2109" s="36" t="s">
        <v>26534</v>
      </c>
      <c r="P2109" s="36" t="s">
        <v>26521</v>
      </c>
    </row>
    <row r="2110" spans="1:16" ht="15" customHeight="1">
      <c r="A2110" s="139">
        <v>2109</v>
      </c>
      <c r="B2110" s="36" t="s">
        <v>26535</v>
      </c>
      <c r="C2110" s="36" t="s">
        <v>26536</v>
      </c>
      <c r="D2110" s="36" t="s">
        <v>26537</v>
      </c>
      <c r="E2110" s="36" t="s">
        <v>26538</v>
      </c>
      <c r="P2110" s="36" t="s">
        <v>26535</v>
      </c>
    </row>
    <row r="2111" spans="1:16" ht="15" customHeight="1">
      <c r="A2111" s="139">
        <v>2110</v>
      </c>
      <c r="B2111" s="36" t="s">
        <v>26539</v>
      </c>
      <c r="C2111" s="36" t="s">
        <v>26540</v>
      </c>
      <c r="D2111" s="36" t="s">
        <v>26541</v>
      </c>
      <c r="E2111" s="36" t="s">
        <v>26542</v>
      </c>
      <c r="P2111" s="36" t="s">
        <v>26539</v>
      </c>
    </row>
    <row r="2112" spans="1:16" ht="69">
      <c r="A2112" s="139">
        <v>2111</v>
      </c>
      <c r="B2112" s="122" t="s">
        <v>26543</v>
      </c>
      <c r="D2112" s="122" t="s">
        <v>26544</v>
      </c>
      <c r="E2112" s="122" t="s">
        <v>26545</v>
      </c>
      <c r="P2112" s="193" t="s">
        <v>26543</v>
      </c>
    </row>
    <row r="2113" spans="1:16" ht="15" customHeight="1">
      <c r="A2113" s="139">
        <v>2112</v>
      </c>
      <c r="B2113" s="36" t="s">
        <v>26546</v>
      </c>
      <c r="C2113" s="36" t="s">
        <v>26547</v>
      </c>
      <c r="D2113" s="36" t="s">
        <v>26548</v>
      </c>
      <c r="E2113" s="36" t="s">
        <v>26549</v>
      </c>
      <c r="P2113" s="36" t="s">
        <v>26546</v>
      </c>
    </row>
    <row r="2114" spans="1:16" ht="15" customHeight="1">
      <c r="A2114" s="139">
        <v>2113</v>
      </c>
      <c r="B2114" s="36" t="s">
        <v>26550</v>
      </c>
      <c r="C2114" s="36" t="s">
        <v>26551</v>
      </c>
      <c r="D2114" s="36" t="s">
        <v>26552</v>
      </c>
      <c r="E2114" s="36" t="s">
        <v>26553</v>
      </c>
      <c r="P2114" s="36" t="s">
        <v>26554</v>
      </c>
    </row>
    <row r="2115" spans="1:16" ht="15" customHeight="1">
      <c r="A2115" s="139">
        <v>2114</v>
      </c>
      <c r="B2115" s="36" t="s">
        <v>26555</v>
      </c>
      <c r="D2115" s="36" t="s">
        <v>26556</v>
      </c>
      <c r="E2115" s="36" t="s">
        <v>26557</v>
      </c>
      <c r="P2115" s="36" t="s">
        <v>26555</v>
      </c>
    </row>
    <row r="2116" spans="1:16" ht="15" customHeight="1">
      <c r="A2116" s="139">
        <v>2115</v>
      </c>
      <c r="B2116" s="36" t="s">
        <v>26558</v>
      </c>
      <c r="C2116" s="36" t="s">
        <v>26559</v>
      </c>
      <c r="D2116" s="36" t="s">
        <v>26560</v>
      </c>
      <c r="E2116" s="36" t="s">
        <v>26561</v>
      </c>
      <c r="P2116" s="36" t="s">
        <v>26558</v>
      </c>
    </row>
    <row r="2117" spans="1:16" ht="15" customHeight="1">
      <c r="A2117" s="139">
        <v>2116</v>
      </c>
      <c r="B2117" s="36" t="s">
        <v>26562</v>
      </c>
      <c r="C2117" s="36" t="s">
        <v>26563</v>
      </c>
      <c r="D2117" s="36" t="s">
        <v>26564</v>
      </c>
      <c r="E2117" s="36" t="s">
        <v>26565</v>
      </c>
      <c r="F2117" s="36" t="s">
        <v>26566</v>
      </c>
      <c r="G2117" s="36" t="s">
        <v>26567</v>
      </c>
      <c r="H2117" s="36" t="s">
        <v>26568</v>
      </c>
      <c r="I2117" s="36" t="s">
        <v>26569</v>
      </c>
      <c r="J2117" s="36" t="s">
        <v>26563</v>
      </c>
      <c r="K2117" s="36" t="s">
        <v>26570</v>
      </c>
      <c r="L2117" s="36" t="s">
        <v>26571</v>
      </c>
      <c r="M2117" s="36" t="s">
        <v>26572</v>
      </c>
      <c r="N2117" s="36" t="s">
        <v>26573</v>
      </c>
      <c r="O2117" s="36" t="s">
        <v>26574</v>
      </c>
      <c r="P2117" s="36" t="s">
        <v>26562</v>
      </c>
    </row>
    <row r="2118" spans="1:16" ht="15" customHeight="1">
      <c r="A2118" s="139">
        <v>2117</v>
      </c>
      <c r="B2118" s="36" t="s">
        <v>26575</v>
      </c>
      <c r="D2118" s="36" t="s">
        <v>26576</v>
      </c>
      <c r="E2118" s="36" t="s">
        <v>26577</v>
      </c>
      <c r="P2118" s="36" t="s">
        <v>26575</v>
      </c>
    </row>
    <row r="2119" spans="1:16" ht="15" customHeight="1">
      <c r="A2119" s="139">
        <v>2118</v>
      </c>
      <c r="B2119" s="36" t="s">
        <v>26578</v>
      </c>
      <c r="C2119" s="36" t="s">
        <v>26579</v>
      </c>
      <c r="D2119" s="36" t="s">
        <v>26580</v>
      </c>
      <c r="E2119" s="36" t="s">
        <v>26581</v>
      </c>
      <c r="P2119" s="36" t="s">
        <v>26578</v>
      </c>
    </row>
    <row r="2120" spans="1:16" ht="15" customHeight="1">
      <c r="A2120" s="139">
        <v>2119</v>
      </c>
      <c r="B2120" s="36" t="s">
        <v>26582</v>
      </c>
      <c r="C2120" s="36" t="s">
        <v>26583</v>
      </c>
      <c r="D2120" s="36" t="s">
        <v>26584</v>
      </c>
      <c r="E2120" s="36" t="s">
        <v>26585</v>
      </c>
      <c r="P2120" s="36" t="s">
        <v>26582</v>
      </c>
    </row>
    <row r="2121" spans="1:16" ht="15" customHeight="1">
      <c r="A2121" s="139">
        <v>2120</v>
      </c>
      <c r="B2121" s="36" t="s">
        <v>26586</v>
      </c>
      <c r="C2121" s="36" t="s">
        <v>26587</v>
      </c>
      <c r="D2121" s="36" t="s">
        <v>26588</v>
      </c>
      <c r="E2121" s="36" t="s">
        <v>26589</v>
      </c>
      <c r="F2121" s="36" t="s">
        <v>26590</v>
      </c>
      <c r="G2121" s="36" t="s">
        <v>26591</v>
      </c>
      <c r="H2121" s="36" t="s">
        <v>26592</v>
      </c>
      <c r="I2121" s="36" t="s">
        <v>26593</v>
      </c>
      <c r="J2121" s="36" t="s">
        <v>26594</v>
      </c>
      <c r="K2121" s="430" t="s">
        <v>26595</v>
      </c>
      <c r="L2121" s="36" t="s">
        <v>26596</v>
      </c>
      <c r="M2121" s="36" t="s">
        <v>26597</v>
      </c>
      <c r="N2121" s="36" t="s">
        <v>26598</v>
      </c>
      <c r="O2121" s="36" t="s">
        <v>26599</v>
      </c>
      <c r="P2121" s="36" t="s">
        <v>26586</v>
      </c>
    </row>
    <row r="2122" spans="1:16" ht="15" customHeight="1">
      <c r="A2122" s="139">
        <v>2121</v>
      </c>
      <c r="B2122" s="36" t="s">
        <v>26600</v>
      </c>
      <c r="C2122" s="36" t="s">
        <v>26601</v>
      </c>
      <c r="D2122" s="36" t="s">
        <v>26602</v>
      </c>
      <c r="E2122" s="36" t="s">
        <v>26603</v>
      </c>
      <c r="P2122" s="36" t="s">
        <v>26600</v>
      </c>
    </row>
    <row r="2123" spans="1:16" ht="15" customHeight="1">
      <c r="A2123" s="139">
        <v>2122</v>
      </c>
      <c r="B2123" s="36" t="s">
        <v>26604</v>
      </c>
      <c r="C2123" s="36" t="s">
        <v>21678</v>
      </c>
      <c r="D2123" s="36" t="s">
        <v>26605</v>
      </c>
      <c r="E2123" s="36" t="s">
        <v>26606</v>
      </c>
      <c r="F2123" s="36" t="s">
        <v>21681</v>
      </c>
      <c r="G2123" s="36" t="s">
        <v>21682</v>
      </c>
      <c r="H2123" s="36" t="s">
        <v>21683</v>
      </c>
      <c r="I2123" s="36" t="s">
        <v>21684</v>
      </c>
      <c r="J2123" s="36" t="s">
        <v>21685</v>
      </c>
      <c r="K2123" s="36" t="s">
        <v>21686</v>
      </c>
      <c r="L2123" s="36" t="s">
        <v>26607</v>
      </c>
      <c r="M2123" s="36" t="s">
        <v>21688</v>
      </c>
      <c r="N2123" s="36" t="s">
        <v>21689</v>
      </c>
      <c r="O2123" s="36" t="s">
        <v>21690</v>
      </c>
      <c r="P2123" s="36" t="s">
        <v>26604</v>
      </c>
    </row>
    <row r="2124" spans="1:16" ht="15" customHeight="1">
      <c r="A2124" s="139">
        <v>2123</v>
      </c>
      <c r="B2124" s="36" t="s">
        <v>26608</v>
      </c>
      <c r="C2124" s="36" t="s">
        <v>21692</v>
      </c>
      <c r="D2124" s="36" t="s">
        <v>26609</v>
      </c>
      <c r="E2124" s="36" t="s">
        <v>26610</v>
      </c>
      <c r="F2124" s="36" t="s">
        <v>21695</v>
      </c>
      <c r="G2124" s="36" t="s">
        <v>21696</v>
      </c>
      <c r="H2124" s="36" t="s">
        <v>21697</v>
      </c>
      <c r="I2124" s="36" t="s">
        <v>21698</v>
      </c>
      <c r="J2124" s="36" t="s">
        <v>21699</v>
      </c>
      <c r="K2124" s="36" t="s">
        <v>21700</v>
      </c>
      <c r="L2124" s="36" t="s">
        <v>26611</v>
      </c>
      <c r="M2124" s="36" t="s">
        <v>21702</v>
      </c>
      <c r="N2124" s="36" t="s">
        <v>21703</v>
      </c>
      <c r="O2124" s="36" t="s">
        <v>21704</v>
      </c>
      <c r="P2124" s="36" t="s">
        <v>26608</v>
      </c>
    </row>
    <row r="2125" spans="1:16" ht="15" customHeight="1">
      <c r="A2125" s="139">
        <v>2124</v>
      </c>
      <c r="B2125" s="36" t="s">
        <v>26612</v>
      </c>
      <c r="C2125" s="36" t="s">
        <v>26613</v>
      </c>
      <c r="D2125" s="36" t="s">
        <v>26614</v>
      </c>
      <c r="E2125" s="36" t="s">
        <v>26615</v>
      </c>
      <c r="F2125" s="36" t="s">
        <v>26616</v>
      </c>
      <c r="G2125" s="36" t="s">
        <v>26617</v>
      </c>
      <c r="H2125" s="36" t="s">
        <v>26618</v>
      </c>
      <c r="I2125" s="36" t="s">
        <v>26619</v>
      </c>
      <c r="J2125" s="36" t="s">
        <v>26620</v>
      </c>
      <c r="K2125" s="36" t="s">
        <v>26621</v>
      </c>
      <c r="L2125" s="36" t="s">
        <v>26622</v>
      </c>
      <c r="M2125" s="36" t="s">
        <v>26623</v>
      </c>
      <c r="N2125" s="36" t="s">
        <v>26624</v>
      </c>
      <c r="O2125" s="36" t="s">
        <v>26625</v>
      </c>
      <c r="P2125" s="36" t="s">
        <v>26612</v>
      </c>
    </row>
    <row r="2126" spans="1:16" ht="15" customHeight="1">
      <c r="A2126" s="139">
        <v>2125</v>
      </c>
      <c r="B2126" s="36" t="s">
        <v>26626</v>
      </c>
      <c r="C2126" s="36" t="s">
        <v>26627</v>
      </c>
      <c r="D2126" s="36" t="s">
        <v>26628</v>
      </c>
      <c r="E2126" s="36" t="s">
        <v>26629</v>
      </c>
      <c r="F2126" s="36" t="s">
        <v>26630</v>
      </c>
      <c r="G2126" s="36" t="s">
        <v>26631</v>
      </c>
      <c r="H2126" s="36" t="s">
        <v>26632</v>
      </c>
      <c r="I2126" s="36" t="s">
        <v>26633</v>
      </c>
      <c r="J2126" s="36" t="s">
        <v>26634</v>
      </c>
      <c r="K2126" s="36" t="s">
        <v>26635</v>
      </c>
      <c r="L2126" s="36" t="s">
        <v>26636</v>
      </c>
      <c r="M2126" s="36" t="s">
        <v>26637</v>
      </c>
      <c r="N2126" s="36" t="s">
        <v>26638</v>
      </c>
      <c r="O2126" s="36" t="s">
        <v>26639</v>
      </c>
      <c r="P2126" s="36" t="s">
        <v>26626</v>
      </c>
    </row>
    <row r="2127" spans="1:16" ht="15" customHeight="1">
      <c r="A2127" s="139">
        <v>2126</v>
      </c>
      <c r="B2127" s="36" t="s">
        <v>26640</v>
      </c>
      <c r="C2127" s="36" t="s">
        <v>22644</v>
      </c>
      <c r="D2127" s="36" t="s">
        <v>26641</v>
      </c>
      <c r="E2127" s="36" t="s">
        <v>26642</v>
      </c>
      <c r="F2127" s="36" t="s">
        <v>22647</v>
      </c>
      <c r="G2127" s="36" t="s">
        <v>22648</v>
      </c>
      <c r="H2127" s="36" t="s">
        <v>26643</v>
      </c>
      <c r="I2127" s="36" t="s">
        <v>22650</v>
      </c>
      <c r="J2127" s="36" t="s">
        <v>22651</v>
      </c>
      <c r="K2127" s="36" t="s">
        <v>26644</v>
      </c>
      <c r="L2127" s="36" t="s">
        <v>22653</v>
      </c>
      <c r="M2127" s="36" t="s">
        <v>22654</v>
      </c>
      <c r="N2127" s="36" t="s">
        <v>22655</v>
      </c>
      <c r="O2127" s="36" t="s">
        <v>22656</v>
      </c>
      <c r="P2127" s="36" t="s">
        <v>26640</v>
      </c>
    </row>
    <row r="2128" spans="1:16" ht="15" customHeight="1">
      <c r="A2128" s="139">
        <v>2127</v>
      </c>
      <c r="B2128" s="36" t="s">
        <v>26645</v>
      </c>
      <c r="C2128" s="36" t="s">
        <v>26646</v>
      </c>
      <c r="D2128" s="36" t="s">
        <v>26647</v>
      </c>
      <c r="E2128" s="36" t="s">
        <v>26648</v>
      </c>
      <c r="P2128" s="36" t="s">
        <v>26645</v>
      </c>
    </row>
    <row r="2129" spans="1:16" ht="15" customHeight="1">
      <c r="A2129" s="139">
        <v>2128</v>
      </c>
      <c r="B2129" s="36" t="s">
        <v>26649</v>
      </c>
      <c r="C2129" s="36" t="s">
        <v>26650</v>
      </c>
      <c r="D2129" s="36" t="s">
        <v>26651</v>
      </c>
      <c r="E2129" s="36" t="s">
        <v>26652</v>
      </c>
      <c r="P2129" s="36" t="s">
        <v>26649</v>
      </c>
    </row>
    <row r="2130" spans="1:16" ht="15" customHeight="1">
      <c r="A2130" s="139">
        <v>2129</v>
      </c>
      <c r="B2130" s="36" t="s">
        <v>26653</v>
      </c>
      <c r="C2130" s="36" t="s">
        <v>26654</v>
      </c>
      <c r="D2130" s="36" t="s">
        <v>26655</v>
      </c>
      <c r="E2130" s="36" t="s">
        <v>26656</v>
      </c>
      <c r="F2130" s="36" t="s">
        <v>26657</v>
      </c>
      <c r="G2130" s="36" t="s">
        <v>26658</v>
      </c>
      <c r="H2130" s="36" t="s">
        <v>26659</v>
      </c>
      <c r="I2130" s="36" t="s">
        <v>26660</v>
      </c>
      <c r="J2130" s="36" t="s">
        <v>26661</v>
      </c>
      <c r="K2130" s="36" t="s">
        <v>26662</v>
      </c>
      <c r="L2130" s="36" t="s">
        <v>26663</v>
      </c>
      <c r="M2130" s="36" t="s">
        <v>26664</v>
      </c>
      <c r="N2130" s="36" t="s">
        <v>26665</v>
      </c>
      <c r="O2130" s="36" t="s">
        <v>26666</v>
      </c>
      <c r="P2130" s="36" t="s">
        <v>26653</v>
      </c>
    </row>
    <row r="2131" spans="1:16" ht="15" customHeight="1">
      <c r="A2131" s="139">
        <v>2130</v>
      </c>
      <c r="B2131" s="36" t="s">
        <v>26667</v>
      </c>
      <c r="C2131" s="36" t="s">
        <v>26668</v>
      </c>
      <c r="D2131" s="36" t="s">
        <v>26669</v>
      </c>
      <c r="E2131" s="36" t="s">
        <v>26670</v>
      </c>
      <c r="F2131" s="36" t="s">
        <v>26671</v>
      </c>
      <c r="G2131" s="36" t="s">
        <v>26672</v>
      </c>
      <c r="H2131" s="36" t="s">
        <v>26673</v>
      </c>
      <c r="I2131" s="36" t="s">
        <v>26674</v>
      </c>
      <c r="J2131" s="36" t="s">
        <v>26675</v>
      </c>
      <c r="K2131" s="36" t="s">
        <v>26676</v>
      </c>
      <c r="L2131" s="36" t="s">
        <v>26677</v>
      </c>
      <c r="M2131" s="36" t="s">
        <v>26678</v>
      </c>
      <c r="N2131" s="36" t="s">
        <v>26679</v>
      </c>
      <c r="O2131" s="36" t="s">
        <v>26680</v>
      </c>
      <c r="P2131" s="36" t="s">
        <v>26667</v>
      </c>
    </row>
    <row r="2132" spans="1:16" ht="15" customHeight="1">
      <c r="A2132" s="139">
        <v>2131</v>
      </c>
      <c r="B2132" s="36" t="s">
        <v>26681</v>
      </c>
      <c r="C2132" s="36" t="s">
        <v>26682</v>
      </c>
      <c r="D2132" s="36" t="s">
        <v>26683</v>
      </c>
      <c r="E2132" s="36" t="s">
        <v>26684</v>
      </c>
      <c r="F2132" s="36" t="s">
        <v>26685</v>
      </c>
      <c r="G2132" s="36" t="s">
        <v>26686</v>
      </c>
      <c r="H2132" s="36" t="s">
        <v>26687</v>
      </c>
      <c r="I2132" s="36" t="s">
        <v>26688</v>
      </c>
      <c r="J2132" s="36" t="s">
        <v>26689</v>
      </c>
      <c r="K2132" s="36" t="s">
        <v>26690</v>
      </c>
      <c r="L2132" s="36" t="s">
        <v>26691</v>
      </c>
      <c r="M2132" s="36" t="s">
        <v>26692</v>
      </c>
      <c r="N2132" s="36" t="s">
        <v>26693</v>
      </c>
      <c r="O2132" s="36" t="s">
        <v>26694</v>
      </c>
      <c r="P2132" s="36" t="s">
        <v>26681</v>
      </c>
    </row>
    <row r="2133" spans="1:16" ht="15" customHeight="1">
      <c r="A2133" s="139">
        <v>2132</v>
      </c>
      <c r="B2133" s="36" t="s">
        <v>26695</v>
      </c>
      <c r="C2133" s="36" t="s">
        <v>26696</v>
      </c>
      <c r="D2133" s="36" t="s">
        <v>26697</v>
      </c>
      <c r="E2133" s="36" t="s">
        <v>26698</v>
      </c>
      <c r="F2133" s="36" t="s">
        <v>26699</v>
      </c>
      <c r="G2133" s="36" t="s">
        <v>26700</v>
      </c>
      <c r="H2133" s="36" t="s">
        <v>26701</v>
      </c>
      <c r="I2133" s="36" t="s">
        <v>26702</v>
      </c>
      <c r="J2133" s="36" t="s">
        <v>26703</v>
      </c>
      <c r="K2133" s="36" t="s">
        <v>26704</v>
      </c>
      <c r="L2133" s="36" t="s">
        <v>26705</v>
      </c>
      <c r="M2133" s="36" t="s">
        <v>26706</v>
      </c>
      <c r="N2133" s="36" t="s">
        <v>26707</v>
      </c>
      <c r="O2133" s="36" t="s">
        <v>26708</v>
      </c>
      <c r="P2133" s="36" t="s">
        <v>26695</v>
      </c>
    </row>
    <row r="2134" spans="1:16" ht="15" customHeight="1">
      <c r="A2134" s="139">
        <v>2133</v>
      </c>
      <c r="B2134" s="36" t="s">
        <v>26709</v>
      </c>
      <c r="C2134" s="36" t="s">
        <v>26710</v>
      </c>
      <c r="D2134" s="36" t="s">
        <v>26711</v>
      </c>
      <c r="E2134" s="36" t="s">
        <v>26712</v>
      </c>
      <c r="F2134" s="36" t="s">
        <v>26713</v>
      </c>
      <c r="G2134" s="36" t="s">
        <v>26714</v>
      </c>
      <c r="H2134" s="36" t="s">
        <v>26715</v>
      </c>
      <c r="I2134" s="36" t="s">
        <v>26716</v>
      </c>
      <c r="J2134" s="36" t="s">
        <v>26717</v>
      </c>
      <c r="K2134" s="36" t="s">
        <v>26718</v>
      </c>
      <c r="L2134" s="36" t="s">
        <v>26719</v>
      </c>
      <c r="M2134" s="36" t="s">
        <v>26720</v>
      </c>
      <c r="N2134" s="36" t="s">
        <v>26721</v>
      </c>
      <c r="O2134" s="36" t="s">
        <v>26722</v>
      </c>
      <c r="P2134" s="36" t="s">
        <v>26709</v>
      </c>
    </row>
    <row r="2135" spans="1:16" ht="15" customHeight="1">
      <c r="A2135" s="139">
        <v>2134</v>
      </c>
      <c r="B2135" s="36" t="s">
        <v>26723</v>
      </c>
      <c r="C2135" s="36" t="s">
        <v>26724</v>
      </c>
      <c r="D2135" s="36" t="s">
        <v>26725</v>
      </c>
      <c r="E2135" s="36" t="s">
        <v>26726</v>
      </c>
      <c r="F2135" s="36" t="s">
        <v>26727</v>
      </c>
      <c r="G2135" s="36" t="s">
        <v>26728</v>
      </c>
      <c r="H2135" s="36" t="s">
        <v>26729</v>
      </c>
      <c r="I2135" s="36" t="s">
        <v>26730</v>
      </c>
      <c r="J2135" s="36" t="s">
        <v>26731</v>
      </c>
      <c r="K2135" s="36" t="s">
        <v>26732</v>
      </c>
      <c r="L2135" s="36" t="s">
        <v>26733</v>
      </c>
      <c r="M2135" s="36" t="s">
        <v>26734</v>
      </c>
      <c r="N2135" s="36" t="s">
        <v>26735</v>
      </c>
      <c r="O2135" s="36" t="s">
        <v>26736</v>
      </c>
      <c r="P2135" s="36" t="s">
        <v>26723</v>
      </c>
    </row>
    <row r="2136" spans="1:16" ht="15" customHeight="1">
      <c r="A2136" s="139">
        <v>2135</v>
      </c>
      <c r="B2136" s="36" t="s">
        <v>26737</v>
      </c>
      <c r="C2136" s="36" t="s">
        <v>26738</v>
      </c>
      <c r="D2136" s="36" t="s">
        <v>26739</v>
      </c>
      <c r="E2136" s="36" t="s">
        <v>26740</v>
      </c>
      <c r="F2136" s="36" t="s">
        <v>26741</v>
      </c>
      <c r="G2136" s="36" t="s">
        <v>26742</v>
      </c>
      <c r="H2136" s="36" t="s">
        <v>26743</v>
      </c>
      <c r="I2136" s="36" t="s">
        <v>26744</v>
      </c>
      <c r="J2136" s="36" t="s">
        <v>26745</v>
      </c>
      <c r="K2136" s="36" t="s">
        <v>26746</v>
      </c>
      <c r="L2136" s="36" t="s">
        <v>26747</v>
      </c>
      <c r="M2136" s="36" t="s">
        <v>26748</v>
      </c>
      <c r="N2136" s="36" t="s">
        <v>26749</v>
      </c>
      <c r="O2136" s="36" t="s">
        <v>26750</v>
      </c>
      <c r="P2136" s="36" t="s">
        <v>26737</v>
      </c>
    </row>
    <row r="2137" spans="1:16" ht="15" customHeight="1">
      <c r="A2137" s="139">
        <v>2136</v>
      </c>
      <c r="B2137" s="36" t="s">
        <v>26751</v>
      </c>
      <c r="C2137" s="36" t="s">
        <v>26752</v>
      </c>
      <c r="D2137" s="36" t="s">
        <v>26753</v>
      </c>
      <c r="E2137" s="36" t="s">
        <v>26754</v>
      </c>
      <c r="F2137" s="36" t="s">
        <v>26755</v>
      </c>
      <c r="G2137" s="36" t="s">
        <v>26756</v>
      </c>
      <c r="H2137" s="36" t="s">
        <v>26757</v>
      </c>
      <c r="I2137" s="36" t="s">
        <v>26758</v>
      </c>
      <c r="J2137" s="36" t="s">
        <v>26759</v>
      </c>
      <c r="K2137" s="36" t="s">
        <v>26760</v>
      </c>
      <c r="L2137" s="36" t="s">
        <v>26761</v>
      </c>
      <c r="M2137" s="36" t="s">
        <v>26762</v>
      </c>
      <c r="N2137" s="36" t="s">
        <v>26763</v>
      </c>
      <c r="O2137" s="36" t="s">
        <v>26764</v>
      </c>
      <c r="P2137" s="36" t="s">
        <v>26751</v>
      </c>
    </row>
    <row r="2138" spans="1:16" ht="15" customHeight="1">
      <c r="A2138" s="139">
        <v>2137</v>
      </c>
      <c r="B2138" s="36" t="s">
        <v>26765</v>
      </c>
      <c r="C2138" s="36" t="s">
        <v>26766</v>
      </c>
      <c r="D2138" s="36" t="s">
        <v>26767</v>
      </c>
      <c r="E2138" s="36" t="s">
        <v>26768</v>
      </c>
      <c r="F2138" s="36" t="s">
        <v>26769</v>
      </c>
      <c r="G2138" s="36" t="s">
        <v>26770</v>
      </c>
      <c r="H2138" s="36" t="s">
        <v>26771</v>
      </c>
      <c r="I2138" s="36" t="s">
        <v>26772</v>
      </c>
      <c r="J2138" s="36" t="s">
        <v>26773</v>
      </c>
      <c r="K2138" s="36" t="s">
        <v>26774</v>
      </c>
      <c r="L2138" s="36" t="s">
        <v>26775</v>
      </c>
      <c r="M2138" s="36" t="s">
        <v>26776</v>
      </c>
      <c r="N2138" s="36" t="s">
        <v>26777</v>
      </c>
      <c r="O2138" s="36" t="s">
        <v>26778</v>
      </c>
      <c r="P2138" s="36" t="s">
        <v>26765</v>
      </c>
    </row>
    <row r="2139" spans="1:16" ht="15" customHeight="1">
      <c r="A2139" s="139">
        <v>2138</v>
      </c>
      <c r="B2139" s="36" t="s">
        <v>26779</v>
      </c>
      <c r="C2139" s="36" t="s">
        <v>26780</v>
      </c>
      <c r="D2139" s="36" t="s">
        <v>26781</v>
      </c>
      <c r="E2139" s="36" t="s">
        <v>26782</v>
      </c>
      <c r="F2139" s="36" t="s">
        <v>26783</v>
      </c>
      <c r="G2139" s="36" t="s">
        <v>26784</v>
      </c>
      <c r="H2139" s="36" t="s">
        <v>26785</v>
      </c>
      <c r="I2139" s="36" t="s">
        <v>26786</v>
      </c>
      <c r="J2139" s="36" t="s">
        <v>26787</v>
      </c>
      <c r="K2139" s="36" t="s">
        <v>26788</v>
      </c>
      <c r="L2139" s="36" t="s">
        <v>26789</v>
      </c>
      <c r="M2139" s="36" t="s">
        <v>26790</v>
      </c>
      <c r="N2139" s="36" t="s">
        <v>26791</v>
      </c>
      <c r="O2139" s="36" t="s">
        <v>26792</v>
      </c>
      <c r="P2139" s="36" t="s">
        <v>26779</v>
      </c>
    </row>
    <row r="2140" spans="1:16" ht="15" customHeight="1">
      <c r="A2140" s="139">
        <v>2139</v>
      </c>
      <c r="B2140" s="36" t="s">
        <v>26793</v>
      </c>
      <c r="C2140" s="36" t="s">
        <v>26654</v>
      </c>
      <c r="D2140" s="36" t="s">
        <v>26655</v>
      </c>
      <c r="E2140" s="36" t="s">
        <v>26794</v>
      </c>
      <c r="F2140" s="36" t="s">
        <v>26795</v>
      </c>
      <c r="G2140" s="36" t="s">
        <v>26658</v>
      </c>
      <c r="H2140" s="36" t="s">
        <v>26796</v>
      </c>
      <c r="I2140" s="36" t="s">
        <v>26660</v>
      </c>
      <c r="J2140" s="36" t="s">
        <v>26797</v>
      </c>
      <c r="K2140" s="36" t="s">
        <v>26798</v>
      </c>
      <c r="L2140" s="36" t="s">
        <v>26799</v>
      </c>
      <c r="M2140" s="36" t="s">
        <v>26800</v>
      </c>
      <c r="N2140" s="36" t="s">
        <v>26801</v>
      </c>
      <c r="O2140" s="36" t="s">
        <v>26802</v>
      </c>
      <c r="P2140" s="36" t="s">
        <v>26793</v>
      </c>
    </row>
    <row r="2141" spans="1:16" ht="15" customHeight="1">
      <c r="A2141" s="139">
        <v>2140</v>
      </c>
      <c r="B2141" s="36" t="s">
        <v>26803</v>
      </c>
      <c r="C2141" s="36" t="s">
        <v>26668</v>
      </c>
      <c r="D2141" s="36" t="s">
        <v>26669</v>
      </c>
      <c r="E2141" s="36" t="s">
        <v>26804</v>
      </c>
      <c r="F2141" s="36" t="s">
        <v>26805</v>
      </c>
      <c r="G2141" s="36" t="s">
        <v>26806</v>
      </c>
      <c r="H2141" s="36" t="s">
        <v>26807</v>
      </c>
      <c r="I2141" s="36" t="s">
        <v>26674</v>
      </c>
      <c r="J2141" s="36" t="s">
        <v>26808</v>
      </c>
      <c r="K2141" s="36" t="s">
        <v>26809</v>
      </c>
      <c r="L2141" s="36" t="s">
        <v>26810</v>
      </c>
      <c r="M2141" s="36" t="s">
        <v>26811</v>
      </c>
      <c r="N2141" s="36" t="s">
        <v>26812</v>
      </c>
      <c r="O2141" s="36" t="s">
        <v>26813</v>
      </c>
      <c r="P2141" s="36" t="s">
        <v>26803</v>
      </c>
    </row>
    <row r="2142" spans="1:16" ht="15" customHeight="1">
      <c r="A2142" s="139">
        <v>2141</v>
      </c>
      <c r="B2142" s="36" t="s">
        <v>26814</v>
      </c>
      <c r="C2142" s="36" t="s">
        <v>26682</v>
      </c>
      <c r="D2142" s="36" t="s">
        <v>26683</v>
      </c>
      <c r="E2142" s="36" t="s">
        <v>26815</v>
      </c>
      <c r="F2142" s="36" t="s">
        <v>26816</v>
      </c>
      <c r="G2142" s="36" t="s">
        <v>26686</v>
      </c>
      <c r="H2142" s="36" t="s">
        <v>26817</v>
      </c>
      <c r="I2142" s="36" t="s">
        <v>26688</v>
      </c>
      <c r="J2142" s="36" t="s">
        <v>26818</v>
      </c>
      <c r="K2142" s="36" t="s">
        <v>26819</v>
      </c>
      <c r="L2142" s="36" t="s">
        <v>26820</v>
      </c>
      <c r="M2142" s="36" t="s">
        <v>26821</v>
      </c>
      <c r="N2142" s="36" t="s">
        <v>26822</v>
      </c>
      <c r="O2142" s="36" t="s">
        <v>26823</v>
      </c>
      <c r="P2142" s="36" t="s">
        <v>26814</v>
      </c>
    </row>
    <row r="2143" spans="1:16" ht="15" customHeight="1">
      <c r="A2143" s="139">
        <v>2142</v>
      </c>
      <c r="B2143" s="36" t="s">
        <v>26824</v>
      </c>
      <c r="C2143" s="36" t="s">
        <v>26696</v>
      </c>
      <c r="D2143" s="36" t="s">
        <v>26697</v>
      </c>
      <c r="E2143" s="36" t="s">
        <v>26825</v>
      </c>
      <c r="F2143" s="36" t="s">
        <v>26826</v>
      </c>
      <c r="G2143" s="36" t="s">
        <v>26827</v>
      </c>
      <c r="H2143" s="36" t="s">
        <v>26828</v>
      </c>
      <c r="I2143" s="36" t="s">
        <v>26702</v>
      </c>
      <c r="J2143" s="36" t="s">
        <v>26829</v>
      </c>
      <c r="K2143" s="36" t="s">
        <v>26830</v>
      </c>
      <c r="L2143" s="36" t="s">
        <v>26831</v>
      </c>
      <c r="M2143" s="36" t="s">
        <v>26832</v>
      </c>
      <c r="N2143" s="36" t="s">
        <v>26833</v>
      </c>
      <c r="O2143" s="36" t="s">
        <v>26834</v>
      </c>
      <c r="P2143" s="36" t="s">
        <v>26824</v>
      </c>
    </row>
    <row r="2144" spans="1:16" ht="15" customHeight="1">
      <c r="A2144" s="139">
        <v>2143</v>
      </c>
      <c r="B2144" s="36" t="s">
        <v>26835</v>
      </c>
      <c r="C2144" s="36" t="s">
        <v>26710</v>
      </c>
      <c r="D2144" s="36" t="s">
        <v>26711</v>
      </c>
      <c r="E2144" s="36" t="s">
        <v>26836</v>
      </c>
      <c r="F2144" s="36" t="s">
        <v>26837</v>
      </c>
      <c r="G2144" s="36" t="s">
        <v>26714</v>
      </c>
      <c r="H2144" s="36" t="s">
        <v>26838</v>
      </c>
      <c r="I2144" s="36" t="s">
        <v>26716</v>
      </c>
      <c r="J2144" s="36" t="s">
        <v>26839</v>
      </c>
      <c r="K2144" s="36" t="s">
        <v>26840</v>
      </c>
      <c r="L2144" s="36" t="s">
        <v>26841</v>
      </c>
      <c r="M2144" s="36" t="s">
        <v>26842</v>
      </c>
      <c r="N2144" s="36" t="s">
        <v>26843</v>
      </c>
      <c r="O2144" s="36" t="s">
        <v>26844</v>
      </c>
      <c r="P2144" s="36" t="s">
        <v>26835</v>
      </c>
    </row>
    <row r="2145" spans="1:16" ht="15" customHeight="1">
      <c r="A2145" s="139">
        <v>2144</v>
      </c>
      <c r="B2145" s="36" t="s">
        <v>26845</v>
      </c>
      <c r="C2145" s="36" t="s">
        <v>26724</v>
      </c>
      <c r="D2145" s="36" t="s">
        <v>26725</v>
      </c>
      <c r="E2145" s="36" t="s">
        <v>26846</v>
      </c>
      <c r="F2145" s="36" t="s">
        <v>26847</v>
      </c>
      <c r="G2145" s="36" t="s">
        <v>26848</v>
      </c>
      <c r="H2145" s="36" t="s">
        <v>26849</v>
      </c>
      <c r="I2145" s="36" t="s">
        <v>26730</v>
      </c>
      <c r="J2145" s="36" t="s">
        <v>26850</v>
      </c>
      <c r="K2145" s="36" t="s">
        <v>26851</v>
      </c>
      <c r="L2145" s="36" t="s">
        <v>26852</v>
      </c>
      <c r="M2145" s="36" t="s">
        <v>26853</v>
      </c>
      <c r="N2145" s="36" t="s">
        <v>26854</v>
      </c>
      <c r="O2145" s="36" t="s">
        <v>26855</v>
      </c>
      <c r="P2145" s="36" t="s">
        <v>26845</v>
      </c>
    </row>
    <row r="2146" spans="1:16" ht="15" customHeight="1">
      <c r="A2146" s="139">
        <v>2145</v>
      </c>
      <c r="B2146" s="36" t="s">
        <v>26856</v>
      </c>
      <c r="C2146" s="36" t="s">
        <v>26738</v>
      </c>
      <c r="D2146" s="36" t="s">
        <v>26739</v>
      </c>
      <c r="E2146" s="36" t="s">
        <v>26857</v>
      </c>
      <c r="F2146" s="36" t="s">
        <v>26858</v>
      </c>
      <c r="G2146" s="36" t="s">
        <v>26742</v>
      </c>
      <c r="H2146" s="36" t="s">
        <v>26859</v>
      </c>
      <c r="I2146" s="36" t="s">
        <v>26744</v>
      </c>
      <c r="J2146" s="36" t="s">
        <v>26860</v>
      </c>
      <c r="K2146" s="36" t="s">
        <v>26861</v>
      </c>
      <c r="L2146" s="36" t="s">
        <v>26862</v>
      </c>
      <c r="M2146" s="36" t="s">
        <v>26863</v>
      </c>
      <c r="N2146" s="36" t="s">
        <v>26864</v>
      </c>
      <c r="O2146" s="36" t="s">
        <v>26865</v>
      </c>
      <c r="P2146" s="36" t="s">
        <v>26856</v>
      </c>
    </row>
    <row r="2147" spans="1:16" ht="15" customHeight="1">
      <c r="A2147" s="139">
        <v>2146</v>
      </c>
      <c r="B2147" s="36" t="s">
        <v>26866</v>
      </c>
      <c r="C2147" s="36" t="s">
        <v>26752</v>
      </c>
      <c r="D2147" s="36" t="s">
        <v>26753</v>
      </c>
      <c r="E2147" s="36" t="s">
        <v>26867</v>
      </c>
      <c r="F2147" s="36" t="s">
        <v>26868</v>
      </c>
      <c r="G2147" s="36" t="s">
        <v>26869</v>
      </c>
      <c r="H2147" s="36" t="s">
        <v>26870</v>
      </c>
      <c r="I2147" s="36" t="s">
        <v>26758</v>
      </c>
      <c r="J2147" s="36" t="s">
        <v>26871</v>
      </c>
      <c r="K2147" s="36" t="s">
        <v>26872</v>
      </c>
      <c r="L2147" s="36" t="s">
        <v>26873</v>
      </c>
      <c r="M2147" s="36" t="s">
        <v>26874</v>
      </c>
      <c r="N2147" s="36" t="s">
        <v>26875</v>
      </c>
      <c r="O2147" s="36" t="s">
        <v>26876</v>
      </c>
      <c r="P2147" s="36" t="s">
        <v>26866</v>
      </c>
    </row>
    <row r="2148" spans="1:16" ht="15" customHeight="1">
      <c r="A2148" s="139">
        <v>2147</v>
      </c>
      <c r="B2148" s="36" t="s">
        <v>26877</v>
      </c>
      <c r="C2148" s="36" t="s">
        <v>26878</v>
      </c>
      <c r="D2148" s="36" t="s">
        <v>26879</v>
      </c>
      <c r="E2148" s="36" t="s">
        <v>26880</v>
      </c>
      <c r="P2148" s="36" t="s">
        <v>26877</v>
      </c>
    </row>
    <row r="2149" spans="1:16" ht="15" customHeight="1">
      <c r="A2149" s="139">
        <v>2148</v>
      </c>
      <c r="B2149" s="36" t="s">
        <v>26881</v>
      </c>
      <c r="C2149" s="36" t="s">
        <v>26882</v>
      </c>
      <c r="D2149" s="36" t="s">
        <v>26883</v>
      </c>
      <c r="E2149" s="36" t="s">
        <v>26884</v>
      </c>
      <c r="P2149" s="36" t="s">
        <v>26881</v>
      </c>
    </row>
    <row r="2150" spans="1:16" ht="15" customHeight="1">
      <c r="A2150" s="139">
        <v>2149</v>
      </c>
      <c r="B2150" s="36" t="s">
        <v>26885</v>
      </c>
      <c r="C2150" s="36" t="s">
        <v>26886</v>
      </c>
      <c r="D2150" s="36" t="s">
        <v>26887</v>
      </c>
      <c r="E2150" s="36" t="s">
        <v>26888</v>
      </c>
      <c r="P2150" s="36" t="s">
        <v>26885</v>
      </c>
    </row>
    <row r="2151" spans="1:16" ht="15" customHeight="1">
      <c r="A2151" s="139">
        <v>2150</v>
      </c>
      <c r="B2151" s="36" t="s">
        <v>26889</v>
      </c>
      <c r="C2151" s="36" t="s">
        <v>26890</v>
      </c>
      <c r="D2151" s="36" t="s">
        <v>26891</v>
      </c>
      <c r="E2151" s="36" t="s">
        <v>26892</v>
      </c>
      <c r="P2151" s="36" t="s">
        <v>26889</v>
      </c>
    </row>
    <row r="2152" spans="1:16" ht="15" customHeight="1">
      <c r="A2152" s="139">
        <v>2151</v>
      </c>
      <c r="B2152" s="36" t="s">
        <v>26893</v>
      </c>
      <c r="C2152" s="36" t="s">
        <v>26894</v>
      </c>
      <c r="D2152" s="36" t="s">
        <v>26895</v>
      </c>
      <c r="E2152" s="36" t="s">
        <v>26896</v>
      </c>
      <c r="P2152" s="36" t="s">
        <v>26893</v>
      </c>
    </row>
    <row r="2153" spans="1:16" ht="15" customHeight="1">
      <c r="A2153" s="139">
        <v>2152</v>
      </c>
      <c r="B2153" s="36" t="s">
        <v>26402</v>
      </c>
      <c r="C2153" s="36" t="s">
        <v>26403</v>
      </c>
      <c r="D2153" s="36" t="s">
        <v>26897</v>
      </c>
      <c r="E2153" s="36" t="s">
        <v>26405</v>
      </c>
      <c r="P2153" s="36" t="s">
        <v>26402</v>
      </c>
    </row>
    <row r="2154" spans="1:16" ht="15" customHeight="1">
      <c r="A2154" s="139">
        <v>2153</v>
      </c>
      <c r="B2154" s="36" t="s">
        <v>26898</v>
      </c>
      <c r="D2154" s="36" t="s">
        <v>26899</v>
      </c>
      <c r="E2154" s="36" t="s">
        <v>26900</v>
      </c>
      <c r="P2154" s="36" t="s">
        <v>26898</v>
      </c>
    </row>
    <row r="2155" spans="1:16" ht="15" customHeight="1">
      <c r="A2155" s="139">
        <v>2154</v>
      </c>
      <c r="B2155" s="36" t="s">
        <v>26901</v>
      </c>
      <c r="D2155" s="36" t="s">
        <v>26902</v>
      </c>
      <c r="E2155" s="36" t="s">
        <v>26903</v>
      </c>
      <c r="P2155" s="36" t="s">
        <v>26901</v>
      </c>
    </row>
    <row r="2156" spans="1:16" ht="15" customHeight="1">
      <c r="A2156" s="139">
        <v>2155</v>
      </c>
      <c r="B2156" s="36" t="s">
        <v>26904</v>
      </c>
      <c r="D2156" s="36" t="s">
        <v>26905</v>
      </c>
      <c r="E2156" s="36" t="s">
        <v>26906</v>
      </c>
      <c r="P2156" s="36" t="s">
        <v>26904</v>
      </c>
    </row>
    <row r="2157" spans="1:16" ht="15" customHeight="1">
      <c r="A2157" s="139">
        <v>2156</v>
      </c>
      <c r="B2157" s="36" t="s">
        <v>2549</v>
      </c>
      <c r="C2157" s="36" t="s">
        <v>2549</v>
      </c>
      <c r="D2157" s="36" t="s">
        <v>26907</v>
      </c>
      <c r="E2157" s="36" t="s">
        <v>2549</v>
      </c>
      <c r="P2157" s="36" t="s">
        <v>2549</v>
      </c>
    </row>
    <row r="2158" spans="1:16" ht="15" customHeight="1">
      <c r="A2158" s="139">
        <v>2157</v>
      </c>
      <c r="B2158" s="36" t="s">
        <v>26908</v>
      </c>
      <c r="C2158" s="36" t="s">
        <v>26909</v>
      </c>
      <c r="D2158" s="36" t="s">
        <v>26910</v>
      </c>
      <c r="E2158" s="36" t="s">
        <v>26911</v>
      </c>
      <c r="P2158" s="36" t="s">
        <v>26908</v>
      </c>
    </row>
    <row r="2159" spans="1:16" ht="15" customHeight="1">
      <c r="A2159" s="139">
        <v>2158</v>
      </c>
      <c r="B2159" s="36" t="s">
        <v>26912</v>
      </c>
      <c r="C2159" s="36" t="s">
        <v>26913</v>
      </c>
      <c r="D2159" s="36" t="s">
        <v>26914</v>
      </c>
      <c r="E2159" s="36" t="s">
        <v>26915</v>
      </c>
      <c r="P2159" s="36" t="s">
        <v>26912</v>
      </c>
    </row>
    <row r="2160" spans="1:16" ht="15" customHeight="1">
      <c r="A2160" s="139">
        <v>2159</v>
      </c>
      <c r="B2160" s="36" t="s">
        <v>26916</v>
      </c>
      <c r="C2160" s="36" t="s">
        <v>26917</v>
      </c>
      <c r="D2160" s="36" t="s">
        <v>26918</v>
      </c>
      <c r="E2160" s="36" t="s">
        <v>26919</v>
      </c>
      <c r="J2160" s="36" t="s">
        <v>25254</v>
      </c>
      <c r="L2160" s="36" t="s">
        <v>25255</v>
      </c>
      <c r="M2160" s="36" t="s">
        <v>25256</v>
      </c>
      <c r="N2160" s="36" t="s">
        <v>25256</v>
      </c>
      <c r="P2160" s="36" t="s">
        <v>26916</v>
      </c>
    </row>
    <row r="2161" spans="1:16" ht="15" customHeight="1">
      <c r="A2161" s="139">
        <v>2160</v>
      </c>
      <c r="B2161" s="36" t="s">
        <v>26920</v>
      </c>
      <c r="C2161" s="36" t="s">
        <v>26921</v>
      </c>
      <c r="D2161" s="36" t="s">
        <v>26922</v>
      </c>
      <c r="E2161" s="36" t="s">
        <v>26923</v>
      </c>
      <c r="P2161" s="36" t="s">
        <v>26920</v>
      </c>
    </row>
    <row r="2162" spans="1:16" ht="15" customHeight="1">
      <c r="A2162" s="139">
        <v>2161</v>
      </c>
      <c r="B2162" s="36" t="s">
        <v>26924</v>
      </c>
      <c r="C2162" s="36" t="s">
        <v>26925</v>
      </c>
      <c r="D2162" s="36" t="s">
        <v>26926</v>
      </c>
      <c r="E2162" s="36" t="s">
        <v>26927</v>
      </c>
      <c r="J2162" s="36" t="s">
        <v>26928</v>
      </c>
      <c r="L2162" s="36" t="s">
        <v>26929</v>
      </c>
      <c r="M2162" s="36" t="s">
        <v>26930</v>
      </c>
      <c r="N2162" s="36" t="s">
        <v>26931</v>
      </c>
      <c r="P2162" s="36" t="s">
        <v>26924</v>
      </c>
    </row>
    <row r="2163" spans="1:16">
      <c r="A2163" s="139">
        <v>2162</v>
      </c>
      <c r="B2163" s="36" t="s">
        <v>26932</v>
      </c>
      <c r="C2163" s="36" t="s">
        <v>26933</v>
      </c>
      <c r="D2163" s="36" t="s">
        <v>26934</v>
      </c>
      <c r="E2163" s="36" t="s">
        <v>26935</v>
      </c>
      <c r="F2163" s="36" t="s">
        <v>26936</v>
      </c>
      <c r="G2163" s="36" t="s">
        <v>26937</v>
      </c>
      <c r="H2163" s="36" t="s">
        <v>26938</v>
      </c>
      <c r="I2163" s="36" t="s">
        <v>26939</v>
      </c>
      <c r="J2163" s="36" t="s">
        <v>26940</v>
      </c>
      <c r="K2163" s="36" t="s">
        <v>26941</v>
      </c>
      <c r="L2163" s="36" t="s">
        <v>26942</v>
      </c>
      <c r="M2163" s="36" t="s">
        <v>26943</v>
      </c>
      <c r="N2163" s="36" t="s">
        <v>26944</v>
      </c>
      <c r="O2163" s="36" t="s">
        <v>26945</v>
      </c>
      <c r="P2163" s="36" t="s">
        <v>26946</v>
      </c>
    </row>
    <row r="2164" spans="1:16" ht="15" customHeight="1">
      <c r="A2164" s="139">
        <v>2163</v>
      </c>
      <c r="B2164" s="36" t="s">
        <v>26947</v>
      </c>
      <c r="C2164" s="36" t="s">
        <v>26948</v>
      </c>
      <c r="D2164" s="36" t="s">
        <v>26949</v>
      </c>
      <c r="E2164" s="36" t="s">
        <v>26950</v>
      </c>
      <c r="F2164" s="36" t="s">
        <v>26951</v>
      </c>
      <c r="G2164" s="36" t="s">
        <v>26952</v>
      </c>
      <c r="H2164" s="36" t="s">
        <v>26953</v>
      </c>
      <c r="I2164" s="36" t="s">
        <v>26954</v>
      </c>
      <c r="J2164" s="36" t="s">
        <v>26955</v>
      </c>
      <c r="K2164" s="36" t="s">
        <v>26956</v>
      </c>
      <c r="L2164" s="36" t="s">
        <v>26957</v>
      </c>
      <c r="M2164" s="36" t="s">
        <v>26958</v>
      </c>
      <c r="N2164" s="36" t="s">
        <v>26959</v>
      </c>
      <c r="O2164" s="36" t="s">
        <v>26960</v>
      </c>
      <c r="P2164" s="36" t="s">
        <v>26947</v>
      </c>
    </row>
    <row r="2165" spans="1:16" ht="15" customHeight="1">
      <c r="A2165" s="139">
        <v>2164</v>
      </c>
      <c r="B2165" s="36" t="s">
        <v>26961</v>
      </c>
      <c r="C2165" s="36" t="s">
        <v>13548</v>
      </c>
      <c r="D2165" s="36" t="s">
        <v>26962</v>
      </c>
      <c r="E2165" s="36" t="s">
        <v>26963</v>
      </c>
      <c r="F2165" s="36" t="s">
        <v>13551</v>
      </c>
      <c r="G2165" s="36" t="s">
        <v>13552</v>
      </c>
      <c r="H2165" s="36" t="s">
        <v>13553</v>
      </c>
      <c r="I2165" s="36" t="s">
        <v>13554</v>
      </c>
      <c r="J2165" s="36" t="s">
        <v>13555</v>
      </c>
      <c r="L2165" s="36" t="s">
        <v>13557</v>
      </c>
      <c r="M2165" s="36" t="s">
        <v>13558</v>
      </c>
      <c r="N2165" s="36" t="s">
        <v>13559</v>
      </c>
      <c r="O2165" s="36" t="s">
        <v>13560</v>
      </c>
      <c r="P2165" s="36" t="s">
        <v>26961</v>
      </c>
    </row>
    <row r="2166" spans="1:16" ht="15" customHeight="1">
      <c r="A2166" s="139">
        <v>2165</v>
      </c>
      <c r="B2166" s="36" t="s">
        <v>26964</v>
      </c>
      <c r="C2166" s="36" t="s">
        <v>26964</v>
      </c>
      <c r="D2166" s="36" t="s">
        <v>26964</v>
      </c>
      <c r="E2166" s="36" t="s">
        <v>26964</v>
      </c>
      <c r="F2166" s="36" t="s">
        <v>26964</v>
      </c>
      <c r="G2166" s="36" t="s">
        <v>26964</v>
      </c>
      <c r="H2166" s="36" t="s">
        <v>26964</v>
      </c>
      <c r="I2166" s="36" t="s">
        <v>26964</v>
      </c>
      <c r="J2166" s="36" t="s">
        <v>26964</v>
      </c>
      <c r="K2166" s="36" t="s">
        <v>26964</v>
      </c>
      <c r="L2166" s="36" t="s">
        <v>26964</v>
      </c>
      <c r="M2166" s="36" t="s">
        <v>26964</v>
      </c>
      <c r="N2166" s="36" t="s">
        <v>26964</v>
      </c>
      <c r="O2166" s="36" t="s">
        <v>26964</v>
      </c>
      <c r="P2166" s="36" t="s">
        <v>26964</v>
      </c>
    </row>
    <row r="2167" spans="1:16" ht="15" customHeight="1">
      <c r="A2167" s="139">
        <v>2166</v>
      </c>
      <c r="B2167" s="36" t="s">
        <v>26965</v>
      </c>
      <c r="C2167" s="36" t="s">
        <v>26966</v>
      </c>
      <c r="D2167" s="36" t="s">
        <v>26967</v>
      </c>
      <c r="E2167" s="36" t="s">
        <v>26968</v>
      </c>
      <c r="F2167" s="36" t="s">
        <v>26969</v>
      </c>
      <c r="G2167" s="36" t="s">
        <v>26970</v>
      </c>
      <c r="H2167" s="36" t="s">
        <v>26971</v>
      </c>
      <c r="I2167" s="36" t="s">
        <v>26972</v>
      </c>
      <c r="J2167" s="36" t="s">
        <v>26973</v>
      </c>
      <c r="K2167" s="36" t="s">
        <v>26974</v>
      </c>
      <c r="L2167" s="36" t="s">
        <v>26975</v>
      </c>
      <c r="M2167" s="36" t="s">
        <v>26976</v>
      </c>
      <c r="N2167" s="36" t="s">
        <v>26977</v>
      </c>
      <c r="O2167" s="36" t="s">
        <v>26978</v>
      </c>
      <c r="P2167" s="36" t="s">
        <v>26965</v>
      </c>
    </row>
    <row r="2168" spans="1:16">
      <c r="A2168" s="139">
        <v>2167</v>
      </c>
      <c r="B2168" s="36" t="s">
        <v>26979</v>
      </c>
      <c r="C2168" s="36" t="s">
        <v>26980</v>
      </c>
      <c r="D2168" s="36" t="s">
        <v>26981</v>
      </c>
      <c r="E2168" s="36" t="s">
        <v>26982</v>
      </c>
      <c r="F2168" s="36" t="s">
        <v>26983</v>
      </c>
      <c r="G2168" s="36" t="s">
        <v>26984</v>
      </c>
      <c r="H2168" s="36" t="s">
        <v>26985</v>
      </c>
      <c r="I2168" s="36" t="s">
        <v>26986</v>
      </c>
      <c r="J2168" s="36" t="s">
        <v>26987</v>
      </c>
      <c r="K2168" s="36" t="s">
        <v>26988</v>
      </c>
      <c r="L2168" s="36" t="s">
        <v>26989</v>
      </c>
      <c r="M2168" s="36" t="s">
        <v>26990</v>
      </c>
      <c r="N2168" s="36" t="s">
        <v>26991</v>
      </c>
      <c r="O2168" s="36" t="s">
        <v>26992</v>
      </c>
      <c r="P2168" s="36" t="s">
        <v>26979</v>
      </c>
    </row>
    <row r="2169" spans="1:16" ht="15" customHeight="1">
      <c r="A2169" s="139">
        <v>2168</v>
      </c>
      <c r="B2169" s="36" t="s">
        <v>24975</v>
      </c>
      <c r="C2169" s="36" t="s">
        <v>26993</v>
      </c>
      <c r="D2169" s="36" t="s">
        <v>26994</v>
      </c>
      <c r="E2169" s="36" t="s">
        <v>26995</v>
      </c>
      <c r="F2169" s="36" t="s">
        <v>26996</v>
      </c>
      <c r="G2169" s="36" t="s">
        <v>26997</v>
      </c>
      <c r="H2169" s="36" t="s">
        <v>26998</v>
      </c>
      <c r="I2169" s="36" t="s">
        <v>26999</v>
      </c>
      <c r="J2169" s="36" t="s">
        <v>27000</v>
      </c>
      <c r="K2169" s="36" t="s">
        <v>27001</v>
      </c>
      <c r="L2169" s="36" t="s">
        <v>27002</v>
      </c>
      <c r="M2169" s="36" t="s">
        <v>27003</v>
      </c>
      <c r="N2169" s="36" t="s">
        <v>27004</v>
      </c>
      <c r="O2169" s="36" t="s">
        <v>27005</v>
      </c>
      <c r="P2169" s="36" t="s">
        <v>24975</v>
      </c>
    </row>
    <row r="2170" spans="1:16" ht="15" customHeight="1">
      <c r="A2170" s="139">
        <v>2169</v>
      </c>
      <c r="B2170" s="36" t="s">
        <v>27006</v>
      </c>
      <c r="C2170" s="36" t="s">
        <v>27007</v>
      </c>
      <c r="D2170" s="36" t="s">
        <v>27008</v>
      </c>
      <c r="E2170" s="36" t="s">
        <v>27009</v>
      </c>
      <c r="F2170" s="36" t="s">
        <v>27010</v>
      </c>
      <c r="G2170" s="36" t="s">
        <v>27011</v>
      </c>
      <c r="H2170" s="36" t="s">
        <v>27012</v>
      </c>
      <c r="I2170" s="36" t="s">
        <v>27013</v>
      </c>
      <c r="J2170" s="36" t="s">
        <v>27014</v>
      </c>
      <c r="K2170" s="36" t="s">
        <v>27015</v>
      </c>
      <c r="L2170" s="36" t="s">
        <v>27016</v>
      </c>
      <c r="M2170" s="36" t="s">
        <v>27017</v>
      </c>
      <c r="N2170" s="36" t="s">
        <v>27018</v>
      </c>
      <c r="O2170" s="36" t="s">
        <v>27019</v>
      </c>
      <c r="P2170" s="36" t="s">
        <v>27006</v>
      </c>
    </row>
    <row r="2171" spans="1:16" ht="15" customHeight="1">
      <c r="A2171" s="139">
        <v>2170</v>
      </c>
      <c r="B2171" s="36" t="s">
        <v>27020</v>
      </c>
      <c r="C2171" s="36" t="s">
        <v>27021</v>
      </c>
      <c r="D2171" s="36" t="s">
        <v>27022</v>
      </c>
      <c r="E2171" s="36" t="s">
        <v>27023</v>
      </c>
      <c r="F2171" s="36" t="s">
        <v>27024</v>
      </c>
      <c r="G2171" s="36" t="s">
        <v>27025</v>
      </c>
      <c r="H2171" s="36" t="s">
        <v>27026</v>
      </c>
      <c r="I2171" s="36" t="s">
        <v>27027</v>
      </c>
      <c r="J2171" s="36" t="s">
        <v>27028</v>
      </c>
      <c r="K2171" s="36" t="s">
        <v>27029</v>
      </c>
      <c r="L2171" s="36" t="s">
        <v>27030</v>
      </c>
      <c r="M2171" s="36" t="s">
        <v>27031</v>
      </c>
      <c r="N2171" s="36" t="s">
        <v>27032</v>
      </c>
      <c r="O2171" s="36" t="s">
        <v>27033</v>
      </c>
      <c r="P2171" s="36" t="s">
        <v>27020</v>
      </c>
    </row>
    <row r="2172" spans="1:16">
      <c r="A2172" s="139">
        <v>2171</v>
      </c>
      <c r="B2172" s="36" t="s">
        <v>27034</v>
      </c>
      <c r="C2172" s="36" t="s">
        <v>27035</v>
      </c>
      <c r="D2172" s="36" t="s">
        <v>27036</v>
      </c>
      <c r="E2172" s="36" t="s">
        <v>27037</v>
      </c>
      <c r="F2172" s="36" t="s">
        <v>27038</v>
      </c>
      <c r="G2172" s="36" t="s">
        <v>27039</v>
      </c>
      <c r="H2172" s="36" t="s">
        <v>27040</v>
      </c>
      <c r="I2172" s="36" t="s">
        <v>27041</v>
      </c>
      <c r="J2172" s="36" t="s">
        <v>27042</v>
      </c>
      <c r="K2172" s="36" t="s">
        <v>27043</v>
      </c>
      <c r="L2172" s="36" t="s">
        <v>27044</v>
      </c>
      <c r="M2172" s="36" t="s">
        <v>27045</v>
      </c>
      <c r="N2172" s="36" t="s">
        <v>27046</v>
      </c>
      <c r="O2172" s="36" t="s">
        <v>27047</v>
      </c>
      <c r="P2172" s="36" t="s">
        <v>27034</v>
      </c>
    </row>
    <row r="2173" spans="1:16" ht="15" customHeight="1">
      <c r="A2173" s="139">
        <v>2172</v>
      </c>
      <c r="B2173" s="36" t="s">
        <v>27048</v>
      </c>
      <c r="C2173" s="36" t="s">
        <v>27049</v>
      </c>
      <c r="D2173" s="36" t="s">
        <v>27050</v>
      </c>
      <c r="E2173" s="36" t="s">
        <v>27051</v>
      </c>
      <c r="F2173" s="36" t="s">
        <v>27052</v>
      </c>
      <c r="G2173" s="36" t="s">
        <v>27053</v>
      </c>
      <c r="H2173" s="36" t="s">
        <v>27054</v>
      </c>
      <c r="I2173" s="36" t="s">
        <v>27055</v>
      </c>
      <c r="J2173" s="36" t="s">
        <v>27056</v>
      </c>
      <c r="K2173" s="36" t="s">
        <v>27057</v>
      </c>
      <c r="L2173" s="36" t="s">
        <v>27058</v>
      </c>
      <c r="M2173" s="36" t="s">
        <v>27059</v>
      </c>
      <c r="N2173" s="36" t="s">
        <v>27060</v>
      </c>
      <c r="O2173" s="36" t="s">
        <v>27061</v>
      </c>
      <c r="P2173" s="36" t="s">
        <v>27062</v>
      </c>
    </row>
    <row r="2174" spans="1:16" ht="15" customHeight="1">
      <c r="A2174" s="139">
        <v>2173</v>
      </c>
      <c r="B2174" s="36" t="s">
        <v>27063</v>
      </c>
      <c r="C2174" s="36" t="s">
        <v>27064</v>
      </c>
      <c r="D2174" s="36" t="s">
        <v>27065</v>
      </c>
      <c r="E2174" s="36" t="s">
        <v>27066</v>
      </c>
      <c r="F2174" s="36" t="s">
        <v>27067</v>
      </c>
      <c r="G2174" s="36" t="s">
        <v>27068</v>
      </c>
      <c r="H2174" s="36" t="s">
        <v>27069</v>
      </c>
      <c r="I2174" s="36" t="s">
        <v>27070</v>
      </c>
      <c r="J2174" s="36" t="s">
        <v>27071</v>
      </c>
      <c r="K2174" s="36" t="s">
        <v>27072</v>
      </c>
      <c r="L2174" s="36" t="s">
        <v>27073</v>
      </c>
      <c r="M2174" s="36" t="s">
        <v>27074</v>
      </c>
      <c r="N2174" s="36" t="s">
        <v>27075</v>
      </c>
      <c r="O2174" s="36" t="s">
        <v>27076</v>
      </c>
      <c r="P2174" s="36" t="s">
        <v>27063</v>
      </c>
    </row>
    <row r="2175" spans="1:16" ht="15" customHeight="1">
      <c r="A2175" s="139">
        <v>2174</v>
      </c>
      <c r="B2175" s="36" t="s">
        <v>27077</v>
      </c>
      <c r="C2175" s="36" t="s">
        <v>27078</v>
      </c>
      <c r="D2175" s="36" t="s">
        <v>27079</v>
      </c>
      <c r="E2175" s="36" t="s">
        <v>27080</v>
      </c>
      <c r="F2175" s="36" t="s">
        <v>27081</v>
      </c>
      <c r="G2175" s="36" t="s">
        <v>27082</v>
      </c>
      <c r="H2175" s="36" t="s">
        <v>27083</v>
      </c>
      <c r="I2175" s="36" t="s">
        <v>27084</v>
      </c>
      <c r="J2175" s="36" t="s">
        <v>27085</v>
      </c>
      <c r="K2175" s="36" t="s">
        <v>27086</v>
      </c>
      <c r="L2175" s="36" t="s">
        <v>27087</v>
      </c>
      <c r="M2175" s="36" t="s">
        <v>27088</v>
      </c>
      <c r="N2175" s="36" t="s">
        <v>27089</v>
      </c>
      <c r="O2175" s="36" t="s">
        <v>27090</v>
      </c>
      <c r="P2175" s="36" t="s">
        <v>27077</v>
      </c>
    </row>
    <row r="2176" spans="1:16" ht="15" customHeight="1">
      <c r="A2176" s="139">
        <v>2175</v>
      </c>
      <c r="B2176" s="36" t="s">
        <v>27091</v>
      </c>
      <c r="C2176" s="36" t="s">
        <v>27092</v>
      </c>
      <c r="D2176" s="36" t="s">
        <v>27093</v>
      </c>
      <c r="E2176" s="36" t="s">
        <v>27094</v>
      </c>
      <c r="F2176" s="36" t="s">
        <v>27095</v>
      </c>
      <c r="G2176" s="36" t="s">
        <v>27096</v>
      </c>
      <c r="H2176" s="36" t="s">
        <v>27097</v>
      </c>
      <c r="I2176" s="36" t="s">
        <v>27098</v>
      </c>
      <c r="J2176" s="36" t="s">
        <v>27099</v>
      </c>
      <c r="K2176" s="36" t="s">
        <v>27100</v>
      </c>
      <c r="L2176" s="36" t="s">
        <v>27101</v>
      </c>
      <c r="M2176" s="36" t="s">
        <v>27102</v>
      </c>
      <c r="N2176" s="36" t="s">
        <v>27103</v>
      </c>
      <c r="O2176" s="36" t="s">
        <v>27104</v>
      </c>
      <c r="P2176" s="36" t="s">
        <v>27091</v>
      </c>
    </row>
    <row r="2177" spans="1:16" ht="15" customHeight="1">
      <c r="A2177" s="139">
        <v>2176</v>
      </c>
      <c r="B2177" s="36" t="s">
        <v>27105</v>
      </c>
      <c r="C2177" s="36" t="s">
        <v>27106</v>
      </c>
      <c r="D2177" s="36" t="s">
        <v>27107</v>
      </c>
      <c r="E2177" s="36" t="s">
        <v>27108</v>
      </c>
      <c r="J2177" s="36" t="s">
        <v>27109</v>
      </c>
      <c r="L2177" s="36" t="s">
        <v>27110</v>
      </c>
      <c r="M2177" s="36" t="s">
        <v>26930</v>
      </c>
      <c r="N2177" s="36" t="s">
        <v>27111</v>
      </c>
      <c r="P2177" s="36" t="s">
        <v>27105</v>
      </c>
    </row>
    <row r="2178" spans="1:16" ht="15" customHeight="1">
      <c r="A2178" s="139">
        <v>2177</v>
      </c>
      <c r="B2178" s="36" t="s">
        <v>27112</v>
      </c>
      <c r="C2178" s="36" t="s">
        <v>27113</v>
      </c>
      <c r="D2178" s="36" t="s">
        <v>27114</v>
      </c>
      <c r="E2178" s="36" t="s">
        <v>27115</v>
      </c>
      <c r="F2178" s="36" t="s">
        <v>27116</v>
      </c>
      <c r="G2178" s="36" t="s">
        <v>27117</v>
      </c>
      <c r="H2178" s="36" t="s">
        <v>27118</v>
      </c>
      <c r="I2178" s="36" t="s">
        <v>27119</v>
      </c>
      <c r="J2178" s="36" t="s">
        <v>27120</v>
      </c>
      <c r="K2178" s="36" t="s">
        <v>27121</v>
      </c>
      <c r="L2178" s="36" t="s">
        <v>27122</v>
      </c>
      <c r="M2178" s="36" t="s">
        <v>27123</v>
      </c>
      <c r="N2178" s="36" t="s">
        <v>27124</v>
      </c>
      <c r="O2178" s="36" t="s">
        <v>27125</v>
      </c>
      <c r="P2178" s="36" t="s">
        <v>27112</v>
      </c>
    </row>
    <row r="2179" spans="1:16" ht="15" customHeight="1">
      <c r="A2179" s="139">
        <v>2178</v>
      </c>
      <c r="B2179" s="36" t="s">
        <v>27126</v>
      </c>
      <c r="C2179" s="36" t="s">
        <v>27127</v>
      </c>
      <c r="D2179" s="36" t="s">
        <v>27128</v>
      </c>
      <c r="E2179" s="36" t="s">
        <v>27129</v>
      </c>
      <c r="F2179" s="36" t="s">
        <v>27130</v>
      </c>
      <c r="G2179" s="36" t="s">
        <v>27131</v>
      </c>
      <c r="H2179" s="36" t="s">
        <v>27132</v>
      </c>
      <c r="I2179" s="36" t="s">
        <v>27133</v>
      </c>
      <c r="J2179" s="36" t="s">
        <v>27134</v>
      </c>
      <c r="K2179" s="36" t="s">
        <v>27135</v>
      </c>
      <c r="L2179" s="36" t="s">
        <v>27136</v>
      </c>
      <c r="M2179" s="36" t="s">
        <v>27137</v>
      </c>
      <c r="N2179" s="36" t="s">
        <v>27138</v>
      </c>
      <c r="O2179" s="36" t="s">
        <v>27139</v>
      </c>
      <c r="P2179" s="36" t="s">
        <v>27140</v>
      </c>
    </row>
    <row r="2180" spans="1:16" ht="15" customHeight="1">
      <c r="A2180" s="139">
        <v>2179</v>
      </c>
      <c r="B2180" s="36" t="s">
        <v>27141</v>
      </c>
      <c r="C2180" s="36" t="s">
        <v>27142</v>
      </c>
      <c r="D2180" s="36" t="s">
        <v>27143</v>
      </c>
      <c r="E2180" s="36" t="s">
        <v>27144</v>
      </c>
      <c r="F2180" s="36" t="s">
        <v>27145</v>
      </c>
      <c r="G2180" s="36" t="s">
        <v>27146</v>
      </c>
      <c r="H2180" s="36" t="s">
        <v>27147</v>
      </c>
      <c r="I2180" s="36" t="s">
        <v>27148</v>
      </c>
      <c r="J2180" s="36" t="s">
        <v>27149</v>
      </c>
      <c r="K2180" s="36" t="s">
        <v>27150</v>
      </c>
      <c r="L2180" s="36" t="s">
        <v>27151</v>
      </c>
      <c r="M2180" s="36" t="s">
        <v>27152</v>
      </c>
      <c r="N2180" s="36" t="s">
        <v>27153</v>
      </c>
      <c r="O2180" s="36" t="s">
        <v>27154</v>
      </c>
      <c r="P2180" s="36" t="s">
        <v>27141</v>
      </c>
    </row>
    <row r="2181" spans="1:16" ht="15" customHeight="1">
      <c r="A2181" s="139">
        <v>2180</v>
      </c>
      <c r="B2181" s="36" t="s">
        <v>27155</v>
      </c>
      <c r="C2181" s="36" t="s">
        <v>27156</v>
      </c>
      <c r="D2181" s="36" t="s">
        <v>27157</v>
      </c>
      <c r="E2181" s="36" t="s">
        <v>27158</v>
      </c>
      <c r="F2181" s="36" t="s">
        <v>27159</v>
      </c>
      <c r="G2181" s="36" t="s">
        <v>27160</v>
      </c>
      <c r="H2181" s="36" t="s">
        <v>27161</v>
      </c>
      <c r="I2181" s="36" t="s">
        <v>27162</v>
      </c>
      <c r="J2181" s="36" t="s">
        <v>27163</v>
      </c>
      <c r="K2181" s="36" t="s">
        <v>27164</v>
      </c>
      <c r="L2181" s="36" t="s">
        <v>27165</v>
      </c>
      <c r="M2181" s="36" t="s">
        <v>27166</v>
      </c>
      <c r="N2181" s="36" t="s">
        <v>27167</v>
      </c>
      <c r="O2181" s="36" t="s">
        <v>27168</v>
      </c>
      <c r="P2181" s="36" t="s">
        <v>27155</v>
      </c>
    </row>
    <row r="2182" spans="1:16" ht="15" customHeight="1">
      <c r="A2182" s="139">
        <v>2181</v>
      </c>
      <c r="B2182" s="36" t="s">
        <v>27169</v>
      </c>
      <c r="C2182" s="36" t="s">
        <v>27170</v>
      </c>
      <c r="D2182" s="36" t="s">
        <v>27171</v>
      </c>
      <c r="E2182" s="36" t="s">
        <v>27172</v>
      </c>
      <c r="F2182" s="36" t="s">
        <v>27173</v>
      </c>
      <c r="G2182" s="36" t="s">
        <v>27174</v>
      </c>
      <c r="H2182" s="36" t="s">
        <v>27175</v>
      </c>
      <c r="I2182" s="36" t="s">
        <v>27176</v>
      </c>
      <c r="J2182" s="36" t="s">
        <v>27177</v>
      </c>
      <c r="K2182" s="36" t="s">
        <v>27178</v>
      </c>
      <c r="L2182" s="36" t="s">
        <v>27179</v>
      </c>
      <c r="M2182" s="36" t="s">
        <v>27180</v>
      </c>
      <c r="N2182" s="36" t="s">
        <v>27181</v>
      </c>
      <c r="O2182" s="36" t="s">
        <v>27182</v>
      </c>
      <c r="P2182" s="36" t="s">
        <v>27169</v>
      </c>
    </row>
    <row r="2183" spans="1:16" ht="15" customHeight="1">
      <c r="A2183" s="139">
        <v>2182</v>
      </c>
      <c r="B2183" s="36" t="s">
        <v>27183</v>
      </c>
      <c r="C2183" s="36" t="s">
        <v>27184</v>
      </c>
      <c r="D2183" s="36" t="s">
        <v>27185</v>
      </c>
      <c r="E2183" s="36" t="s">
        <v>27186</v>
      </c>
      <c r="F2183" s="36" t="s">
        <v>27187</v>
      </c>
      <c r="G2183" s="36" t="s">
        <v>27188</v>
      </c>
      <c r="H2183" s="36" t="s">
        <v>27189</v>
      </c>
      <c r="I2183" s="36" t="s">
        <v>27190</v>
      </c>
      <c r="J2183" s="36" t="s">
        <v>27191</v>
      </c>
      <c r="K2183" s="36" t="s">
        <v>27192</v>
      </c>
      <c r="L2183" s="36" t="s">
        <v>27193</v>
      </c>
      <c r="M2183" s="36" t="s">
        <v>27194</v>
      </c>
      <c r="N2183" s="36" t="s">
        <v>27195</v>
      </c>
      <c r="O2183" s="36" t="s">
        <v>27196</v>
      </c>
      <c r="P2183" s="36" t="s">
        <v>27183</v>
      </c>
    </row>
    <row r="2184" spans="1:16" ht="15" customHeight="1">
      <c r="A2184" s="139">
        <v>2183</v>
      </c>
      <c r="B2184" s="36" t="s">
        <v>27197</v>
      </c>
      <c r="C2184" s="36" t="s">
        <v>27198</v>
      </c>
      <c r="D2184" s="36" t="s">
        <v>27199</v>
      </c>
      <c r="E2184" s="36" t="s">
        <v>27200</v>
      </c>
      <c r="F2184" s="36" t="s">
        <v>27201</v>
      </c>
      <c r="G2184" s="36" t="s">
        <v>27202</v>
      </c>
      <c r="H2184" s="36" t="s">
        <v>27203</v>
      </c>
      <c r="I2184" s="36" t="s">
        <v>27204</v>
      </c>
      <c r="J2184" s="36" t="s">
        <v>27205</v>
      </c>
      <c r="K2184" s="36" t="s">
        <v>27206</v>
      </c>
      <c r="L2184" s="36" t="s">
        <v>27207</v>
      </c>
      <c r="M2184" s="36" t="s">
        <v>27208</v>
      </c>
      <c r="N2184" s="36" t="s">
        <v>27209</v>
      </c>
      <c r="O2184" s="36" t="s">
        <v>27210</v>
      </c>
      <c r="P2184" s="36" t="s">
        <v>27197</v>
      </c>
    </row>
    <row r="2185" spans="1:16" ht="15" customHeight="1">
      <c r="A2185" s="139">
        <v>2184</v>
      </c>
      <c r="B2185" s="36" t="s">
        <v>27211</v>
      </c>
      <c r="C2185" s="36" t="s">
        <v>27212</v>
      </c>
      <c r="D2185" s="36" t="s">
        <v>27213</v>
      </c>
      <c r="E2185" s="36" t="s">
        <v>27214</v>
      </c>
      <c r="F2185" s="36" t="s">
        <v>27215</v>
      </c>
      <c r="G2185" s="36" t="s">
        <v>27216</v>
      </c>
      <c r="H2185" s="36" t="s">
        <v>27217</v>
      </c>
      <c r="I2185" s="36" t="s">
        <v>27218</v>
      </c>
      <c r="J2185" s="36" t="s">
        <v>27219</v>
      </c>
      <c r="K2185" s="36" t="s">
        <v>27220</v>
      </c>
      <c r="L2185" s="36" t="s">
        <v>27221</v>
      </c>
      <c r="M2185" s="36" t="s">
        <v>27222</v>
      </c>
      <c r="N2185" s="36" t="s">
        <v>27223</v>
      </c>
      <c r="O2185" s="36" t="s">
        <v>27224</v>
      </c>
      <c r="P2185" s="36" t="s">
        <v>27225</v>
      </c>
    </row>
    <row r="2186" spans="1:16" ht="15" customHeight="1">
      <c r="A2186" s="139">
        <v>2185</v>
      </c>
      <c r="B2186" s="36" t="s">
        <v>20151</v>
      </c>
      <c r="C2186" s="36" t="s">
        <v>27226</v>
      </c>
      <c r="D2186" s="36" t="s">
        <v>27227</v>
      </c>
      <c r="E2186" s="36" t="s">
        <v>27228</v>
      </c>
      <c r="P2186" s="36" t="s">
        <v>20151</v>
      </c>
    </row>
    <row r="2187" spans="1:16" ht="15" customHeight="1">
      <c r="A2187" s="139">
        <v>2186</v>
      </c>
      <c r="B2187" s="430" t="s">
        <v>27229</v>
      </c>
      <c r="C2187" s="430" t="s">
        <v>10061</v>
      </c>
      <c r="D2187" s="430" t="s">
        <v>27230</v>
      </c>
      <c r="E2187" s="430" t="s">
        <v>27231</v>
      </c>
      <c r="F2187" s="430" t="s">
        <v>10064</v>
      </c>
      <c r="G2187" s="36" t="s">
        <v>10065</v>
      </c>
      <c r="H2187" s="430" t="s">
        <v>10066</v>
      </c>
      <c r="I2187" s="36" t="s">
        <v>10067</v>
      </c>
      <c r="J2187" s="135" t="s">
        <v>10068</v>
      </c>
      <c r="K2187" s="430" t="s">
        <v>10069</v>
      </c>
      <c r="L2187" s="430" t="s">
        <v>10070</v>
      </c>
      <c r="M2187" s="135" t="s">
        <v>10071</v>
      </c>
      <c r="N2187" s="135" t="s">
        <v>10072</v>
      </c>
      <c r="O2187" s="430" t="s">
        <v>10073</v>
      </c>
      <c r="P2187" s="430" t="s">
        <v>27229</v>
      </c>
    </row>
    <row r="2188" spans="1:16" ht="15" customHeight="1">
      <c r="A2188" s="139">
        <v>2187</v>
      </c>
      <c r="B2188" s="36" t="s">
        <v>27232</v>
      </c>
      <c r="C2188" s="36" t="s">
        <v>10238</v>
      </c>
      <c r="D2188" s="36" t="s">
        <v>27233</v>
      </c>
      <c r="E2188" s="36" t="s">
        <v>27234</v>
      </c>
      <c r="F2188" s="431" t="s">
        <v>27232</v>
      </c>
      <c r="G2188" s="36" t="s">
        <v>27235</v>
      </c>
      <c r="H2188" s="36" t="s">
        <v>27236</v>
      </c>
      <c r="I2188" s="36" t="s">
        <v>27237</v>
      </c>
      <c r="J2188" s="36" t="s">
        <v>27238</v>
      </c>
      <c r="K2188" s="431" t="s">
        <v>27232</v>
      </c>
      <c r="L2188" s="36" t="s">
        <v>27239</v>
      </c>
      <c r="M2188" s="36" t="s">
        <v>27240</v>
      </c>
      <c r="N2188" s="36" t="s">
        <v>27241</v>
      </c>
      <c r="O2188" s="36" t="s">
        <v>27242</v>
      </c>
      <c r="P2188" s="36" t="s">
        <v>27232</v>
      </c>
    </row>
    <row r="2189" spans="1:16">
      <c r="A2189" s="139">
        <v>2188</v>
      </c>
      <c r="B2189" s="36" t="s">
        <v>27243</v>
      </c>
      <c r="C2189" s="36" t="s">
        <v>27244</v>
      </c>
      <c r="D2189" s="36" t="s">
        <v>27245</v>
      </c>
      <c r="E2189" s="36" t="s">
        <v>27246</v>
      </c>
      <c r="F2189" s="36" t="s">
        <v>27247</v>
      </c>
      <c r="G2189" s="36" t="s">
        <v>27248</v>
      </c>
      <c r="H2189" s="430" t="s">
        <v>27249</v>
      </c>
      <c r="I2189" s="36" t="s">
        <v>27250</v>
      </c>
      <c r="J2189" s="1" t="s">
        <v>27251</v>
      </c>
      <c r="K2189" s="430" t="s">
        <v>27252</v>
      </c>
      <c r="L2189" s="36" t="s">
        <v>27253</v>
      </c>
      <c r="M2189" s="1" t="s">
        <v>27254</v>
      </c>
      <c r="N2189" s="1" t="s">
        <v>27255</v>
      </c>
      <c r="O2189" s="36" t="s">
        <v>27256</v>
      </c>
      <c r="P2189" s="36" t="s">
        <v>27243</v>
      </c>
    </row>
    <row r="2190" spans="1:16">
      <c r="A2190" s="139">
        <v>2189</v>
      </c>
      <c r="B2190" s="36" t="s">
        <v>27257</v>
      </c>
      <c r="C2190" s="36" t="s">
        <v>27258</v>
      </c>
      <c r="D2190" s="36" t="s">
        <v>27259</v>
      </c>
      <c r="E2190" s="36" t="s">
        <v>27260</v>
      </c>
      <c r="F2190" s="36" t="s">
        <v>27261</v>
      </c>
      <c r="G2190" s="36" t="s">
        <v>27262</v>
      </c>
      <c r="H2190" s="430" t="s">
        <v>27263</v>
      </c>
      <c r="I2190" s="36" t="s">
        <v>27264</v>
      </c>
      <c r="J2190" s="1" t="s">
        <v>27265</v>
      </c>
      <c r="K2190" s="430" t="s">
        <v>27266</v>
      </c>
      <c r="L2190" s="36" t="s">
        <v>27267</v>
      </c>
      <c r="M2190" s="1" t="s">
        <v>27268</v>
      </c>
      <c r="N2190" s="1" t="s">
        <v>27269</v>
      </c>
      <c r="O2190" s="36" t="s">
        <v>27270</v>
      </c>
      <c r="P2190" s="36" t="s">
        <v>27257</v>
      </c>
    </row>
    <row r="2191" spans="1:16">
      <c r="A2191" s="139">
        <v>2190</v>
      </c>
      <c r="B2191" s="36" t="s">
        <v>27271</v>
      </c>
      <c r="C2191" s="36" t="s">
        <v>12349</v>
      </c>
      <c r="D2191" s="36" t="s">
        <v>27272</v>
      </c>
      <c r="E2191" s="36" t="s">
        <v>27273</v>
      </c>
      <c r="F2191" s="36" t="s">
        <v>12352</v>
      </c>
      <c r="G2191" s="36" t="s">
        <v>12353</v>
      </c>
      <c r="H2191" s="430" t="s">
        <v>12354</v>
      </c>
      <c r="I2191" s="36" t="s">
        <v>12355</v>
      </c>
      <c r="J2191" s="1" t="s">
        <v>12356</v>
      </c>
      <c r="K2191" s="430" t="s">
        <v>12357</v>
      </c>
      <c r="L2191" s="36" t="s">
        <v>12358</v>
      </c>
      <c r="M2191" s="1" t="s">
        <v>12359</v>
      </c>
      <c r="N2191" s="1" t="s">
        <v>12360</v>
      </c>
      <c r="O2191" s="36" t="s">
        <v>27274</v>
      </c>
      <c r="P2191" s="36" t="s">
        <v>27271</v>
      </c>
    </row>
    <row r="2192" spans="1:16">
      <c r="A2192" s="139">
        <v>2191</v>
      </c>
      <c r="B2192" s="36" t="s">
        <v>27275</v>
      </c>
      <c r="C2192" s="36" t="s">
        <v>27276</v>
      </c>
      <c r="D2192" s="36" t="s">
        <v>27277</v>
      </c>
      <c r="E2192" s="36" t="s">
        <v>27278</v>
      </c>
      <c r="F2192" s="36" t="s">
        <v>27279</v>
      </c>
      <c r="G2192" s="36" t="s">
        <v>27280</v>
      </c>
      <c r="H2192" s="430" t="s">
        <v>27281</v>
      </c>
      <c r="I2192" s="36" t="s">
        <v>27282</v>
      </c>
      <c r="J2192" s="1" t="s">
        <v>27283</v>
      </c>
      <c r="K2192" s="430" t="s">
        <v>27284</v>
      </c>
      <c r="L2192" s="36" t="s">
        <v>27285</v>
      </c>
      <c r="M2192" s="1" t="s">
        <v>27286</v>
      </c>
      <c r="N2192" s="1" t="s">
        <v>27287</v>
      </c>
      <c r="O2192" s="36" t="s">
        <v>27288</v>
      </c>
      <c r="P2192" s="36" t="s">
        <v>27289</v>
      </c>
    </row>
    <row r="2193" spans="1:16">
      <c r="A2193" s="139">
        <v>2192</v>
      </c>
      <c r="B2193" s="36" t="s">
        <v>27290</v>
      </c>
      <c r="C2193" s="36" t="s">
        <v>27291</v>
      </c>
      <c r="D2193" s="36" t="s">
        <v>27292</v>
      </c>
      <c r="E2193" s="36" t="s">
        <v>27293</v>
      </c>
      <c r="F2193" s="36" t="s">
        <v>27294</v>
      </c>
      <c r="G2193" s="36" t="s">
        <v>27295</v>
      </c>
      <c r="H2193" s="430" t="s">
        <v>27296</v>
      </c>
      <c r="I2193" s="36" t="s">
        <v>27297</v>
      </c>
      <c r="J2193" s="1" t="s">
        <v>27298</v>
      </c>
      <c r="K2193" s="430" t="s">
        <v>27299</v>
      </c>
      <c r="L2193" s="36" t="s">
        <v>27300</v>
      </c>
      <c r="M2193" s="1" t="s">
        <v>27301</v>
      </c>
      <c r="N2193" s="1" t="s">
        <v>27302</v>
      </c>
      <c r="O2193" s="36" t="s">
        <v>27303</v>
      </c>
      <c r="P2193" s="36" t="s">
        <v>27304</v>
      </c>
    </row>
    <row r="2194" spans="1:16">
      <c r="A2194" s="139">
        <v>2193</v>
      </c>
      <c r="B2194" s="430" t="s">
        <v>27305</v>
      </c>
      <c r="C2194" s="430" t="s">
        <v>3176</v>
      </c>
      <c r="D2194" s="430" t="s">
        <v>27306</v>
      </c>
      <c r="E2194" s="430" t="s">
        <v>27307</v>
      </c>
      <c r="F2194" s="430" t="s">
        <v>3179</v>
      </c>
      <c r="G2194" s="36" t="s">
        <v>3180</v>
      </c>
      <c r="H2194" s="430" t="s">
        <v>3181</v>
      </c>
      <c r="I2194" s="36" t="s">
        <v>3182</v>
      </c>
      <c r="J2194" s="135" t="s">
        <v>3183</v>
      </c>
      <c r="K2194" s="430" t="s">
        <v>3184</v>
      </c>
      <c r="L2194" s="430" t="s">
        <v>3185</v>
      </c>
      <c r="M2194" s="135" t="s">
        <v>3186</v>
      </c>
      <c r="N2194" s="135" t="s">
        <v>3187</v>
      </c>
      <c r="O2194" s="430" t="s">
        <v>27308</v>
      </c>
      <c r="P2194" s="430" t="s">
        <v>27305</v>
      </c>
    </row>
    <row r="2195" spans="1:16">
      <c r="A2195" s="139">
        <v>2194</v>
      </c>
      <c r="B2195" s="430" t="s">
        <v>27309</v>
      </c>
      <c r="C2195" s="430" t="s">
        <v>3190</v>
      </c>
      <c r="D2195" s="430" t="s">
        <v>27310</v>
      </c>
      <c r="E2195" s="430" t="s">
        <v>27311</v>
      </c>
      <c r="F2195" s="430" t="s">
        <v>3193</v>
      </c>
      <c r="G2195" s="36" t="s">
        <v>3194</v>
      </c>
      <c r="H2195" s="430" t="s">
        <v>3195</v>
      </c>
      <c r="I2195" s="36" t="s">
        <v>3196</v>
      </c>
      <c r="J2195" s="135" t="s">
        <v>3197</v>
      </c>
      <c r="K2195" s="430" t="s">
        <v>3198</v>
      </c>
      <c r="L2195" s="430" t="s">
        <v>3199</v>
      </c>
      <c r="M2195" s="135" t="s">
        <v>3200</v>
      </c>
      <c r="N2195" s="135" t="s">
        <v>3201</v>
      </c>
      <c r="O2195" s="430" t="s">
        <v>27312</v>
      </c>
      <c r="P2195" s="430" t="s">
        <v>27309</v>
      </c>
    </row>
    <row r="2196" spans="1:16">
      <c r="A2196" s="139">
        <v>2195</v>
      </c>
      <c r="B2196" s="430" t="s">
        <v>27313</v>
      </c>
      <c r="C2196" s="430" t="s">
        <v>3204</v>
      </c>
      <c r="D2196" s="430" t="s">
        <v>27314</v>
      </c>
      <c r="E2196" s="430" t="s">
        <v>27315</v>
      </c>
      <c r="F2196" s="430" t="s">
        <v>3207</v>
      </c>
      <c r="G2196" s="36" t="s">
        <v>3208</v>
      </c>
      <c r="H2196" s="430" t="s">
        <v>3209</v>
      </c>
      <c r="I2196" s="36" t="s">
        <v>3210</v>
      </c>
      <c r="J2196" s="135" t="s">
        <v>3211</v>
      </c>
      <c r="K2196" s="430" t="s">
        <v>3212</v>
      </c>
      <c r="L2196" s="430" t="s">
        <v>3213</v>
      </c>
      <c r="M2196" s="135" t="s">
        <v>3214</v>
      </c>
      <c r="N2196" s="135" t="s">
        <v>3215</v>
      </c>
      <c r="O2196" s="430" t="s">
        <v>27316</v>
      </c>
      <c r="P2196" s="430" t="s">
        <v>27313</v>
      </c>
    </row>
    <row r="2197" spans="1:16">
      <c r="A2197" s="139">
        <v>2196</v>
      </c>
      <c r="B2197" s="430" t="s">
        <v>27317</v>
      </c>
      <c r="C2197" s="430" t="s">
        <v>9213</v>
      </c>
      <c r="D2197" s="430" t="s">
        <v>27318</v>
      </c>
      <c r="E2197" s="430" t="s">
        <v>9215</v>
      </c>
      <c r="F2197" s="430" t="s">
        <v>9216</v>
      </c>
      <c r="G2197" s="36" t="s">
        <v>9217</v>
      </c>
      <c r="H2197" s="430" t="s">
        <v>9218</v>
      </c>
      <c r="I2197" s="36" t="s">
        <v>9219</v>
      </c>
      <c r="J2197" s="135" t="s">
        <v>9220</v>
      </c>
      <c r="K2197" s="430" t="s">
        <v>9221</v>
      </c>
      <c r="L2197" s="430" t="s">
        <v>9222</v>
      </c>
      <c r="M2197" s="135" t="s">
        <v>9223</v>
      </c>
      <c r="N2197" s="135" t="s">
        <v>9224</v>
      </c>
      <c r="O2197" s="430" t="s">
        <v>27319</v>
      </c>
      <c r="P2197" s="430" t="s">
        <v>27317</v>
      </c>
    </row>
    <row r="2198" spans="1:16">
      <c r="A2198" s="139">
        <v>2197</v>
      </c>
      <c r="B2198" s="430" t="s">
        <v>27320</v>
      </c>
      <c r="C2198" s="430" t="s">
        <v>9241</v>
      </c>
      <c r="D2198" s="430" t="s">
        <v>27321</v>
      </c>
      <c r="E2198" s="430" t="s">
        <v>9243</v>
      </c>
      <c r="F2198" s="430" t="s">
        <v>9244</v>
      </c>
      <c r="G2198" s="36" t="s">
        <v>9245</v>
      </c>
      <c r="H2198" s="430" t="s">
        <v>9246</v>
      </c>
      <c r="I2198" s="36" t="s">
        <v>9247</v>
      </c>
      <c r="J2198" s="135" t="s">
        <v>9248</v>
      </c>
      <c r="K2198" s="430" t="s">
        <v>9249</v>
      </c>
      <c r="L2198" s="430" t="s">
        <v>9250</v>
      </c>
      <c r="M2198" s="135" t="s">
        <v>9251</v>
      </c>
      <c r="N2198" s="135" t="s">
        <v>9252</v>
      </c>
      <c r="O2198" s="430" t="s">
        <v>27322</v>
      </c>
      <c r="P2198" s="430" t="s">
        <v>27320</v>
      </c>
    </row>
    <row r="2199" spans="1:16">
      <c r="A2199" s="139">
        <v>2198</v>
      </c>
      <c r="B2199" s="430" t="s">
        <v>27323</v>
      </c>
      <c r="C2199" s="430" t="s">
        <v>9227</v>
      </c>
      <c r="D2199" s="430" t="s">
        <v>27324</v>
      </c>
      <c r="E2199" s="430" t="s">
        <v>9229</v>
      </c>
      <c r="F2199" s="430" t="s">
        <v>9230</v>
      </c>
      <c r="G2199" s="36" t="s">
        <v>9231</v>
      </c>
      <c r="H2199" s="430" t="s">
        <v>9232</v>
      </c>
      <c r="I2199" s="36" t="s">
        <v>9233</v>
      </c>
      <c r="J2199" s="135" t="s">
        <v>9234</v>
      </c>
      <c r="K2199" s="430" t="s">
        <v>9235</v>
      </c>
      <c r="L2199" s="430" t="s">
        <v>9236</v>
      </c>
      <c r="M2199" s="135" t="s">
        <v>9237</v>
      </c>
      <c r="N2199" s="135" t="s">
        <v>9238</v>
      </c>
      <c r="O2199" s="430" t="s">
        <v>27325</v>
      </c>
      <c r="P2199" s="430" t="s">
        <v>27323</v>
      </c>
    </row>
    <row r="2200" spans="1:16">
      <c r="A2200" s="139">
        <v>2199</v>
      </c>
      <c r="B2200" s="430" t="s">
        <v>3065</v>
      </c>
      <c r="C2200" s="430" t="s">
        <v>3064</v>
      </c>
      <c r="D2200" s="430" t="s">
        <v>3064</v>
      </c>
      <c r="E2200" s="430" t="s">
        <v>3065</v>
      </c>
      <c r="F2200" s="430" t="s">
        <v>3065</v>
      </c>
      <c r="G2200" s="36" t="s">
        <v>3064</v>
      </c>
      <c r="H2200" s="430" t="s">
        <v>3065</v>
      </c>
      <c r="I2200" s="36" t="s">
        <v>3067</v>
      </c>
      <c r="J2200" s="135" t="s">
        <v>3067</v>
      </c>
      <c r="K2200" s="430" t="s">
        <v>3065</v>
      </c>
      <c r="L2200" s="430" t="s">
        <v>3068</v>
      </c>
      <c r="M2200" s="135" t="s">
        <v>3065</v>
      </c>
      <c r="N2200" s="135" t="s">
        <v>3069</v>
      </c>
      <c r="O2200" s="430" t="s">
        <v>3065</v>
      </c>
      <c r="P2200" s="430" t="s">
        <v>3065</v>
      </c>
    </row>
    <row r="2201" spans="1:16">
      <c r="A2201" s="139">
        <v>2200</v>
      </c>
      <c r="B2201" s="430" t="s">
        <v>3072</v>
      </c>
      <c r="C2201" s="430" t="s">
        <v>3071</v>
      </c>
      <c r="D2201" s="430" t="s">
        <v>3071</v>
      </c>
      <c r="E2201" s="430" t="s">
        <v>3072</v>
      </c>
      <c r="F2201" s="430" t="s">
        <v>3072</v>
      </c>
      <c r="G2201" s="36" t="s">
        <v>3071</v>
      </c>
      <c r="H2201" s="430" t="s">
        <v>3072</v>
      </c>
      <c r="I2201" s="36" t="s">
        <v>3074</v>
      </c>
      <c r="J2201" s="135" t="s">
        <v>3074</v>
      </c>
      <c r="K2201" s="430" t="s">
        <v>3072</v>
      </c>
      <c r="L2201" s="430" t="s">
        <v>3075</v>
      </c>
      <c r="M2201" s="135" t="s">
        <v>3072</v>
      </c>
      <c r="N2201" s="135" t="s">
        <v>3076</v>
      </c>
      <c r="O2201" s="430" t="s">
        <v>3072</v>
      </c>
      <c r="P2201" s="430" t="s">
        <v>3072</v>
      </c>
    </row>
    <row r="2202" spans="1:16">
      <c r="A2202" s="139">
        <v>2201</v>
      </c>
      <c r="B2202" s="430" t="s">
        <v>27326</v>
      </c>
      <c r="C2202" s="430" t="s">
        <v>2414</v>
      </c>
      <c r="D2202" s="430" t="s">
        <v>27327</v>
      </c>
      <c r="E2202" s="430" t="s">
        <v>2416</v>
      </c>
      <c r="F2202" s="430" t="s">
        <v>2417</v>
      </c>
      <c r="G2202" s="36" t="s">
        <v>2418</v>
      </c>
      <c r="H2202" s="430" t="s">
        <v>2419</v>
      </c>
      <c r="I2202" s="36" t="s">
        <v>2420</v>
      </c>
      <c r="J2202" s="135" t="s">
        <v>2421</v>
      </c>
      <c r="K2202" s="430" t="s">
        <v>2422</v>
      </c>
      <c r="L2202" s="430" t="s">
        <v>2423</v>
      </c>
      <c r="M2202" s="135" t="s">
        <v>2424</v>
      </c>
      <c r="N2202" s="135" t="s">
        <v>2424</v>
      </c>
      <c r="O2202" s="430" t="s">
        <v>27328</v>
      </c>
      <c r="P2202" s="430" t="s">
        <v>27326</v>
      </c>
    </row>
    <row r="2203" spans="1:16">
      <c r="A2203" s="139">
        <v>2202</v>
      </c>
      <c r="B2203" s="430" t="s">
        <v>100</v>
      </c>
      <c r="C2203" s="430" t="s">
        <v>2427</v>
      </c>
      <c r="D2203" s="430" t="s">
        <v>27329</v>
      </c>
      <c r="E2203" s="430" t="s">
        <v>2429</v>
      </c>
      <c r="F2203" s="430" t="s">
        <v>2430</v>
      </c>
      <c r="G2203" s="36" t="s">
        <v>2431</v>
      </c>
      <c r="H2203" s="430" t="s">
        <v>2432</v>
      </c>
      <c r="I2203" s="36" t="s">
        <v>2433</v>
      </c>
      <c r="J2203" s="135" t="s">
        <v>2434</v>
      </c>
      <c r="K2203" s="430" t="s">
        <v>2435</v>
      </c>
      <c r="L2203" s="430" t="s">
        <v>2436</v>
      </c>
      <c r="M2203" s="135" t="s">
        <v>2437</v>
      </c>
      <c r="N2203" s="135" t="s">
        <v>2437</v>
      </c>
      <c r="O2203" s="430" t="s">
        <v>27330</v>
      </c>
      <c r="P2203" s="430" t="s">
        <v>100</v>
      </c>
    </row>
    <row r="2204" spans="1:16">
      <c r="A2204" s="139">
        <v>2203</v>
      </c>
      <c r="B2204" s="430" t="s">
        <v>101</v>
      </c>
      <c r="C2204" s="430" t="s">
        <v>2440</v>
      </c>
      <c r="D2204" s="430" t="s">
        <v>27331</v>
      </c>
      <c r="E2204" s="430" t="s">
        <v>2442</v>
      </c>
      <c r="F2204" s="430" t="s">
        <v>2443</v>
      </c>
      <c r="G2204" s="36" t="s">
        <v>2444</v>
      </c>
      <c r="H2204" s="430" t="s">
        <v>2445</v>
      </c>
      <c r="I2204" s="36" t="s">
        <v>2446</v>
      </c>
      <c r="J2204" s="135" t="s">
        <v>2447</v>
      </c>
      <c r="K2204" s="430" t="s">
        <v>2448</v>
      </c>
      <c r="L2204" s="430" t="s">
        <v>2449</v>
      </c>
      <c r="M2204" s="135" t="s">
        <v>2450</v>
      </c>
      <c r="N2204" s="135" t="s">
        <v>2450</v>
      </c>
      <c r="O2204" s="430" t="s">
        <v>27332</v>
      </c>
      <c r="P2204" s="430" t="s">
        <v>101</v>
      </c>
    </row>
    <row r="2205" spans="1:16" ht="13.95" customHeight="1">
      <c r="A2205" s="139">
        <v>2204</v>
      </c>
      <c r="B2205" s="430" t="s">
        <v>27333</v>
      </c>
      <c r="C2205" s="430" t="s">
        <v>2453</v>
      </c>
      <c r="D2205" s="430" t="s">
        <v>27334</v>
      </c>
      <c r="E2205" s="430" t="s">
        <v>2455</v>
      </c>
      <c r="F2205" s="430" t="s">
        <v>2456</v>
      </c>
      <c r="G2205" s="36" t="s">
        <v>2457</v>
      </c>
      <c r="H2205" s="430" t="s">
        <v>2458</v>
      </c>
      <c r="I2205" s="36" t="s">
        <v>2459</v>
      </c>
      <c r="J2205" s="135" t="s">
        <v>2460</v>
      </c>
      <c r="K2205" s="430" t="s">
        <v>2461</v>
      </c>
      <c r="L2205" s="430" t="s">
        <v>2462</v>
      </c>
      <c r="M2205" s="135" t="s">
        <v>2463</v>
      </c>
      <c r="N2205" s="135" t="s">
        <v>2463</v>
      </c>
      <c r="O2205" s="430" t="s">
        <v>27335</v>
      </c>
      <c r="P2205" s="430" t="s">
        <v>27333</v>
      </c>
    </row>
    <row r="2206" spans="1:16">
      <c r="A2206" s="139">
        <v>2205</v>
      </c>
      <c r="B2206" s="430" t="s">
        <v>2606</v>
      </c>
      <c r="C2206" s="430" t="s">
        <v>2605</v>
      </c>
      <c r="D2206" s="430" t="s">
        <v>27336</v>
      </c>
      <c r="E2206" s="430" t="s">
        <v>2606</v>
      </c>
      <c r="F2206" s="430" t="s">
        <v>2606</v>
      </c>
      <c r="G2206" s="36" t="s">
        <v>2605</v>
      </c>
      <c r="H2206" s="430" t="s">
        <v>2606</v>
      </c>
      <c r="I2206" s="36" t="s">
        <v>2606</v>
      </c>
      <c r="J2206" s="135" t="s">
        <v>2606</v>
      </c>
      <c r="K2206" s="430" t="s">
        <v>2606</v>
      </c>
      <c r="L2206" s="430" t="s">
        <v>2606</v>
      </c>
      <c r="M2206" s="135" t="s">
        <v>2606</v>
      </c>
      <c r="N2206" s="135" t="s">
        <v>2607</v>
      </c>
      <c r="O2206" s="430" t="s">
        <v>2606</v>
      </c>
      <c r="P2206" s="430" t="s">
        <v>2606</v>
      </c>
    </row>
    <row r="2207" spans="1:16">
      <c r="A2207" s="139">
        <v>2206</v>
      </c>
      <c r="B2207" s="430" t="s">
        <v>2610</v>
      </c>
      <c r="C2207" s="430" t="s">
        <v>2609</v>
      </c>
      <c r="D2207" s="430" t="s">
        <v>27337</v>
      </c>
      <c r="E2207" s="430" t="s">
        <v>2610</v>
      </c>
      <c r="F2207" s="430" t="s">
        <v>2610</v>
      </c>
      <c r="G2207" s="36" t="s">
        <v>2609</v>
      </c>
      <c r="H2207" s="430" t="s">
        <v>2610</v>
      </c>
      <c r="I2207" s="36" t="s">
        <v>2610</v>
      </c>
      <c r="J2207" s="135" t="s">
        <v>2610</v>
      </c>
      <c r="K2207" s="430" t="s">
        <v>2610</v>
      </c>
      <c r="L2207" s="430" t="s">
        <v>2610</v>
      </c>
      <c r="M2207" s="135" t="s">
        <v>2610</v>
      </c>
      <c r="N2207" s="135" t="s">
        <v>2611</v>
      </c>
      <c r="O2207" s="430" t="s">
        <v>2610</v>
      </c>
      <c r="P2207" s="430" t="s">
        <v>2610</v>
      </c>
    </row>
    <row r="2208" spans="1:16">
      <c r="A2208" s="139">
        <v>2207</v>
      </c>
      <c r="B2208" s="430" t="s">
        <v>2601</v>
      </c>
      <c r="C2208" s="430" t="s">
        <v>2599</v>
      </c>
      <c r="D2208" s="430" t="s">
        <v>27338</v>
      </c>
      <c r="E2208" s="430" t="s">
        <v>2601</v>
      </c>
      <c r="F2208" s="430" t="s">
        <v>2601</v>
      </c>
      <c r="G2208" s="36" t="s">
        <v>2599</v>
      </c>
      <c r="H2208" s="430" t="s">
        <v>2601</v>
      </c>
      <c r="I2208" s="36" t="s">
        <v>2601</v>
      </c>
      <c r="J2208" s="135" t="s">
        <v>2602</v>
      </c>
      <c r="K2208" s="430" t="s">
        <v>2601</v>
      </c>
      <c r="L2208" s="430" t="s">
        <v>2601</v>
      </c>
      <c r="M2208" s="135" t="s">
        <v>2601</v>
      </c>
      <c r="N2208" s="135" t="s">
        <v>2603</v>
      </c>
      <c r="O2208" s="430" t="s">
        <v>2601</v>
      </c>
      <c r="P2208" s="430" t="s">
        <v>2601</v>
      </c>
    </row>
    <row r="2209" spans="1:16">
      <c r="A2209" s="139">
        <v>2208</v>
      </c>
      <c r="B2209" s="36" t="s">
        <v>1555</v>
      </c>
      <c r="C2209" s="36" t="s">
        <v>1555</v>
      </c>
      <c r="D2209" s="36" t="s">
        <v>1555</v>
      </c>
      <c r="E2209" s="36" t="s">
        <v>1555</v>
      </c>
      <c r="F2209" s="431" t="s">
        <v>1555</v>
      </c>
      <c r="G2209" s="36" t="s">
        <v>1555</v>
      </c>
      <c r="H2209" s="36" t="s">
        <v>1555</v>
      </c>
      <c r="I2209" s="36" t="s">
        <v>1555</v>
      </c>
      <c r="J2209" s="36" t="s">
        <v>1555</v>
      </c>
      <c r="K2209" s="431" t="s">
        <v>1555</v>
      </c>
      <c r="L2209" s="36" t="s">
        <v>1555</v>
      </c>
      <c r="M2209" s="36" t="s">
        <v>1555</v>
      </c>
      <c r="N2209" s="36" t="s">
        <v>1555</v>
      </c>
      <c r="O2209" s="36" t="s">
        <v>1555</v>
      </c>
      <c r="P2209" s="36" t="s">
        <v>1555</v>
      </c>
    </row>
    <row r="2210" spans="1:16" ht="13.95" customHeight="1">
      <c r="A2210" s="139">
        <v>2209</v>
      </c>
      <c r="B2210" s="36" t="s">
        <v>1556</v>
      </c>
      <c r="C2210" s="36" t="s">
        <v>2831</v>
      </c>
      <c r="D2210" s="36" t="s">
        <v>27339</v>
      </c>
      <c r="E2210" s="36" t="s">
        <v>1548</v>
      </c>
      <c r="F2210" s="36" t="s">
        <v>1556</v>
      </c>
      <c r="G2210" s="36" t="s">
        <v>2831</v>
      </c>
      <c r="H2210" s="36" t="s">
        <v>1556</v>
      </c>
      <c r="I2210" s="36" t="s">
        <v>1556</v>
      </c>
      <c r="J2210" s="67" t="s">
        <v>2833</v>
      </c>
      <c r="K2210" s="36" t="s">
        <v>1556</v>
      </c>
      <c r="L2210" s="36" t="s">
        <v>1556</v>
      </c>
      <c r="M2210" s="67" t="s">
        <v>1556</v>
      </c>
      <c r="N2210" s="67" t="s">
        <v>2834</v>
      </c>
      <c r="O2210" s="36" t="s">
        <v>1556</v>
      </c>
      <c r="P2210" s="36" t="s">
        <v>1556</v>
      </c>
    </row>
    <row r="2211" spans="1:16" ht="13.95" customHeight="1">
      <c r="A2211" s="139">
        <v>2210</v>
      </c>
      <c r="B2211" s="36" t="s">
        <v>1554</v>
      </c>
      <c r="C2211" s="36" t="s">
        <v>3234</v>
      </c>
      <c r="D2211" s="36" t="s">
        <v>27340</v>
      </c>
      <c r="E2211" s="36" t="s">
        <v>1554</v>
      </c>
      <c r="F2211" s="36" t="s">
        <v>1554</v>
      </c>
      <c r="G2211" s="36" t="s">
        <v>3234</v>
      </c>
      <c r="H2211" s="36" t="s">
        <v>1554</v>
      </c>
      <c r="I2211" s="36" t="s">
        <v>1554</v>
      </c>
      <c r="J2211" s="67" t="s">
        <v>3236</v>
      </c>
      <c r="K2211" s="36" t="s">
        <v>1554</v>
      </c>
      <c r="L2211" s="36" t="s">
        <v>1554</v>
      </c>
      <c r="M2211" s="67" t="s">
        <v>1554</v>
      </c>
      <c r="N2211" s="67" t="s">
        <v>3237</v>
      </c>
      <c r="O2211" s="36" t="s">
        <v>1554</v>
      </c>
      <c r="P2211" s="36" t="s">
        <v>1554</v>
      </c>
    </row>
    <row r="2212" spans="1:16" ht="13.95" customHeight="1">
      <c r="A2212" s="139">
        <v>2211</v>
      </c>
      <c r="B2212" s="36" t="s">
        <v>3156</v>
      </c>
      <c r="C2212" s="36" t="s">
        <v>3156</v>
      </c>
      <c r="D2212" s="36" t="s">
        <v>3156</v>
      </c>
      <c r="E2212" s="36" t="s">
        <v>3157</v>
      </c>
      <c r="F2212" s="36" t="s">
        <v>3157</v>
      </c>
      <c r="G2212" s="36" t="s">
        <v>3156</v>
      </c>
      <c r="H2212" s="36" t="s">
        <v>3156</v>
      </c>
      <c r="I2212" s="36" t="s">
        <v>3156</v>
      </c>
      <c r="J2212" s="67" t="s">
        <v>3156</v>
      </c>
      <c r="K2212" s="36" t="s">
        <v>3157</v>
      </c>
      <c r="L2212" s="36" t="s">
        <v>3156</v>
      </c>
      <c r="M2212" s="67" t="s">
        <v>3156</v>
      </c>
      <c r="N2212" s="67" t="s">
        <v>3156</v>
      </c>
      <c r="O2212" s="36" t="s">
        <v>3156</v>
      </c>
      <c r="P2212" s="36" t="s">
        <v>3156</v>
      </c>
    </row>
    <row r="2213" spans="1:16" ht="13.95" customHeight="1">
      <c r="A2213" s="139">
        <v>2212</v>
      </c>
      <c r="B2213" s="36" t="s">
        <v>3269</v>
      </c>
      <c r="C2213" s="36" t="s">
        <v>3269</v>
      </c>
      <c r="D2213" s="36" t="s">
        <v>3269</v>
      </c>
      <c r="E2213" s="36" t="s">
        <v>3270</v>
      </c>
      <c r="F2213" s="36" t="s">
        <v>3270</v>
      </c>
      <c r="G2213" s="36" t="s">
        <v>3269</v>
      </c>
      <c r="H2213" s="36" t="s">
        <v>3269</v>
      </c>
      <c r="I2213" s="36" t="s">
        <v>3269</v>
      </c>
      <c r="J2213" s="67" t="s">
        <v>3269</v>
      </c>
      <c r="K2213" s="36" t="s">
        <v>3270</v>
      </c>
      <c r="L2213" s="36" t="s">
        <v>3269</v>
      </c>
      <c r="M2213" s="67" t="s">
        <v>3269</v>
      </c>
      <c r="N2213" s="67" t="s">
        <v>3269</v>
      </c>
      <c r="O2213" s="36" t="s">
        <v>3269</v>
      </c>
      <c r="P2213" s="36" t="s">
        <v>3269</v>
      </c>
    </row>
    <row r="2214" spans="1:16" ht="13.95" customHeight="1">
      <c r="A2214" s="139">
        <v>2213</v>
      </c>
      <c r="B2214" s="36" t="s">
        <v>3377</v>
      </c>
      <c r="C2214" s="36" t="s">
        <v>3377</v>
      </c>
      <c r="D2214" s="36" t="s">
        <v>3377</v>
      </c>
      <c r="E2214" s="36" t="s">
        <v>3378</v>
      </c>
      <c r="F2214" s="36" t="s">
        <v>3378</v>
      </c>
      <c r="G2214" s="36" t="s">
        <v>3377</v>
      </c>
      <c r="H2214" s="36" t="s">
        <v>3377</v>
      </c>
      <c r="I2214" s="36" t="s">
        <v>3377</v>
      </c>
      <c r="J2214" s="67" t="s">
        <v>3377</v>
      </c>
      <c r="K2214" s="36" t="s">
        <v>3378</v>
      </c>
      <c r="L2214" s="36" t="s">
        <v>3377</v>
      </c>
      <c r="M2214" s="67" t="s">
        <v>3377</v>
      </c>
      <c r="N2214" s="67" t="s">
        <v>3377</v>
      </c>
      <c r="O2214" s="36" t="s">
        <v>3377</v>
      </c>
      <c r="P2214" s="36" t="s">
        <v>3377</v>
      </c>
    </row>
    <row r="2215" spans="1:16" ht="13.95" customHeight="1">
      <c r="A2215" s="139">
        <v>2214</v>
      </c>
      <c r="B2215" s="36" t="s">
        <v>3529</v>
      </c>
      <c r="C2215" s="36" t="s">
        <v>3529</v>
      </c>
      <c r="D2215" s="36" t="s">
        <v>3529</v>
      </c>
      <c r="E2215" s="36" t="s">
        <v>3530</v>
      </c>
      <c r="F2215" s="36" t="s">
        <v>3530</v>
      </c>
      <c r="G2215" s="36" t="s">
        <v>3529</v>
      </c>
      <c r="H2215" s="36" t="s">
        <v>3529</v>
      </c>
      <c r="I2215" s="36" t="s">
        <v>3529</v>
      </c>
      <c r="J2215" s="67" t="s">
        <v>3529</v>
      </c>
      <c r="K2215" s="36" t="s">
        <v>3530</v>
      </c>
      <c r="L2215" s="36" t="s">
        <v>3529</v>
      </c>
      <c r="M2215" s="67" t="s">
        <v>3529</v>
      </c>
      <c r="N2215" s="67" t="s">
        <v>3529</v>
      </c>
      <c r="O2215" s="36" t="s">
        <v>3529</v>
      </c>
      <c r="P2215" s="36" t="s">
        <v>3529</v>
      </c>
    </row>
    <row r="2216" spans="1:16" ht="13.95" customHeight="1">
      <c r="A2216" s="139">
        <v>2215</v>
      </c>
      <c r="B2216" s="36" t="s">
        <v>3579</v>
      </c>
      <c r="C2216" s="36" t="s">
        <v>3575</v>
      </c>
      <c r="D2216" s="36" t="s">
        <v>27341</v>
      </c>
      <c r="E2216" s="36" t="s">
        <v>3577</v>
      </c>
      <c r="F2216" s="36" t="s">
        <v>3578</v>
      </c>
      <c r="G2216" s="36" t="s">
        <v>3575</v>
      </c>
      <c r="H2216" s="36" t="s">
        <v>3579</v>
      </c>
      <c r="I2216" s="36" t="s">
        <v>3579</v>
      </c>
      <c r="J2216" s="67" t="s">
        <v>3581</v>
      </c>
      <c r="K2216" s="36" t="s">
        <v>3578</v>
      </c>
      <c r="L2216" s="36" t="s">
        <v>3579</v>
      </c>
      <c r="M2216" s="67" t="s">
        <v>3579</v>
      </c>
      <c r="N2216" s="67" t="s">
        <v>3582</v>
      </c>
      <c r="O2216" s="36" t="s">
        <v>3579</v>
      </c>
      <c r="P2216" s="36" t="s">
        <v>3579</v>
      </c>
    </row>
    <row r="2217" spans="1:16" ht="15" customHeight="1">
      <c r="A2217" s="139">
        <v>2216</v>
      </c>
      <c r="B2217" s="36" t="s">
        <v>2898</v>
      </c>
      <c r="C2217" s="36" t="s">
        <v>2897</v>
      </c>
      <c r="D2217" s="36" t="s">
        <v>27342</v>
      </c>
      <c r="E2217" s="36" t="s">
        <v>2895</v>
      </c>
      <c r="F2217" s="36" t="s">
        <v>2896</v>
      </c>
      <c r="G2217" s="36" t="s">
        <v>2897</v>
      </c>
      <c r="H2217" s="36" t="s">
        <v>2898</v>
      </c>
      <c r="I2217" s="36" t="s">
        <v>2898</v>
      </c>
      <c r="J2217" s="67" t="s">
        <v>2900</v>
      </c>
      <c r="K2217" s="36" t="s">
        <v>2896</v>
      </c>
      <c r="L2217" s="36" t="s">
        <v>2898</v>
      </c>
      <c r="M2217" s="67" t="s">
        <v>2898</v>
      </c>
      <c r="N2217" s="67" t="s">
        <v>2901</v>
      </c>
      <c r="O2217" s="36" t="s">
        <v>2898</v>
      </c>
      <c r="P2217" s="36" t="s">
        <v>2898</v>
      </c>
    </row>
    <row r="2218" spans="1:16" ht="15" customHeight="1">
      <c r="A2218" s="139">
        <v>2217</v>
      </c>
      <c r="B2218" s="36" t="s">
        <v>2909</v>
      </c>
      <c r="C2218" s="36" t="s">
        <v>2908</v>
      </c>
      <c r="D2218" s="36" t="s">
        <v>27343</v>
      </c>
      <c r="E2218" s="36" t="s">
        <v>2906</v>
      </c>
      <c r="F2218" s="36" t="s">
        <v>2907</v>
      </c>
      <c r="G2218" s="36" t="s">
        <v>2908</v>
      </c>
      <c r="H2218" s="36" t="s">
        <v>2909</v>
      </c>
      <c r="I2218" s="36" t="s">
        <v>2909</v>
      </c>
      <c r="J2218" s="67" t="s">
        <v>2911</v>
      </c>
      <c r="K2218" s="36" t="s">
        <v>2907</v>
      </c>
      <c r="L2218" s="36" t="s">
        <v>2912</v>
      </c>
      <c r="M2218" s="67" t="s">
        <v>2909</v>
      </c>
      <c r="N2218" s="67" t="s">
        <v>2913</v>
      </c>
      <c r="O2218" s="36" t="s">
        <v>2909</v>
      </c>
      <c r="P2218" s="36" t="s">
        <v>2909</v>
      </c>
    </row>
    <row r="2219" spans="1:16" ht="15" customHeight="1">
      <c r="A2219" s="139">
        <v>2218</v>
      </c>
      <c r="B2219" s="122" t="s">
        <v>27344</v>
      </c>
      <c r="C2219" s="36" t="s">
        <v>27345</v>
      </c>
      <c r="D2219" s="36" t="s">
        <v>27346</v>
      </c>
      <c r="E2219" s="122" t="s">
        <v>27347</v>
      </c>
      <c r="F2219" s="122" t="s">
        <v>27348</v>
      </c>
      <c r="G2219" s="36" t="s">
        <v>27349</v>
      </c>
      <c r="H2219" s="122" t="s">
        <v>27350</v>
      </c>
      <c r="I2219" s="122" t="s">
        <v>27351</v>
      </c>
      <c r="J2219" s="66" t="s">
        <v>7346</v>
      </c>
      <c r="K2219" s="36" t="s">
        <v>27352</v>
      </c>
      <c r="L2219" s="36" t="s">
        <v>27353</v>
      </c>
      <c r="M2219" s="66" t="s">
        <v>27354</v>
      </c>
      <c r="N2219" s="66" t="s">
        <v>27355</v>
      </c>
      <c r="O2219" s="122" t="s">
        <v>27356</v>
      </c>
      <c r="P2219" s="122" t="s">
        <v>27344</v>
      </c>
    </row>
    <row r="2220" spans="1:16" ht="15" customHeight="1">
      <c r="A2220" s="139">
        <v>2219</v>
      </c>
      <c r="B2220" s="122" t="s">
        <v>27357</v>
      </c>
      <c r="C2220" s="36" t="s">
        <v>27358</v>
      </c>
      <c r="D2220" s="36" t="s">
        <v>27359</v>
      </c>
      <c r="E2220" s="122" t="s">
        <v>27360</v>
      </c>
      <c r="F2220" s="122" t="s">
        <v>27361</v>
      </c>
      <c r="G2220" s="36" t="s">
        <v>27362</v>
      </c>
      <c r="H2220" s="122" t="s">
        <v>27363</v>
      </c>
      <c r="I2220" s="122" t="s">
        <v>27364</v>
      </c>
      <c r="J2220" s="66" t="s">
        <v>7346</v>
      </c>
      <c r="K2220" s="36" t="s">
        <v>27365</v>
      </c>
      <c r="L2220" s="36" t="s">
        <v>27366</v>
      </c>
      <c r="M2220" s="66" t="s">
        <v>27367</v>
      </c>
      <c r="N2220" s="66" t="s">
        <v>27368</v>
      </c>
      <c r="O2220" s="122" t="s">
        <v>27369</v>
      </c>
      <c r="P2220" s="122" t="s">
        <v>27357</v>
      </c>
    </row>
    <row r="2221" spans="1:16" ht="15" customHeight="1">
      <c r="A2221" s="139">
        <v>2220</v>
      </c>
      <c r="B2221" s="122" t="s">
        <v>27370</v>
      </c>
      <c r="C2221" s="36" t="s">
        <v>27371</v>
      </c>
      <c r="D2221" s="36" t="s">
        <v>27372</v>
      </c>
      <c r="E2221" s="122" t="s">
        <v>27373</v>
      </c>
      <c r="F2221" s="122" t="s">
        <v>27374</v>
      </c>
      <c r="G2221" s="36" t="s">
        <v>27375</v>
      </c>
      <c r="H2221" s="122" t="s">
        <v>27376</v>
      </c>
      <c r="I2221" s="122" t="s">
        <v>27377</v>
      </c>
      <c r="J2221" s="66" t="s">
        <v>7346</v>
      </c>
      <c r="K2221" s="36" t="s">
        <v>27378</v>
      </c>
      <c r="L2221" s="36" t="s">
        <v>27379</v>
      </c>
      <c r="M2221" s="66" t="s">
        <v>27380</v>
      </c>
      <c r="N2221" s="66" t="s">
        <v>27381</v>
      </c>
      <c r="O2221" s="122" t="s">
        <v>27382</v>
      </c>
      <c r="P2221" s="122" t="s">
        <v>27370</v>
      </c>
    </row>
    <row r="2222" spans="1:16" ht="15" customHeight="1">
      <c r="A2222" s="139">
        <v>2221</v>
      </c>
      <c r="B2222" s="122" t="s">
        <v>27383</v>
      </c>
      <c r="C2222" s="36" t="s">
        <v>27384</v>
      </c>
      <c r="D2222" s="36" t="s">
        <v>27385</v>
      </c>
      <c r="E2222" s="122" t="s">
        <v>27386</v>
      </c>
      <c r="F2222" s="122" t="s">
        <v>27387</v>
      </c>
      <c r="G2222" s="36" t="s">
        <v>27388</v>
      </c>
      <c r="H2222" s="122" t="s">
        <v>27389</v>
      </c>
      <c r="I2222" s="122" t="s">
        <v>27390</v>
      </c>
      <c r="J2222" s="66" t="s">
        <v>7346</v>
      </c>
      <c r="K2222" s="36" t="s">
        <v>27391</v>
      </c>
      <c r="L2222" s="36" t="s">
        <v>27392</v>
      </c>
      <c r="M2222" s="66" t="s">
        <v>27393</v>
      </c>
      <c r="N2222" s="66" t="s">
        <v>27394</v>
      </c>
      <c r="O2222" s="122" t="s">
        <v>27395</v>
      </c>
      <c r="P2222" s="122" t="s">
        <v>27383</v>
      </c>
    </row>
    <row r="2223" spans="1:16" ht="15" customHeight="1">
      <c r="A2223" s="139">
        <v>2222</v>
      </c>
      <c r="B2223" s="122" t="s">
        <v>27396</v>
      </c>
      <c r="C2223" s="36" t="s">
        <v>27397</v>
      </c>
      <c r="D2223" s="36" t="s">
        <v>27398</v>
      </c>
      <c r="E2223" s="122" t="s">
        <v>27399</v>
      </c>
      <c r="F2223" s="122" t="s">
        <v>27400</v>
      </c>
      <c r="G2223" s="36" t="s">
        <v>27401</v>
      </c>
      <c r="H2223" s="122" t="s">
        <v>27402</v>
      </c>
      <c r="I2223" s="122" t="s">
        <v>27403</v>
      </c>
      <c r="J2223" s="66" t="s">
        <v>7346</v>
      </c>
      <c r="K2223" s="36" t="s">
        <v>27404</v>
      </c>
      <c r="L2223" s="36" t="s">
        <v>27405</v>
      </c>
      <c r="M2223" s="66" t="s">
        <v>27406</v>
      </c>
      <c r="N2223" s="66" t="s">
        <v>27407</v>
      </c>
      <c r="O2223" s="122" t="s">
        <v>27408</v>
      </c>
      <c r="P2223" s="122" t="s">
        <v>27396</v>
      </c>
    </row>
    <row r="2224" spans="1:16" ht="15" customHeight="1">
      <c r="A2224" s="139">
        <v>2223</v>
      </c>
      <c r="B2224" s="122" t="s">
        <v>27409</v>
      </c>
      <c r="C2224" s="36" t="s">
        <v>27397</v>
      </c>
      <c r="D2224" s="36" t="s">
        <v>27398</v>
      </c>
      <c r="E2224" s="122" t="s">
        <v>27410</v>
      </c>
      <c r="F2224" s="122" t="s">
        <v>27400</v>
      </c>
      <c r="G2224" s="36" t="s">
        <v>27401</v>
      </c>
      <c r="H2224" s="122" t="s">
        <v>27402</v>
      </c>
      <c r="I2224" s="122" t="s">
        <v>27403</v>
      </c>
      <c r="J2224" s="66" t="s">
        <v>7346</v>
      </c>
      <c r="K2224" s="36" t="s">
        <v>27404</v>
      </c>
      <c r="L2224" s="36" t="s">
        <v>27405</v>
      </c>
      <c r="M2224" s="66" t="s">
        <v>27406</v>
      </c>
      <c r="N2224" s="66" t="s">
        <v>27407</v>
      </c>
      <c r="O2224" s="122" t="s">
        <v>27408</v>
      </c>
      <c r="P2224" s="122" t="s">
        <v>27409</v>
      </c>
    </row>
    <row r="2225" spans="1:16">
      <c r="A2225" s="139">
        <v>2224</v>
      </c>
      <c r="B2225" s="36" t="s">
        <v>27411</v>
      </c>
      <c r="C2225" s="36" t="s">
        <v>8033</v>
      </c>
      <c r="D2225" s="36" t="s">
        <v>27412</v>
      </c>
      <c r="E2225" s="36" t="s">
        <v>8035</v>
      </c>
      <c r="F2225" s="431" t="s">
        <v>27411</v>
      </c>
      <c r="G2225" s="36" t="s">
        <v>27413</v>
      </c>
      <c r="H2225" s="36" t="s">
        <v>27414</v>
      </c>
      <c r="I2225" s="36" t="s">
        <v>27415</v>
      </c>
      <c r="J2225" s="36" t="s">
        <v>27416</v>
      </c>
      <c r="K2225" s="431" t="s">
        <v>27411</v>
      </c>
      <c r="L2225" s="36" t="s">
        <v>27417</v>
      </c>
      <c r="M2225" s="36" t="s">
        <v>27418</v>
      </c>
      <c r="N2225" s="36" t="s">
        <v>27419</v>
      </c>
      <c r="O2225" s="36" t="s">
        <v>27420</v>
      </c>
      <c r="P2225" s="36" t="s">
        <v>27411</v>
      </c>
    </row>
    <row r="2226" spans="1:16">
      <c r="A2226" s="139">
        <v>2225</v>
      </c>
      <c r="B2226" s="36" t="s">
        <v>18911</v>
      </c>
      <c r="C2226" s="36" t="s">
        <v>18912</v>
      </c>
      <c r="D2226" s="36" t="s">
        <v>18913</v>
      </c>
      <c r="E2226" s="36" t="s">
        <v>27421</v>
      </c>
      <c r="F2226" s="36" t="s">
        <v>18915</v>
      </c>
      <c r="G2226" s="36" t="s">
        <v>18916</v>
      </c>
      <c r="H2226" s="36" t="s">
        <v>18917</v>
      </c>
      <c r="I2226" s="36" t="s">
        <v>18918</v>
      </c>
      <c r="J2226" s="36" t="s">
        <v>18919</v>
      </c>
      <c r="K2226" s="36" t="s">
        <v>18920</v>
      </c>
      <c r="L2226" s="36" t="s">
        <v>18921</v>
      </c>
      <c r="M2226" s="36" t="s">
        <v>18922</v>
      </c>
      <c r="N2226" s="36" t="s">
        <v>18923</v>
      </c>
      <c r="O2226" s="36" t="s">
        <v>18924</v>
      </c>
      <c r="P2226" s="36" t="s">
        <v>18911</v>
      </c>
    </row>
    <row r="2227" spans="1:16" ht="13.95" customHeight="1">
      <c r="A2227" s="139">
        <v>2226</v>
      </c>
      <c r="B2227" s="36" t="s">
        <v>27422</v>
      </c>
      <c r="C2227" s="36" t="s">
        <v>9392</v>
      </c>
      <c r="D2227" s="36" t="s">
        <v>27423</v>
      </c>
      <c r="E2227" s="36" t="s">
        <v>9299</v>
      </c>
      <c r="F2227" s="36" t="s">
        <v>9441</v>
      </c>
      <c r="G2227" s="36" t="s">
        <v>9442</v>
      </c>
      <c r="H2227" s="36" t="s">
        <v>9443</v>
      </c>
      <c r="I2227" s="36" t="s">
        <v>9395</v>
      </c>
      <c r="J2227" s="67" t="s">
        <v>9444</v>
      </c>
      <c r="K2227" s="36" t="s">
        <v>9445</v>
      </c>
      <c r="L2227" s="36" t="s">
        <v>9446</v>
      </c>
      <c r="M2227" s="67" t="s">
        <v>9447</v>
      </c>
      <c r="N2227" s="67" t="s">
        <v>9448</v>
      </c>
      <c r="O2227" s="36" t="s">
        <v>27424</v>
      </c>
      <c r="P2227" s="36" t="s">
        <v>27422</v>
      </c>
    </row>
    <row r="2228" spans="1:16" ht="13.95" customHeight="1">
      <c r="A2228" s="139">
        <v>2227</v>
      </c>
      <c r="B2228" s="36" t="s">
        <v>27425</v>
      </c>
      <c r="C2228" s="36" t="s">
        <v>27426</v>
      </c>
      <c r="D2228" s="36" t="s">
        <v>27427</v>
      </c>
      <c r="E2228" s="36" t="s">
        <v>27428</v>
      </c>
      <c r="F2228" s="36" t="s">
        <v>27429</v>
      </c>
      <c r="G2228" s="36" t="s">
        <v>27430</v>
      </c>
      <c r="H2228" s="36" t="s">
        <v>27431</v>
      </c>
      <c r="I2228" s="36" t="s">
        <v>27432</v>
      </c>
      <c r="J2228" s="67" t="s">
        <v>27433</v>
      </c>
      <c r="K2228" s="36" t="s">
        <v>27434</v>
      </c>
      <c r="L2228" s="36" t="s">
        <v>27435</v>
      </c>
      <c r="M2228" s="67" t="s">
        <v>27436</v>
      </c>
      <c r="N2228" s="67" t="s">
        <v>27437</v>
      </c>
      <c r="O2228" s="36" t="s">
        <v>27438</v>
      </c>
      <c r="P2228" s="36" t="s">
        <v>27425</v>
      </c>
    </row>
    <row r="2229" spans="1:16" ht="13.95" customHeight="1">
      <c r="A2229" s="139">
        <v>2228</v>
      </c>
      <c r="B2229" s="36" t="s">
        <v>27439</v>
      </c>
      <c r="C2229" s="36" t="s">
        <v>27440</v>
      </c>
      <c r="D2229" s="36" t="s">
        <v>27441</v>
      </c>
      <c r="E2229" s="36" t="s">
        <v>27442</v>
      </c>
      <c r="F2229" s="36" t="s">
        <v>27443</v>
      </c>
      <c r="G2229" s="36" t="s">
        <v>27444</v>
      </c>
      <c r="H2229" s="36" t="s">
        <v>27445</v>
      </c>
      <c r="I2229" s="36" t="s">
        <v>27446</v>
      </c>
      <c r="J2229" s="67" t="s">
        <v>27447</v>
      </c>
      <c r="K2229" s="36" t="s">
        <v>27448</v>
      </c>
      <c r="L2229" s="36" t="s">
        <v>27449</v>
      </c>
      <c r="M2229" s="67" t="s">
        <v>27450</v>
      </c>
      <c r="N2229" s="67" t="s">
        <v>27451</v>
      </c>
      <c r="O2229" s="36" t="s">
        <v>27452</v>
      </c>
      <c r="P2229" s="36" t="s">
        <v>27439</v>
      </c>
    </row>
    <row r="2230" spans="1:16" ht="13.95" customHeight="1">
      <c r="A2230" s="139">
        <v>2229</v>
      </c>
      <c r="B2230" s="36" t="s">
        <v>27453</v>
      </c>
      <c r="C2230" s="36" t="s">
        <v>27454</v>
      </c>
      <c r="D2230" s="36" t="s">
        <v>27455</v>
      </c>
      <c r="E2230" s="36" t="s">
        <v>27456</v>
      </c>
      <c r="F2230" s="36" t="s">
        <v>27457</v>
      </c>
      <c r="G2230" s="36" t="s">
        <v>27458</v>
      </c>
      <c r="H2230" s="36" t="s">
        <v>27459</v>
      </c>
      <c r="I2230" s="36" t="s">
        <v>27460</v>
      </c>
      <c r="J2230" s="67" t="s">
        <v>27461</v>
      </c>
      <c r="K2230" s="36" t="s">
        <v>27462</v>
      </c>
      <c r="L2230" s="36" t="s">
        <v>27463</v>
      </c>
      <c r="M2230" s="67" t="s">
        <v>27464</v>
      </c>
      <c r="N2230" s="67" t="s">
        <v>27465</v>
      </c>
      <c r="O2230" s="36" t="s">
        <v>27466</v>
      </c>
      <c r="P2230" s="36" t="s">
        <v>27453</v>
      </c>
    </row>
    <row r="2231" spans="1:16" ht="13.95" customHeight="1">
      <c r="A2231" s="139">
        <v>2230</v>
      </c>
      <c r="B2231" s="36" t="s">
        <v>27467</v>
      </c>
      <c r="C2231" s="36" t="s">
        <v>27468</v>
      </c>
      <c r="D2231" s="36" t="s">
        <v>27469</v>
      </c>
      <c r="E2231" s="36" t="s">
        <v>27470</v>
      </c>
      <c r="F2231" s="36" t="s">
        <v>27471</v>
      </c>
      <c r="G2231" s="36" t="s">
        <v>27472</v>
      </c>
      <c r="H2231" s="36" t="s">
        <v>27473</v>
      </c>
      <c r="I2231" s="36" t="s">
        <v>27474</v>
      </c>
      <c r="J2231" s="67" t="s">
        <v>27475</v>
      </c>
      <c r="K2231" s="36" t="s">
        <v>27476</v>
      </c>
      <c r="L2231" s="36" t="s">
        <v>27477</v>
      </c>
      <c r="M2231" s="67" t="s">
        <v>27478</v>
      </c>
      <c r="N2231" s="67" t="s">
        <v>27479</v>
      </c>
      <c r="O2231" s="36" t="s">
        <v>27480</v>
      </c>
      <c r="P2231" s="36" t="s">
        <v>27467</v>
      </c>
    </row>
    <row r="2232" spans="1:16" ht="13.95" customHeight="1">
      <c r="A2232" s="139">
        <v>2231</v>
      </c>
      <c r="B2232" s="36" t="s">
        <v>27481</v>
      </c>
      <c r="C2232" s="36" t="s">
        <v>27482</v>
      </c>
      <c r="D2232" s="36" t="s">
        <v>27483</v>
      </c>
      <c r="E2232" s="36" t="s">
        <v>27484</v>
      </c>
      <c r="F2232" s="36" t="s">
        <v>27485</v>
      </c>
      <c r="G2232" s="36" t="s">
        <v>27486</v>
      </c>
      <c r="H2232" s="36" t="s">
        <v>27487</v>
      </c>
      <c r="I2232" s="36" t="s">
        <v>27488</v>
      </c>
      <c r="J2232" s="67" t="s">
        <v>27489</v>
      </c>
      <c r="K2232" s="36" t="s">
        <v>27490</v>
      </c>
      <c r="L2232" s="36" t="s">
        <v>27491</v>
      </c>
      <c r="M2232" s="67" t="s">
        <v>27492</v>
      </c>
      <c r="N2232" s="67" t="s">
        <v>27493</v>
      </c>
      <c r="O2232" s="36" t="s">
        <v>27494</v>
      </c>
      <c r="P2232" s="36" t="s">
        <v>27481</v>
      </c>
    </row>
    <row r="2233" spans="1:16" ht="13.95" customHeight="1">
      <c r="A2233" s="139">
        <v>2232</v>
      </c>
      <c r="B2233" s="36" t="s">
        <v>27495</v>
      </c>
      <c r="C2233" s="36" t="s">
        <v>27496</v>
      </c>
      <c r="D2233" s="36" t="s">
        <v>27497</v>
      </c>
      <c r="E2233" s="36" t="s">
        <v>27498</v>
      </c>
      <c r="F2233" s="36" t="s">
        <v>27499</v>
      </c>
      <c r="G2233" s="36" t="s">
        <v>27500</v>
      </c>
      <c r="H2233" s="36" t="s">
        <v>27501</v>
      </c>
      <c r="I2233" s="36" t="s">
        <v>27502</v>
      </c>
      <c r="J2233" s="67" t="s">
        <v>27503</v>
      </c>
      <c r="K2233" s="36" t="s">
        <v>27504</v>
      </c>
      <c r="L2233" s="36" t="s">
        <v>27505</v>
      </c>
      <c r="M2233" s="67" t="s">
        <v>27506</v>
      </c>
      <c r="N2233" s="67" t="s">
        <v>27507</v>
      </c>
      <c r="O2233" s="36" t="s">
        <v>27508</v>
      </c>
      <c r="P2233" s="36" t="s">
        <v>27495</v>
      </c>
    </row>
    <row r="2234" spans="1:16" ht="13.95" customHeight="1">
      <c r="A2234" s="139">
        <v>2233</v>
      </c>
      <c r="B2234" s="36" t="s">
        <v>3300</v>
      </c>
      <c r="C2234" s="36" t="s">
        <v>3300</v>
      </c>
      <c r="D2234" s="36" t="s">
        <v>3300</v>
      </c>
      <c r="E2234" s="36" t="s">
        <v>3301</v>
      </c>
      <c r="F2234" s="36" t="s">
        <v>3301</v>
      </c>
      <c r="G2234" s="36" t="s">
        <v>3300</v>
      </c>
      <c r="H2234" s="36" t="s">
        <v>3300</v>
      </c>
      <c r="I2234" s="36" t="s">
        <v>3300</v>
      </c>
      <c r="J2234" s="67" t="s">
        <v>3300</v>
      </c>
      <c r="K2234" s="36" t="s">
        <v>3301</v>
      </c>
      <c r="L2234" s="36" t="s">
        <v>3300</v>
      </c>
      <c r="M2234" s="67" t="s">
        <v>3300</v>
      </c>
      <c r="N2234" s="67" t="s">
        <v>3300</v>
      </c>
      <c r="O2234" s="36" t="s">
        <v>3300</v>
      </c>
      <c r="P2234" s="36" t="s">
        <v>3300</v>
      </c>
    </row>
    <row r="2235" spans="1:16">
      <c r="A2235" s="139">
        <v>2234</v>
      </c>
      <c r="B2235" s="36" t="s">
        <v>27509</v>
      </c>
      <c r="C2235" s="36" t="s">
        <v>27510</v>
      </c>
      <c r="D2235" s="36" t="s">
        <v>27511</v>
      </c>
      <c r="E2235" s="36" t="s">
        <v>27512</v>
      </c>
      <c r="F2235" s="36" t="s">
        <v>27513</v>
      </c>
      <c r="G2235" s="36" t="s">
        <v>27514</v>
      </c>
      <c r="H2235" s="36" t="s">
        <v>27515</v>
      </c>
      <c r="I2235" s="36" t="s">
        <v>27516</v>
      </c>
      <c r="J2235" s="36" t="s">
        <v>27517</v>
      </c>
      <c r="K2235" s="36" t="s">
        <v>27518</v>
      </c>
      <c r="L2235" s="36" t="s">
        <v>27519</v>
      </c>
      <c r="M2235" s="36" t="s">
        <v>27520</v>
      </c>
      <c r="N2235" s="36" t="s">
        <v>27521</v>
      </c>
      <c r="O2235" s="36" t="s">
        <v>27522</v>
      </c>
      <c r="P2235" s="36" t="s">
        <v>27509</v>
      </c>
    </row>
    <row r="2236" spans="1:16">
      <c r="A2236" s="139">
        <v>2235</v>
      </c>
      <c r="B2236" s="36" t="s">
        <v>27523</v>
      </c>
      <c r="C2236" s="36" t="s">
        <v>27524</v>
      </c>
      <c r="D2236" s="36" t="s">
        <v>27525</v>
      </c>
      <c r="E2236" s="36" t="s">
        <v>27526</v>
      </c>
      <c r="P2236" s="36" t="s">
        <v>27523</v>
      </c>
    </row>
    <row r="2237" spans="1:16">
      <c r="A2237" s="139">
        <v>2236</v>
      </c>
      <c r="B2237" s="36" t="s">
        <v>27527</v>
      </c>
      <c r="C2237" s="36" t="s">
        <v>27528</v>
      </c>
      <c r="D2237" s="36" t="s">
        <v>27529</v>
      </c>
      <c r="E2237" s="36" t="s">
        <v>27530</v>
      </c>
      <c r="P2237" s="36" t="s">
        <v>27527</v>
      </c>
    </row>
    <row r="2238" spans="1:16">
      <c r="A2238" s="139">
        <v>2237</v>
      </c>
      <c r="B2238" s="36" t="s">
        <v>27531</v>
      </c>
      <c r="C2238" s="36" t="s">
        <v>27532</v>
      </c>
      <c r="D2238" s="36" t="s">
        <v>27533</v>
      </c>
      <c r="E2238" s="36" t="s">
        <v>27534</v>
      </c>
      <c r="F2238" s="36" t="s">
        <v>27535</v>
      </c>
      <c r="G2238" s="36" t="s">
        <v>27536</v>
      </c>
      <c r="H2238" s="36" t="s">
        <v>27536</v>
      </c>
      <c r="I2238" s="36" t="s">
        <v>27537</v>
      </c>
      <c r="J2238" s="36" t="s">
        <v>27538</v>
      </c>
      <c r="K2238" s="36" t="s">
        <v>27539</v>
      </c>
      <c r="L2238" s="36" t="s">
        <v>27540</v>
      </c>
      <c r="M2238" s="36" t="s">
        <v>27541</v>
      </c>
      <c r="N2238" s="36" t="s">
        <v>27542</v>
      </c>
      <c r="O2238" s="36" t="s">
        <v>27543</v>
      </c>
      <c r="P2238" s="36" t="s">
        <v>27531</v>
      </c>
    </row>
    <row r="2239" spans="1:16">
      <c r="A2239" s="139">
        <v>2238</v>
      </c>
      <c r="B2239" s="36" t="s">
        <v>27544</v>
      </c>
      <c r="C2239" s="36" t="s">
        <v>27545</v>
      </c>
      <c r="D2239" s="36" t="s">
        <v>27546</v>
      </c>
      <c r="E2239" s="36" t="s">
        <v>27547</v>
      </c>
      <c r="F2239" s="36" t="s">
        <v>27548</v>
      </c>
      <c r="G2239" s="36" t="s">
        <v>6464</v>
      </c>
      <c r="H2239" s="36" t="s">
        <v>6465</v>
      </c>
      <c r="I2239" s="36" t="s">
        <v>27549</v>
      </c>
      <c r="J2239" s="36" t="s">
        <v>27550</v>
      </c>
      <c r="K2239" s="36" t="s">
        <v>27551</v>
      </c>
      <c r="L2239" s="36" t="s">
        <v>27552</v>
      </c>
      <c r="M2239" s="36" t="s">
        <v>27553</v>
      </c>
      <c r="N2239" s="36" t="s">
        <v>27554</v>
      </c>
      <c r="O2239" s="36" t="s">
        <v>27555</v>
      </c>
      <c r="P2239" s="36" t="s">
        <v>27544</v>
      </c>
    </row>
    <row r="2240" spans="1:16">
      <c r="A2240" s="139">
        <v>2239</v>
      </c>
      <c r="B2240" s="36" t="s">
        <v>27556</v>
      </c>
      <c r="C2240" s="36" t="s">
        <v>27557</v>
      </c>
      <c r="D2240" s="36" t="s">
        <v>27558</v>
      </c>
      <c r="E2240" s="36" t="s">
        <v>27559</v>
      </c>
      <c r="F2240" s="36" t="s">
        <v>27560</v>
      </c>
      <c r="G2240" s="36" t="s">
        <v>27561</v>
      </c>
      <c r="H2240" s="36" t="s">
        <v>27562</v>
      </c>
      <c r="I2240" s="36" t="s">
        <v>27563</v>
      </c>
      <c r="J2240" s="36" t="s">
        <v>27564</v>
      </c>
      <c r="K2240" s="36" t="s">
        <v>27565</v>
      </c>
      <c r="L2240" s="36" t="s">
        <v>27566</v>
      </c>
      <c r="M2240" s="36" t="s">
        <v>27567</v>
      </c>
      <c r="N2240" s="36" t="s">
        <v>27568</v>
      </c>
      <c r="O2240" s="36" t="s">
        <v>27569</v>
      </c>
      <c r="P2240" s="36" t="s">
        <v>27556</v>
      </c>
    </row>
    <row r="2241" spans="1:16">
      <c r="A2241" s="139">
        <v>2240</v>
      </c>
      <c r="B2241" s="36" t="s">
        <v>27570</v>
      </c>
      <c r="C2241" s="36" t="s">
        <v>27571</v>
      </c>
      <c r="D2241" s="36" t="s">
        <v>27572</v>
      </c>
      <c r="E2241" s="36" t="s">
        <v>27573</v>
      </c>
      <c r="F2241" s="36" t="s">
        <v>27574</v>
      </c>
      <c r="G2241" s="36" t="s">
        <v>27575</v>
      </c>
      <c r="H2241" s="36" t="s">
        <v>27576</v>
      </c>
      <c r="I2241" s="36" t="s">
        <v>27577</v>
      </c>
      <c r="J2241" s="36" t="s">
        <v>27578</v>
      </c>
      <c r="K2241" s="36" t="s">
        <v>27579</v>
      </c>
      <c r="L2241" s="36" t="s">
        <v>27580</v>
      </c>
      <c r="M2241" s="36" t="s">
        <v>27581</v>
      </c>
      <c r="N2241" s="36" t="s">
        <v>27582</v>
      </c>
      <c r="O2241" s="36" t="s">
        <v>27583</v>
      </c>
      <c r="P2241" s="36" t="s">
        <v>27570</v>
      </c>
    </row>
    <row r="2242" spans="1:16">
      <c r="A2242" s="139">
        <v>2241</v>
      </c>
      <c r="B2242" s="36" t="s">
        <v>27584</v>
      </c>
      <c r="C2242" s="36" t="s">
        <v>27585</v>
      </c>
      <c r="D2242" s="36" t="s">
        <v>27586</v>
      </c>
      <c r="E2242" s="36" t="s">
        <v>27587</v>
      </c>
      <c r="F2242" s="36" t="s">
        <v>27588</v>
      </c>
      <c r="G2242" s="36" t="s">
        <v>27589</v>
      </c>
      <c r="H2242" s="36" t="s">
        <v>27590</v>
      </c>
      <c r="I2242" s="36" t="s">
        <v>27591</v>
      </c>
      <c r="J2242" s="36" t="s">
        <v>27592</v>
      </c>
      <c r="K2242" s="36" t="s">
        <v>27593</v>
      </c>
      <c r="L2242" s="36" t="s">
        <v>27594</v>
      </c>
      <c r="M2242" s="36" t="s">
        <v>27595</v>
      </c>
      <c r="N2242" s="36" t="s">
        <v>27596</v>
      </c>
      <c r="O2242" s="36" t="s">
        <v>27597</v>
      </c>
      <c r="P2242" s="36" t="s">
        <v>27584</v>
      </c>
    </row>
    <row r="2243" spans="1:16">
      <c r="A2243" s="139">
        <v>2242</v>
      </c>
      <c r="B2243" s="36" t="s">
        <v>15220</v>
      </c>
      <c r="C2243" s="36" t="s">
        <v>15221</v>
      </c>
      <c r="D2243" s="36" t="s">
        <v>15222</v>
      </c>
      <c r="E2243" s="36" t="s">
        <v>27598</v>
      </c>
      <c r="F2243" s="36" t="s">
        <v>15224</v>
      </c>
      <c r="G2243" s="36" t="s">
        <v>15225</v>
      </c>
      <c r="H2243" s="36" t="s">
        <v>15226</v>
      </c>
      <c r="I2243" s="36" t="s">
        <v>15227</v>
      </c>
      <c r="J2243" s="36" t="s">
        <v>15228</v>
      </c>
      <c r="K2243" s="36" t="s">
        <v>15229</v>
      </c>
      <c r="L2243" s="36" t="s">
        <v>15230</v>
      </c>
      <c r="M2243" s="36" t="s">
        <v>15231</v>
      </c>
      <c r="N2243" s="36" t="s">
        <v>15232</v>
      </c>
      <c r="O2243" s="36" t="s">
        <v>15233</v>
      </c>
      <c r="P2243" s="36" t="s">
        <v>15220</v>
      </c>
    </row>
    <row r="2244" spans="1:16">
      <c r="A2244" s="139">
        <v>2243</v>
      </c>
      <c r="B2244" s="36" t="s">
        <v>27599</v>
      </c>
      <c r="C2244" s="36" t="s">
        <v>27600</v>
      </c>
      <c r="D2244" s="36" t="s">
        <v>27601</v>
      </c>
      <c r="E2244" s="36" t="s">
        <v>27602</v>
      </c>
      <c r="F2244" s="36" t="s">
        <v>27599</v>
      </c>
      <c r="G2244" s="36" t="s">
        <v>27599</v>
      </c>
      <c r="H2244" s="36" t="s">
        <v>27599</v>
      </c>
      <c r="I2244" s="36" t="s">
        <v>27599</v>
      </c>
      <c r="J2244" s="36" t="s">
        <v>27600</v>
      </c>
      <c r="K2244" s="36" t="s">
        <v>27599</v>
      </c>
      <c r="L2244" s="36" t="s">
        <v>27599</v>
      </c>
      <c r="M2244" s="36" t="s">
        <v>27599</v>
      </c>
      <c r="N2244" s="36" t="s">
        <v>27603</v>
      </c>
      <c r="O2244" s="36" t="s">
        <v>27599</v>
      </c>
      <c r="P2244" s="36" t="s">
        <v>27599</v>
      </c>
    </row>
    <row r="2245" spans="1:16">
      <c r="A2245" s="139">
        <v>2244</v>
      </c>
      <c r="B2245" s="36" t="s">
        <v>27604</v>
      </c>
      <c r="E2245" s="36" t="s">
        <v>27605</v>
      </c>
      <c r="P2245" s="36" t="s">
        <v>27604</v>
      </c>
    </row>
    <row r="2246" spans="1:16">
      <c r="A2246" s="139">
        <v>2245</v>
      </c>
      <c r="B2246" s="36" t="s">
        <v>27606</v>
      </c>
      <c r="C2246" s="36" t="s">
        <v>27607</v>
      </c>
      <c r="D2246" s="36" t="s">
        <v>27608</v>
      </c>
      <c r="E2246" s="36" t="s">
        <v>27609</v>
      </c>
      <c r="F2246" s="36" t="s">
        <v>27610</v>
      </c>
      <c r="G2246" s="36" t="s">
        <v>27611</v>
      </c>
      <c r="H2246" s="36" t="s">
        <v>27612</v>
      </c>
      <c r="I2246" s="36" t="s">
        <v>27610</v>
      </c>
      <c r="J2246" s="36" t="s">
        <v>27613</v>
      </c>
      <c r="K2246" s="36" t="s">
        <v>27614</v>
      </c>
      <c r="L2246" s="36" t="s">
        <v>27615</v>
      </c>
      <c r="M2246" s="36" t="s">
        <v>27616</v>
      </c>
      <c r="N2246" s="36" t="s">
        <v>27617</v>
      </c>
      <c r="O2246" s="36" t="s">
        <v>27614</v>
      </c>
      <c r="P2246" s="36" t="s">
        <v>27606</v>
      </c>
    </row>
    <row r="2247" spans="1:16">
      <c r="A2247" s="139">
        <v>2246</v>
      </c>
      <c r="B2247" s="36" t="s">
        <v>27618</v>
      </c>
      <c r="C2247" s="36" t="s">
        <v>27619</v>
      </c>
      <c r="D2247" s="36" t="s">
        <v>27620</v>
      </c>
      <c r="E2247" s="36" t="s">
        <v>27621</v>
      </c>
      <c r="F2247" s="36" t="s">
        <v>27622</v>
      </c>
      <c r="G2247" s="36" t="s">
        <v>27623</v>
      </c>
      <c r="H2247" s="36" t="s">
        <v>27624</v>
      </c>
      <c r="I2247" s="36" t="s">
        <v>27625</v>
      </c>
      <c r="J2247" s="36" t="s">
        <v>27626</v>
      </c>
      <c r="K2247" s="36" t="s">
        <v>27627</v>
      </c>
      <c r="L2247" s="36" t="s">
        <v>27628</v>
      </c>
      <c r="M2247" s="36" t="s">
        <v>27629</v>
      </c>
      <c r="N2247" s="36" t="s">
        <v>27630</v>
      </c>
      <c r="O2247" s="36" t="s">
        <v>27631</v>
      </c>
      <c r="P2247" s="36" t="s">
        <v>27618</v>
      </c>
    </row>
    <row r="2248" spans="1:16">
      <c r="A2248" s="139">
        <v>2247</v>
      </c>
      <c r="B2248" s="36" t="s">
        <v>27632</v>
      </c>
      <c r="C2248" s="36" t="s">
        <v>27633</v>
      </c>
      <c r="D2248" s="36" t="s">
        <v>27634</v>
      </c>
      <c r="E2248" s="36" t="s">
        <v>27635</v>
      </c>
      <c r="F2248" s="36" t="s">
        <v>27636</v>
      </c>
      <c r="G2248" s="36" t="s">
        <v>27637</v>
      </c>
      <c r="H2248" s="36" t="s">
        <v>27638</v>
      </c>
      <c r="I2248" s="36" t="s">
        <v>27639</v>
      </c>
      <c r="J2248" s="36" t="s">
        <v>27640</v>
      </c>
      <c r="K2248" s="36" t="s">
        <v>27641</v>
      </c>
      <c r="L2248" s="36" t="s">
        <v>27642</v>
      </c>
      <c r="M2248" s="36" t="s">
        <v>27643</v>
      </c>
      <c r="N2248" s="36" t="s">
        <v>27642</v>
      </c>
      <c r="O2248" s="36" t="s">
        <v>27644</v>
      </c>
      <c r="P2248" s="36" t="s">
        <v>27632</v>
      </c>
    </row>
    <row r="2249" spans="1:16">
      <c r="A2249" s="139">
        <v>2248</v>
      </c>
      <c r="B2249" s="36" t="s">
        <v>27645</v>
      </c>
      <c r="C2249" s="36" t="s">
        <v>27646</v>
      </c>
      <c r="D2249" s="36" t="s">
        <v>27647</v>
      </c>
      <c r="E2249" s="36" t="s">
        <v>27648</v>
      </c>
      <c r="F2249" s="36" t="s">
        <v>27649</v>
      </c>
      <c r="G2249" s="36" t="s">
        <v>27650</v>
      </c>
      <c r="H2249" s="36" t="s">
        <v>27651</v>
      </c>
      <c r="I2249" s="36" t="s">
        <v>27652</v>
      </c>
      <c r="J2249" s="36" t="s">
        <v>27653</v>
      </c>
      <c r="K2249" s="36" t="s">
        <v>27654</v>
      </c>
      <c r="L2249" s="36" t="s">
        <v>27655</v>
      </c>
      <c r="M2249" s="36" t="s">
        <v>27656</v>
      </c>
      <c r="N2249" s="36" t="s">
        <v>27657</v>
      </c>
      <c r="O2249" s="36" t="s">
        <v>27658</v>
      </c>
      <c r="P2249" s="36" t="s">
        <v>27645</v>
      </c>
    </row>
    <row r="2250" spans="1:16">
      <c r="A2250" s="139">
        <v>2249</v>
      </c>
      <c r="B2250" s="36" t="s">
        <v>27659</v>
      </c>
      <c r="C2250" s="36" t="s">
        <v>27660</v>
      </c>
      <c r="D2250" s="36" t="s">
        <v>27661</v>
      </c>
      <c r="E2250" s="36" t="s">
        <v>27662</v>
      </c>
      <c r="F2250" s="36" t="s">
        <v>27663</v>
      </c>
      <c r="G2250" s="36" t="s">
        <v>27664</v>
      </c>
      <c r="H2250" s="36" t="s">
        <v>27665</v>
      </c>
      <c r="I2250" s="36" t="s">
        <v>27666</v>
      </c>
      <c r="J2250" s="36" t="s">
        <v>27667</v>
      </c>
      <c r="K2250" s="36" t="s">
        <v>27668</v>
      </c>
      <c r="L2250" s="36" t="s">
        <v>27669</v>
      </c>
      <c r="M2250" s="36" t="s">
        <v>27670</v>
      </c>
      <c r="N2250" s="36" t="s">
        <v>27671</v>
      </c>
      <c r="O2250" s="36" t="s">
        <v>27672</v>
      </c>
      <c r="P2250" s="36" t="s">
        <v>27659</v>
      </c>
    </row>
    <row r="2251" spans="1:16" ht="16.2">
      <c r="A2251" s="139">
        <v>2250</v>
      </c>
      <c r="B2251" s="36" t="s">
        <v>27673</v>
      </c>
      <c r="C2251" s="36" t="s">
        <v>27674</v>
      </c>
      <c r="D2251" s="36" t="s">
        <v>27675</v>
      </c>
      <c r="E2251" s="36" t="s">
        <v>27676</v>
      </c>
      <c r="F2251" s="36" t="s">
        <v>27677</v>
      </c>
      <c r="G2251" s="36" t="s">
        <v>27678</v>
      </c>
      <c r="H2251" s="36" t="s">
        <v>27679</v>
      </c>
      <c r="I2251" s="36" t="s">
        <v>27680</v>
      </c>
      <c r="J2251" s="36" t="s">
        <v>27681</v>
      </c>
      <c r="K2251" s="36" t="s">
        <v>27682</v>
      </c>
      <c r="L2251" s="36" t="s">
        <v>27683</v>
      </c>
      <c r="M2251" s="36" t="s">
        <v>27684</v>
      </c>
      <c r="N2251" s="36" t="s">
        <v>27683</v>
      </c>
      <c r="O2251" s="36" t="s">
        <v>27685</v>
      </c>
      <c r="P2251" s="36" t="s">
        <v>27673</v>
      </c>
    </row>
    <row r="2252" spans="1:16" ht="16.2">
      <c r="A2252" s="139">
        <v>2251</v>
      </c>
      <c r="B2252" s="36" t="s">
        <v>27686</v>
      </c>
      <c r="C2252" s="36" t="s">
        <v>27687</v>
      </c>
      <c r="D2252" s="36" t="s">
        <v>27688</v>
      </c>
      <c r="E2252" s="36" t="s">
        <v>27689</v>
      </c>
      <c r="F2252" s="36" t="s">
        <v>27690</v>
      </c>
      <c r="G2252" s="36" t="s">
        <v>27691</v>
      </c>
      <c r="H2252" s="36" t="s">
        <v>27692</v>
      </c>
      <c r="I2252" s="36" t="s">
        <v>27693</v>
      </c>
      <c r="J2252" s="36" t="s">
        <v>27694</v>
      </c>
      <c r="K2252" s="36" t="s">
        <v>27695</v>
      </c>
      <c r="L2252" s="36" t="s">
        <v>27696</v>
      </c>
      <c r="M2252" s="36" t="s">
        <v>27697</v>
      </c>
      <c r="N2252" s="36" t="s">
        <v>27696</v>
      </c>
      <c r="O2252" s="36" t="s">
        <v>27698</v>
      </c>
      <c r="P2252" s="36" t="s">
        <v>27686</v>
      </c>
    </row>
    <row r="2253" spans="1:16">
      <c r="A2253" s="139">
        <v>2252</v>
      </c>
      <c r="B2253" s="36" t="s">
        <v>27699</v>
      </c>
      <c r="C2253" s="36" t="s">
        <v>27700</v>
      </c>
      <c r="D2253" s="36" t="s">
        <v>27701</v>
      </c>
      <c r="E2253" s="36" t="s">
        <v>27702</v>
      </c>
      <c r="F2253" s="36" t="s">
        <v>27703</v>
      </c>
      <c r="G2253" s="36" t="s">
        <v>27704</v>
      </c>
      <c r="H2253" s="36" t="s">
        <v>27705</v>
      </c>
      <c r="I2253" s="36" t="s">
        <v>27706</v>
      </c>
      <c r="J2253" s="36" t="s">
        <v>27707</v>
      </c>
      <c r="K2253" s="36" t="s">
        <v>27708</v>
      </c>
      <c r="L2253" s="36" t="s">
        <v>27709</v>
      </c>
      <c r="M2253" s="36" t="s">
        <v>27710</v>
      </c>
      <c r="N2253" s="36" t="s">
        <v>27711</v>
      </c>
      <c r="O2253" s="36" t="s">
        <v>27712</v>
      </c>
      <c r="P2253" s="36" t="s">
        <v>27699</v>
      </c>
    </row>
    <row r="2254" spans="1:16">
      <c r="A2254" s="139">
        <v>2253</v>
      </c>
      <c r="B2254" s="36" t="s">
        <v>27713</v>
      </c>
      <c r="C2254" s="36" t="s">
        <v>27714</v>
      </c>
      <c r="D2254" s="36" t="s">
        <v>27715</v>
      </c>
      <c r="E2254" s="36" t="s">
        <v>27716</v>
      </c>
      <c r="F2254" s="36" t="s">
        <v>27717</v>
      </c>
      <c r="G2254" s="36" t="s">
        <v>27718</v>
      </c>
      <c r="H2254" s="36" t="s">
        <v>27719</v>
      </c>
      <c r="I2254" s="36" t="s">
        <v>27720</v>
      </c>
      <c r="J2254" s="36" t="s">
        <v>27721</v>
      </c>
      <c r="K2254" s="36" t="s">
        <v>27722</v>
      </c>
      <c r="L2254" s="36" t="s">
        <v>27723</v>
      </c>
      <c r="M2254" s="36" t="s">
        <v>27724</v>
      </c>
      <c r="N2254" s="36" t="s">
        <v>27725</v>
      </c>
      <c r="O2254" s="36" t="s">
        <v>27726</v>
      </c>
      <c r="P2254" s="36" t="s">
        <v>27713</v>
      </c>
    </row>
    <row r="2255" spans="1:16">
      <c r="A2255" s="139">
        <v>2254</v>
      </c>
      <c r="B2255" s="36" t="s">
        <v>27727</v>
      </c>
      <c r="C2255" s="36" t="s">
        <v>27728</v>
      </c>
      <c r="D2255" s="36" t="s">
        <v>27729</v>
      </c>
      <c r="E2255" s="36" t="s">
        <v>27730</v>
      </c>
      <c r="F2255" s="36" t="s">
        <v>27731</v>
      </c>
      <c r="G2255" s="36" t="s">
        <v>27732</v>
      </c>
      <c r="H2255" s="36" t="s">
        <v>27733</v>
      </c>
      <c r="I2255" s="36" t="s">
        <v>27734</v>
      </c>
      <c r="J2255" s="36" t="s">
        <v>27735</v>
      </c>
      <c r="K2255" s="36" t="s">
        <v>27736</v>
      </c>
      <c r="L2255" s="36" t="s">
        <v>27737</v>
      </c>
      <c r="M2255" s="36" t="s">
        <v>27738</v>
      </c>
      <c r="N2255" s="36" t="s">
        <v>27739</v>
      </c>
      <c r="O2255" s="36" t="s">
        <v>27740</v>
      </c>
      <c r="P2255" s="36" t="s">
        <v>27727</v>
      </c>
    </row>
    <row r="2256" spans="1:16">
      <c r="A2256" s="139">
        <v>2255</v>
      </c>
      <c r="B2256" s="36" t="s">
        <v>27741</v>
      </c>
      <c r="C2256" s="36" t="s">
        <v>27742</v>
      </c>
      <c r="D2256" s="36" t="s">
        <v>27743</v>
      </c>
      <c r="E2256" s="36" t="s">
        <v>27744</v>
      </c>
      <c r="F2256" s="36" t="s">
        <v>27745</v>
      </c>
      <c r="G2256" s="36" t="s">
        <v>27746</v>
      </c>
      <c r="H2256" s="36" t="s">
        <v>27747</v>
      </c>
      <c r="I2256" s="36" t="s">
        <v>27748</v>
      </c>
      <c r="J2256" s="36" t="s">
        <v>27749</v>
      </c>
      <c r="K2256" s="36" t="s">
        <v>27750</v>
      </c>
      <c r="L2256" s="36" t="s">
        <v>27751</v>
      </c>
      <c r="M2256" s="36" t="s">
        <v>27752</v>
      </c>
      <c r="N2256" s="36" t="s">
        <v>27753</v>
      </c>
      <c r="O2256" s="36" t="s">
        <v>27754</v>
      </c>
      <c r="P2256" s="36" t="s">
        <v>27741</v>
      </c>
    </row>
    <row r="2257" spans="1:16">
      <c r="A2257" s="139">
        <v>2256</v>
      </c>
      <c r="B2257" s="36" t="s">
        <v>27755</v>
      </c>
      <c r="C2257" s="36" t="s">
        <v>27756</v>
      </c>
      <c r="D2257" s="36" t="s">
        <v>27757</v>
      </c>
      <c r="E2257" s="36" t="s">
        <v>27758</v>
      </c>
      <c r="F2257" s="36" t="s">
        <v>27759</v>
      </c>
      <c r="G2257" s="36" t="s">
        <v>27760</v>
      </c>
      <c r="H2257" s="36" t="s">
        <v>27761</v>
      </c>
      <c r="I2257" s="36" t="s">
        <v>27762</v>
      </c>
      <c r="J2257" s="36" t="s">
        <v>27763</v>
      </c>
      <c r="K2257" s="36" t="s">
        <v>27764</v>
      </c>
      <c r="L2257" s="36" t="s">
        <v>27765</v>
      </c>
      <c r="M2257" s="36" t="s">
        <v>27766</v>
      </c>
      <c r="N2257" s="36" t="s">
        <v>27767</v>
      </c>
      <c r="O2257" s="36" t="s">
        <v>27768</v>
      </c>
      <c r="P2257" s="36" t="s">
        <v>27755</v>
      </c>
    </row>
    <row r="2258" spans="1:16">
      <c r="A2258" s="139">
        <v>2257</v>
      </c>
      <c r="B2258" s="36" t="s">
        <v>27769</v>
      </c>
      <c r="C2258" s="36" t="s">
        <v>27770</v>
      </c>
      <c r="D2258" s="36" t="s">
        <v>27771</v>
      </c>
      <c r="E2258" s="36" t="s">
        <v>27772</v>
      </c>
      <c r="F2258" s="36" t="s">
        <v>27773</v>
      </c>
      <c r="G2258" s="36" t="s">
        <v>27774</v>
      </c>
      <c r="H2258" s="36" t="s">
        <v>27775</v>
      </c>
      <c r="I2258" s="36" t="s">
        <v>27776</v>
      </c>
      <c r="J2258" s="36" t="s">
        <v>27777</v>
      </c>
      <c r="K2258" s="36" t="s">
        <v>27778</v>
      </c>
      <c r="L2258" s="36" t="s">
        <v>27779</v>
      </c>
      <c r="M2258" s="36" t="s">
        <v>27780</v>
      </c>
      <c r="N2258" s="36" t="s">
        <v>27781</v>
      </c>
      <c r="O2258" s="36" t="s">
        <v>27782</v>
      </c>
      <c r="P2258" s="36" t="s">
        <v>27769</v>
      </c>
    </row>
    <row r="2259" spans="1:16">
      <c r="A2259" s="139">
        <v>2258</v>
      </c>
      <c r="B2259" s="36" t="s">
        <v>27783</v>
      </c>
      <c r="E2259" s="36" t="s">
        <v>27784</v>
      </c>
      <c r="P2259" s="36" t="s">
        <v>27783</v>
      </c>
    </row>
    <row r="2260" spans="1:16">
      <c r="A2260" s="139">
        <v>2259</v>
      </c>
      <c r="B2260" s="36" t="s">
        <v>27785</v>
      </c>
      <c r="C2260" s="36" t="s">
        <v>26579</v>
      </c>
      <c r="D2260" s="36" t="s">
        <v>26580</v>
      </c>
      <c r="P2260" s="36" t="s">
        <v>27785</v>
      </c>
    </row>
    <row r="2261" spans="1:16">
      <c r="A2261" s="139">
        <v>2260</v>
      </c>
      <c r="B2261" s="36" t="s">
        <v>27786</v>
      </c>
      <c r="C2261" s="36" t="s">
        <v>27787</v>
      </c>
      <c r="D2261" s="36" t="s">
        <v>27788</v>
      </c>
      <c r="P2261" s="36" t="s">
        <v>27786</v>
      </c>
    </row>
    <row r="2262" spans="1:16">
      <c r="A2262" s="139">
        <v>2261</v>
      </c>
      <c r="B2262" s="36" t="s">
        <v>27789</v>
      </c>
      <c r="C2262" s="36" t="s">
        <v>27790</v>
      </c>
      <c r="D2262" s="36" t="s">
        <v>27791</v>
      </c>
      <c r="P2262" s="36" t="s">
        <v>27789</v>
      </c>
    </row>
    <row r="2263" spans="1:16">
      <c r="A2263" s="139">
        <v>2262</v>
      </c>
      <c r="B2263" s="36" t="s">
        <v>27792</v>
      </c>
      <c r="C2263" s="36" t="s">
        <v>27793</v>
      </c>
      <c r="D2263" s="36" t="s">
        <v>27794</v>
      </c>
      <c r="P2263" s="36" t="s">
        <v>27792</v>
      </c>
    </row>
    <row r="2264" spans="1:16">
      <c r="A2264" s="139">
        <v>2263</v>
      </c>
      <c r="B2264" s="36" t="s">
        <v>27795</v>
      </c>
      <c r="C2264" s="36" t="s">
        <v>27796</v>
      </c>
      <c r="D2264" s="36" t="s">
        <v>27797</v>
      </c>
      <c r="P2264" s="36" t="s">
        <v>27795</v>
      </c>
    </row>
    <row r="2265" spans="1:16">
      <c r="A2265" s="139">
        <v>2264</v>
      </c>
      <c r="B2265" s="36" t="s">
        <v>27798</v>
      </c>
      <c r="C2265" s="36" t="s">
        <v>27799</v>
      </c>
      <c r="D2265" s="36" t="s">
        <v>27800</v>
      </c>
      <c r="P2265" s="36" t="s">
        <v>27798</v>
      </c>
    </row>
    <row r="2266" spans="1:16">
      <c r="A2266" s="139">
        <v>2265</v>
      </c>
      <c r="B2266" s="36" t="s">
        <v>27801</v>
      </c>
      <c r="C2266" s="36" t="s">
        <v>27802</v>
      </c>
      <c r="D2266" s="36" t="s">
        <v>27803</v>
      </c>
      <c r="P2266" s="36" t="s">
        <v>27801</v>
      </c>
    </row>
    <row r="2267" spans="1:16">
      <c r="A2267" s="139">
        <v>2266</v>
      </c>
      <c r="B2267" s="36" t="s">
        <v>27804</v>
      </c>
      <c r="C2267" s="36" t="s">
        <v>27805</v>
      </c>
      <c r="D2267" s="36" t="s">
        <v>27806</v>
      </c>
      <c r="P2267" s="36" t="s">
        <v>27804</v>
      </c>
    </row>
    <row r="2268" spans="1:16">
      <c r="A2268" s="139">
        <v>2267</v>
      </c>
      <c r="B2268" s="36" t="s">
        <v>27807</v>
      </c>
      <c r="C2268" s="36" t="s">
        <v>27808</v>
      </c>
      <c r="D2268" s="36" t="s">
        <v>27809</v>
      </c>
      <c r="P2268" s="36" t="s">
        <v>27807</v>
      </c>
    </row>
    <row r="2269" spans="1:16">
      <c r="A2269" s="139">
        <v>2268</v>
      </c>
      <c r="B2269" s="36" t="s">
        <v>27810</v>
      </c>
      <c r="C2269" s="36" t="s">
        <v>27811</v>
      </c>
      <c r="D2269" s="36" t="s">
        <v>27812</v>
      </c>
      <c r="P2269" s="36" t="s">
        <v>27810</v>
      </c>
    </row>
    <row r="2270" spans="1:16">
      <c r="A2270" s="139">
        <v>2269</v>
      </c>
      <c r="B2270" s="36" t="s">
        <v>27813</v>
      </c>
      <c r="C2270" s="36" t="s">
        <v>27814</v>
      </c>
      <c r="D2270" s="36" t="s">
        <v>27815</v>
      </c>
      <c r="P2270" s="36" t="s">
        <v>27813</v>
      </c>
    </row>
    <row r="2271" spans="1:16">
      <c r="A2271" s="139">
        <v>2270</v>
      </c>
      <c r="B2271" s="36" t="s">
        <v>27816</v>
      </c>
      <c r="C2271" s="36" t="s">
        <v>27817</v>
      </c>
      <c r="D2271" s="36" t="s">
        <v>27818</v>
      </c>
      <c r="P2271" s="36" t="s">
        <v>27816</v>
      </c>
    </row>
    <row r="2272" spans="1:16">
      <c r="A2272" s="139">
        <v>2271</v>
      </c>
      <c r="B2272" s="36" t="s">
        <v>27819</v>
      </c>
      <c r="C2272" s="36" t="s">
        <v>27820</v>
      </c>
      <c r="D2272" s="36" t="s">
        <v>27821</v>
      </c>
      <c r="P2272" s="36" t="s">
        <v>27819</v>
      </c>
    </row>
    <row r="2273" spans="1:16">
      <c r="A2273" s="139">
        <v>2272</v>
      </c>
      <c r="B2273" s="36" t="s">
        <v>27822</v>
      </c>
      <c r="C2273" s="36" t="s">
        <v>27823</v>
      </c>
      <c r="P2273" s="36" t="s">
        <v>27822</v>
      </c>
    </row>
    <row r="2274" spans="1:16">
      <c r="A2274" s="139">
        <v>2273</v>
      </c>
      <c r="B2274" s="36" t="s">
        <v>27824</v>
      </c>
      <c r="C2274" s="36" t="s">
        <v>27825</v>
      </c>
      <c r="P2274" s="36" t="s">
        <v>27824</v>
      </c>
    </row>
    <row r="2275" spans="1:16">
      <c r="A2275" s="139">
        <v>2274</v>
      </c>
      <c r="B2275" s="36" t="s">
        <v>27826</v>
      </c>
      <c r="C2275" s="36" t="s">
        <v>27827</v>
      </c>
      <c r="D2275" s="36" t="s">
        <v>27828</v>
      </c>
      <c r="P2275" s="36" t="s">
        <v>27826</v>
      </c>
    </row>
    <row r="2276" spans="1:16">
      <c r="A2276" s="139">
        <v>2275</v>
      </c>
      <c r="B2276" s="36" t="s">
        <v>27829</v>
      </c>
      <c r="C2276" s="36" t="s">
        <v>27830</v>
      </c>
      <c r="D2276" s="36" t="s">
        <v>27831</v>
      </c>
      <c r="P2276" s="36" t="s">
        <v>27829</v>
      </c>
    </row>
    <row r="2277" spans="1:16">
      <c r="A2277" s="139">
        <v>2276</v>
      </c>
      <c r="B2277" s="36" t="s">
        <v>27832</v>
      </c>
      <c r="C2277" s="36" t="s">
        <v>27833</v>
      </c>
      <c r="D2277" s="36" t="s">
        <v>27834</v>
      </c>
      <c r="P2277" s="36" t="s">
        <v>27832</v>
      </c>
    </row>
    <row r="2278" spans="1:16">
      <c r="A2278" s="139">
        <v>2277</v>
      </c>
      <c r="B2278" s="36" t="s">
        <v>27835</v>
      </c>
      <c r="C2278" s="36" t="s">
        <v>27836</v>
      </c>
      <c r="P2278" s="36" t="s">
        <v>27835</v>
      </c>
    </row>
    <row r="2279" spans="1:16">
      <c r="A2279" s="139">
        <v>2278</v>
      </c>
      <c r="B2279" s="36" t="s">
        <v>27837</v>
      </c>
      <c r="C2279" s="36" t="s">
        <v>27838</v>
      </c>
      <c r="D2279" s="36" t="s">
        <v>27839</v>
      </c>
      <c r="P2279" s="36" t="s">
        <v>27837</v>
      </c>
    </row>
    <row r="2280" spans="1:16">
      <c r="A2280" s="139">
        <v>2279</v>
      </c>
      <c r="B2280" s="36" t="s">
        <v>27840</v>
      </c>
      <c r="C2280" s="36" t="s">
        <v>27841</v>
      </c>
      <c r="P2280" s="36" t="s">
        <v>27840</v>
      </c>
    </row>
    <row r="2281" spans="1:16">
      <c r="A2281" s="139">
        <v>2280</v>
      </c>
      <c r="B2281" s="36" t="s">
        <v>27842</v>
      </c>
      <c r="C2281" s="36" t="s">
        <v>27843</v>
      </c>
      <c r="D2281" s="36" t="s">
        <v>27844</v>
      </c>
      <c r="P2281" s="36" t="s">
        <v>27842</v>
      </c>
    </row>
    <row r="2282" spans="1:16">
      <c r="A2282" s="139">
        <v>2281</v>
      </c>
      <c r="B2282" s="36" t="s">
        <v>27845</v>
      </c>
      <c r="C2282" s="36" t="s">
        <v>27846</v>
      </c>
      <c r="P2282" s="36" t="s">
        <v>27845</v>
      </c>
    </row>
    <row r="2283" spans="1:16">
      <c r="A2283" s="139">
        <v>2282</v>
      </c>
      <c r="B2283" s="36" t="s">
        <v>27847</v>
      </c>
      <c r="C2283" s="36" t="s">
        <v>27848</v>
      </c>
      <c r="P2283" s="36" t="s">
        <v>27847</v>
      </c>
    </row>
    <row r="2284" spans="1:16">
      <c r="A2284" s="139">
        <v>2283</v>
      </c>
      <c r="B2284" s="36" t="s">
        <v>27849</v>
      </c>
      <c r="C2284" s="36" t="s">
        <v>27850</v>
      </c>
      <c r="D2284" s="36" t="s">
        <v>27851</v>
      </c>
      <c r="P2284" s="36" t="s">
        <v>27849</v>
      </c>
    </row>
    <row r="2285" spans="1:16">
      <c r="A2285" s="139">
        <v>2284</v>
      </c>
      <c r="B2285" s="36" t="s">
        <v>27852</v>
      </c>
      <c r="C2285" s="36" t="s">
        <v>27853</v>
      </c>
      <c r="D2285" s="36" t="s">
        <v>27854</v>
      </c>
      <c r="P2285" s="36" t="s">
        <v>27852</v>
      </c>
    </row>
    <row r="2286" spans="1:16">
      <c r="A2286" s="139">
        <v>2285</v>
      </c>
      <c r="B2286" s="36" t="s">
        <v>27855</v>
      </c>
      <c r="C2286" s="36" t="s">
        <v>27856</v>
      </c>
      <c r="D2286" s="36" t="s">
        <v>27857</v>
      </c>
      <c r="P2286" s="36" t="s">
        <v>27855</v>
      </c>
    </row>
    <row r="2287" spans="1:16">
      <c r="A2287" s="139">
        <v>2286</v>
      </c>
      <c r="B2287" s="36" t="s">
        <v>27858</v>
      </c>
      <c r="C2287" s="36" t="s">
        <v>27859</v>
      </c>
      <c r="D2287" s="36" t="s">
        <v>27860</v>
      </c>
      <c r="P2287" s="36" t="s">
        <v>27858</v>
      </c>
    </row>
    <row r="2288" spans="1:16">
      <c r="A2288" s="139">
        <v>2287</v>
      </c>
      <c r="B2288" s="36" t="s">
        <v>27861</v>
      </c>
      <c r="C2288" s="36" t="s">
        <v>27862</v>
      </c>
      <c r="D2288" s="36" t="s">
        <v>27863</v>
      </c>
      <c r="P2288" s="36" t="s">
        <v>27861</v>
      </c>
    </row>
    <row r="2289" spans="1:16">
      <c r="A2289" s="139">
        <v>2288</v>
      </c>
      <c r="B2289" s="36" t="s">
        <v>27864</v>
      </c>
      <c r="C2289" s="36" t="s">
        <v>27865</v>
      </c>
      <c r="D2289" s="36" t="s">
        <v>27866</v>
      </c>
      <c r="P2289" s="36" t="s">
        <v>27864</v>
      </c>
    </row>
    <row r="2290" spans="1:16">
      <c r="A2290" s="139">
        <v>2289</v>
      </c>
      <c r="B2290" s="36" t="s">
        <v>27867</v>
      </c>
      <c r="C2290" s="36" t="s">
        <v>27868</v>
      </c>
      <c r="D2290" s="36" t="s">
        <v>27869</v>
      </c>
      <c r="P2290" s="36" t="s">
        <v>27867</v>
      </c>
    </row>
    <row r="2291" spans="1:16">
      <c r="A2291" s="139">
        <v>2290</v>
      </c>
      <c r="B2291" s="36" t="s">
        <v>27870</v>
      </c>
      <c r="C2291" s="36" t="s">
        <v>4207</v>
      </c>
      <c r="P2291" s="36" t="s">
        <v>27870</v>
      </c>
    </row>
    <row r="2292" spans="1:16">
      <c r="A2292" s="139">
        <v>2291</v>
      </c>
      <c r="B2292" s="36" t="s">
        <v>4216</v>
      </c>
      <c r="C2292" s="36" t="s">
        <v>4207</v>
      </c>
      <c r="P2292" s="36" t="s">
        <v>4216</v>
      </c>
    </row>
    <row r="2293" spans="1:16">
      <c r="A2293" s="139">
        <v>2292</v>
      </c>
      <c r="B2293" s="36" t="s">
        <v>27871</v>
      </c>
      <c r="C2293" s="36" t="s">
        <v>27872</v>
      </c>
      <c r="P2293" s="36" t="s">
        <v>27871</v>
      </c>
    </row>
    <row r="2294" spans="1:16">
      <c r="A2294" s="139">
        <v>2293</v>
      </c>
      <c r="B2294" s="36" t="s">
        <v>27873</v>
      </c>
      <c r="C2294" s="36" t="s">
        <v>27874</v>
      </c>
      <c r="D2294" s="36" t="s">
        <v>27875</v>
      </c>
      <c r="P2294" s="36" t="s">
        <v>27873</v>
      </c>
    </row>
    <row r="2295" spans="1:16">
      <c r="A2295" s="139">
        <v>2294</v>
      </c>
      <c r="B2295" s="36" t="s">
        <v>27876</v>
      </c>
      <c r="C2295" s="36" t="s">
        <v>27877</v>
      </c>
      <c r="D2295" s="36" t="s">
        <v>27878</v>
      </c>
      <c r="P2295" s="36" t="s">
        <v>27876</v>
      </c>
    </row>
    <row r="2296" spans="1:16">
      <c r="A2296" s="139">
        <v>2295</v>
      </c>
      <c r="B2296" s="36" t="s">
        <v>27879</v>
      </c>
      <c r="C2296" s="36" t="s">
        <v>27880</v>
      </c>
      <c r="D2296" s="36" t="s">
        <v>27881</v>
      </c>
      <c r="P2296" s="36" t="s">
        <v>27879</v>
      </c>
    </row>
    <row r="2297" spans="1:16">
      <c r="A2297" s="139">
        <v>2296</v>
      </c>
      <c r="B2297" s="36" t="s">
        <v>27882</v>
      </c>
      <c r="C2297" s="36" t="s">
        <v>27883</v>
      </c>
      <c r="D2297" s="36" t="s">
        <v>27884</v>
      </c>
      <c r="P2297" s="36" t="s">
        <v>27882</v>
      </c>
    </row>
    <row r="2298" spans="1:16">
      <c r="A2298" s="139">
        <v>2297</v>
      </c>
      <c r="B2298" s="36" t="s">
        <v>27885</v>
      </c>
      <c r="C2298" s="36" t="s">
        <v>27886</v>
      </c>
      <c r="D2298" s="36" t="s">
        <v>27887</v>
      </c>
      <c r="P2298" s="36" t="s">
        <v>27885</v>
      </c>
    </row>
    <row r="2299" spans="1:16">
      <c r="A2299" s="139">
        <v>2298</v>
      </c>
      <c r="B2299" s="36" t="s">
        <v>27888</v>
      </c>
      <c r="C2299" s="36" t="s">
        <v>27889</v>
      </c>
      <c r="D2299" s="36" t="s">
        <v>27890</v>
      </c>
      <c r="P2299" s="36" t="s">
        <v>27888</v>
      </c>
    </row>
    <row r="2300" spans="1:16">
      <c r="A2300" s="139">
        <v>2299</v>
      </c>
      <c r="B2300" s="36" t="s">
        <v>27891</v>
      </c>
      <c r="C2300" s="36" t="s">
        <v>27892</v>
      </c>
      <c r="D2300" s="36" t="s">
        <v>27893</v>
      </c>
      <c r="P2300" s="36" t="s">
        <v>27891</v>
      </c>
    </row>
    <row r="2301" spans="1:16">
      <c r="A2301" s="139">
        <v>2300</v>
      </c>
      <c r="B2301" s="36" t="s">
        <v>27894</v>
      </c>
      <c r="C2301" s="36" t="s">
        <v>27895</v>
      </c>
      <c r="P2301" s="36" t="s">
        <v>27894</v>
      </c>
    </row>
    <row r="2302" spans="1:16">
      <c r="A2302" s="139">
        <v>2301</v>
      </c>
      <c r="B2302" s="36" t="s">
        <v>27896</v>
      </c>
      <c r="C2302" s="36" t="s">
        <v>27897</v>
      </c>
      <c r="D2302" s="36" t="s">
        <v>27898</v>
      </c>
      <c r="P2302" s="36" t="s">
        <v>27896</v>
      </c>
    </row>
    <row r="2303" spans="1:16">
      <c r="A2303" s="139">
        <v>2302</v>
      </c>
      <c r="B2303" s="36" t="s">
        <v>27899</v>
      </c>
      <c r="C2303" s="36" t="s">
        <v>27900</v>
      </c>
      <c r="D2303" s="36" t="s">
        <v>27901</v>
      </c>
      <c r="E2303" s="36" t="s">
        <v>27902</v>
      </c>
      <c r="F2303" s="36" t="s">
        <v>27903</v>
      </c>
      <c r="G2303" s="36" t="s">
        <v>27904</v>
      </c>
      <c r="H2303" s="36" t="s">
        <v>27905</v>
      </c>
      <c r="I2303" s="36" t="s">
        <v>27906</v>
      </c>
      <c r="J2303" s="36" t="s">
        <v>27907</v>
      </c>
      <c r="K2303" s="36" t="s">
        <v>27908</v>
      </c>
      <c r="L2303" s="36" t="s">
        <v>27909</v>
      </c>
      <c r="M2303" s="36" t="s">
        <v>27910</v>
      </c>
      <c r="N2303" s="36" t="s">
        <v>27911</v>
      </c>
      <c r="O2303" s="36" t="s">
        <v>27912</v>
      </c>
      <c r="P2303" s="36" t="s">
        <v>27899</v>
      </c>
    </row>
    <row r="2304" spans="1:16">
      <c r="A2304" s="139">
        <v>2303</v>
      </c>
      <c r="B2304" s="36" t="s">
        <v>27913</v>
      </c>
      <c r="C2304" s="36" t="s">
        <v>27914</v>
      </c>
      <c r="P2304" s="36" t="s">
        <v>27913</v>
      </c>
    </row>
    <row r="2305" spans="1:16">
      <c r="A2305" s="139">
        <v>2304</v>
      </c>
      <c r="B2305" s="36" t="s">
        <v>27915</v>
      </c>
      <c r="C2305" s="36" t="s">
        <v>27916</v>
      </c>
      <c r="D2305" s="36" t="s">
        <v>27917</v>
      </c>
      <c r="P2305" s="36" t="s">
        <v>27915</v>
      </c>
    </row>
    <row r="2306" spans="1:16">
      <c r="A2306" s="139">
        <v>2305</v>
      </c>
      <c r="B2306" s="36" t="s">
        <v>27918</v>
      </c>
      <c r="C2306" s="36" t="s">
        <v>27919</v>
      </c>
      <c r="D2306" s="36" t="s">
        <v>27920</v>
      </c>
      <c r="P2306" s="36" t="s">
        <v>27918</v>
      </c>
    </row>
    <row r="2307" spans="1:16">
      <c r="A2307" s="139">
        <v>2306</v>
      </c>
      <c r="B2307" s="36" t="s">
        <v>27921</v>
      </c>
      <c r="C2307" s="36" t="s">
        <v>27922</v>
      </c>
      <c r="D2307" s="36" t="s">
        <v>27923</v>
      </c>
      <c r="P2307" s="36" t="s">
        <v>27921</v>
      </c>
    </row>
    <row r="2308" spans="1:16">
      <c r="A2308" s="139">
        <v>2307</v>
      </c>
      <c r="B2308" s="36" t="s">
        <v>27924</v>
      </c>
      <c r="C2308" s="36" t="s">
        <v>27925</v>
      </c>
      <c r="P2308" s="36" t="s">
        <v>27924</v>
      </c>
    </row>
    <row r="2309" spans="1:16">
      <c r="A2309" s="139">
        <v>2308</v>
      </c>
      <c r="B2309" s="36" t="s">
        <v>27926</v>
      </c>
      <c r="C2309" s="36" t="s">
        <v>27927</v>
      </c>
      <c r="P2309" s="36" t="s">
        <v>27926</v>
      </c>
    </row>
    <row r="2310" spans="1:16">
      <c r="A2310" s="139">
        <v>2309</v>
      </c>
      <c r="B2310" s="36" t="s">
        <v>27928</v>
      </c>
      <c r="C2310" s="36" t="s">
        <v>27929</v>
      </c>
      <c r="D2310" s="36" t="s">
        <v>27930</v>
      </c>
      <c r="P2310" s="36" t="s">
        <v>27928</v>
      </c>
    </row>
    <row r="2311" spans="1:16">
      <c r="A2311" s="139">
        <v>2310</v>
      </c>
      <c r="B2311" s="36" t="s">
        <v>27931</v>
      </c>
      <c r="C2311" s="36" t="s">
        <v>27932</v>
      </c>
      <c r="D2311" s="36" t="s">
        <v>27933</v>
      </c>
      <c r="P2311" s="36" t="s">
        <v>27931</v>
      </c>
    </row>
    <row r="2312" spans="1:16">
      <c r="A2312" s="139">
        <v>2311</v>
      </c>
      <c r="B2312" s="36" t="s">
        <v>27934</v>
      </c>
      <c r="C2312" s="36" t="s">
        <v>27935</v>
      </c>
      <c r="D2312" s="36" t="s">
        <v>27936</v>
      </c>
      <c r="P2312" s="36" t="s">
        <v>27934</v>
      </c>
    </row>
    <row r="2313" spans="1:16">
      <c r="A2313" s="139">
        <v>2312</v>
      </c>
      <c r="B2313" s="36" t="s">
        <v>27937</v>
      </c>
      <c r="C2313" s="36" t="s">
        <v>27938</v>
      </c>
      <c r="D2313" s="36" t="s">
        <v>27939</v>
      </c>
      <c r="P2313" s="36" t="s">
        <v>27937</v>
      </c>
    </row>
    <row r="2314" spans="1:16">
      <c r="A2314" s="139">
        <v>2313</v>
      </c>
      <c r="B2314" s="36" t="s">
        <v>27940</v>
      </c>
      <c r="C2314" s="36" t="s">
        <v>27941</v>
      </c>
      <c r="D2314" s="36" t="s">
        <v>27942</v>
      </c>
      <c r="P2314" s="36" t="s">
        <v>27940</v>
      </c>
    </row>
    <row r="2315" spans="1:16">
      <c r="A2315" s="139">
        <v>2314</v>
      </c>
      <c r="B2315" s="36" t="s">
        <v>27943</v>
      </c>
      <c r="C2315" s="36" t="s">
        <v>27944</v>
      </c>
      <c r="P2315" s="36" t="s">
        <v>27943</v>
      </c>
    </row>
    <row r="2316" spans="1:16">
      <c r="A2316" s="139">
        <v>2315</v>
      </c>
      <c r="B2316" s="36" t="s">
        <v>27945</v>
      </c>
      <c r="C2316" s="36" t="s">
        <v>27946</v>
      </c>
      <c r="D2316" s="36" t="s">
        <v>27947</v>
      </c>
      <c r="P2316" s="36" t="s">
        <v>27945</v>
      </c>
    </row>
    <row r="2317" spans="1:16">
      <c r="A2317" s="139">
        <v>2316</v>
      </c>
      <c r="B2317" s="36" t="s">
        <v>27948</v>
      </c>
      <c r="C2317" s="36" t="s">
        <v>27949</v>
      </c>
      <c r="P2317" s="36" t="s">
        <v>27948</v>
      </c>
    </row>
    <row r="2318" spans="1:16">
      <c r="A2318" s="139">
        <v>2317</v>
      </c>
      <c r="B2318" s="36" t="s">
        <v>27950</v>
      </c>
      <c r="C2318" s="36" t="s">
        <v>4580</v>
      </c>
      <c r="D2318" s="36" t="s">
        <v>27951</v>
      </c>
      <c r="P2318" s="36" t="s">
        <v>27950</v>
      </c>
    </row>
    <row r="2319" spans="1:16">
      <c r="A2319" s="139">
        <v>2318</v>
      </c>
      <c r="B2319" s="36" t="s">
        <v>27952</v>
      </c>
      <c r="C2319" s="36" t="s">
        <v>27953</v>
      </c>
      <c r="P2319" s="36" t="s">
        <v>27952</v>
      </c>
    </row>
    <row r="2320" spans="1:16">
      <c r="A2320" s="139">
        <v>2319</v>
      </c>
      <c r="B2320" s="36" t="s">
        <v>27954</v>
      </c>
      <c r="C2320" s="36" t="s">
        <v>27955</v>
      </c>
      <c r="D2320" s="36" t="s">
        <v>27956</v>
      </c>
      <c r="P2320" s="36" t="s">
        <v>27954</v>
      </c>
    </row>
    <row r="2321" spans="1:16">
      <c r="A2321" s="139">
        <v>2320</v>
      </c>
      <c r="B2321" s="36" t="s">
        <v>27957</v>
      </c>
      <c r="C2321" s="36" t="s">
        <v>27958</v>
      </c>
      <c r="P2321" s="36" t="s">
        <v>27957</v>
      </c>
    </row>
    <row r="2322" spans="1:16">
      <c r="A2322" s="139">
        <v>2321</v>
      </c>
      <c r="B2322" s="36" t="s">
        <v>27959</v>
      </c>
      <c r="C2322" s="36" t="s">
        <v>27960</v>
      </c>
      <c r="P2322" s="36" t="s">
        <v>27959</v>
      </c>
    </row>
    <row r="2323" spans="1:16">
      <c r="A2323" s="139">
        <v>2322</v>
      </c>
      <c r="B2323" s="36" t="s">
        <v>27961</v>
      </c>
      <c r="C2323" s="36" t="s">
        <v>27962</v>
      </c>
      <c r="D2323" s="36" t="s">
        <v>27963</v>
      </c>
      <c r="P2323" s="36" t="s">
        <v>27961</v>
      </c>
    </row>
    <row r="2324" spans="1:16">
      <c r="A2324" s="139">
        <v>2323</v>
      </c>
      <c r="B2324" s="36" t="s">
        <v>27964</v>
      </c>
      <c r="C2324" s="36" t="s">
        <v>27964</v>
      </c>
      <c r="D2324" s="36" t="s">
        <v>27965</v>
      </c>
      <c r="P2324" s="36" t="s">
        <v>27964</v>
      </c>
    </row>
    <row r="2325" spans="1:16">
      <c r="A2325" s="139">
        <v>2324</v>
      </c>
      <c r="B2325" s="36" t="s">
        <v>27966</v>
      </c>
      <c r="C2325" s="36" t="s">
        <v>27967</v>
      </c>
      <c r="D2325" s="36" t="s">
        <v>27968</v>
      </c>
      <c r="P2325" s="36" t="s">
        <v>27966</v>
      </c>
    </row>
    <row r="2326" spans="1:16">
      <c r="A2326" s="139">
        <v>2325</v>
      </c>
      <c r="B2326" s="36" t="s">
        <v>27969</v>
      </c>
      <c r="C2326" s="36" t="s">
        <v>27970</v>
      </c>
      <c r="D2326" s="36" t="s">
        <v>5025</v>
      </c>
      <c r="P2326" s="36" t="s">
        <v>27969</v>
      </c>
    </row>
    <row r="2327" spans="1:16">
      <c r="A2327" s="139">
        <v>2326</v>
      </c>
      <c r="B2327" s="36" t="s">
        <v>27971</v>
      </c>
      <c r="C2327" s="36" t="s">
        <v>27972</v>
      </c>
      <c r="D2327" s="36" t="s">
        <v>27973</v>
      </c>
      <c r="P2327" s="36" t="s">
        <v>27971</v>
      </c>
    </row>
    <row r="2328" spans="1:16">
      <c r="A2328" s="139">
        <v>2327</v>
      </c>
      <c r="B2328" s="36" t="s">
        <v>27974</v>
      </c>
      <c r="C2328" s="36" t="s">
        <v>27975</v>
      </c>
      <c r="D2328" s="36" t="s">
        <v>5039</v>
      </c>
      <c r="P2328" s="36" t="s">
        <v>27974</v>
      </c>
    </row>
    <row r="2329" spans="1:16">
      <c r="A2329" s="139">
        <v>2328</v>
      </c>
      <c r="B2329" s="36" t="s">
        <v>27976</v>
      </c>
      <c r="C2329" s="36" t="s">
        <v>27977</v>
      </c>
      <c r="D2329" s="36" t="s">
        <v>27978</v>
      </c>
      <c r="P2329" s="36" t="s">
        <v>27976</v>
      </c>
    </row>
    <row r="2330" spans="1:16">
      <c r="A2330" s="139">
        <v>2329</v>
      </c>
      <c r="B2330" s="36" t="s">
        <v>27979</v>
      </c>
      <c r="C2330" s="36" t="s">
        <v>27980</v>
      </c>
      <c r="D2330" s="36" t="s">
        <v>3678</v>
      </c>
      <c r="P2330" s="36" t="s">
        <v>27979</v>
      </c>
    </row>
    <row r="2331" spans="1:16">
      <c r="A2331" s="139">
        <v>2330</v>
      </c>
      <c r="B2331" s="36" t="s">
        <v>27981</v>
      </c>
      <c r="C2331" s="36" t="s">
        <v>27982</v>
      </c>
      <c r="D2331" s="36" t="s">
        <v>27983</v>
      </c>
      <c r="P2331" s="36" t="s">
        <v>27981</v>
      </c>
    </row>
    <row r="2332" spans="1:16">
      <c r="A2332" s="139">
        <v>2331</v>
      </c>
      <c r="B2332" s="36" t="s">
        <v>27984</v>
      </c>
      <c r="C2332" s="36" t="s">
        <v>27985</v>
      </c>
      <c r="D2332" s="36" t="s">
        <v>27986</v>
      </c>
      <c r="P2332" s="36" t="s">
        <v>27984</v>
      </c>
    </row>
    <row r="2333" spans="1:16">
      <c r="A2333" s="139">
        <v>2332</v>
      </c>
      <c r="B2333" s="36" t="s">
        <v>27987</v>
      </c>
      <c r="C2333" s="36" t="s">
        <v>27988</v>
      </c>
      <c r="D2333" s="36" t="s">
        <v>27989</v>
      </c>
      <c r="P2333" s="36" t="s">
        <v>27987</v>
      </c>
    </row>
    <row r="2334" spans="1:16">
      <c r="A2334" s="139">
        <v>2333</v>
      </c>
      <c r="B2334" s="36" t="s">
        <v>27990</v>
      </c>
      <c r="C2334" s="36" t="s">
        <v>27991</v>
      </c>
      <c r="P2334" s="36" t="s">
        <v>27990</v>
      </c>
    </row>
    <row r="2335" spans="1:16">
      <c r="A2335" s="139">
        <v>2334</v>
      </c>
      <c r="B2335" s="36" t="s">
        <v>27992</v>
      </c>
      <c r="C2335" s="36" t="s">
        <v>27993</v>
      </c>
      <c r="P2335" s="36" t="s">
        <v>27992</v>
      </c>
    </row>
    <row r="2336" spans="1:16">
      <c r="A2336" s="139">
        <v>2335</v>
      </c>
      <c r="B2336" s="36" t="s">
        <v>27994</v>
      </c>
      <c r="C2336" s="36" t="s">
        <v>27995</v>
      </c>
      <c r="P2336" s="36" t="s">
        <v>27994</v>
      </c>
    </row>
    <row r="2337" spans="1:16">
      <c r="A2337" s="139">
        <v>2336</v>
      </c>
      <c r="B2337" s="36" t="s">
        <v>27996</v>
      </c>
      <c r="C2337" s="36" t="s">
        <v>27997</v>
      </c>
      <c r="D2337" s="36" t="s">
        <v>27998</v>
      </c>
      <c r="P2337" s="36" t="s">
        <v>27996</v>
      </c>
    </row>
    <row r="2338" spans="1:16">
      <c r="A2338" s="139">
        <v>2337</v>
      </c>
      <c r="B2338" s="36" t="s">
        <v>27999</v>
      </c>
      <c r="C2338" s="36" t="s">
        <v>28000</v>
      </c>
      <c r="D2338" s="36" t="s">
        <v>28001</v>
      </c>
      <c r="P2338" s="36" t="s">
        <v>27999</v>
      </c>
    </row>
    <row r="2339" spans="1:16">
      <c r="A2339" s="139">
        <v>2338</v>
      </c>
      <c r="B2339" s="36" t="s">
        <v>28002</v>
      </c>
      <c r="C2339" s="36" t="s">
        <v>28003</v>
      </c>
      <c r="P2339" s="36" t="s">
        <v>28002</v>
      </c>
    </row>
    <row r="2340" spans="1:16">
      <c r="A2340" s="139">
        <v>2339</v>
      </c>
      <c r="B2340" s="36" t="s">
        <v>28004</v>
      </c>
      <c r="C2340" s="36" t="s">
        <v>28004</v>
      </c>
      <c r="P2340" s="36" t="s">
        <v>28004</v>
      </c>
    </row>
    <row r="2341" spans="1:16">
      <c r="A2341" s="139">
        <v>2340</v>
      </c>
      <c r="B2341" s="36" t="s">
        <v>28005</v>
      </c>
      <c r="C2341" s="36" t="s">
        <v>28006</v>
      </c>
      <c r="D2341" s="36" t="s">
        <v>28007</v>
      </c>
      <c r="P2341" s="36" t="s">
        <v>28005</v>
      </c>
    </row>
    <row r="2342" spans="1:16">
      <c r="A2342" s="139">
        <v>2341</v>
      </c>
      <c r="B2342" s="36" t="s">
        <v>28008</v>
      </c>
      <c r="C2342" s="36" t="s">
        <v>28009</v>
      </c>
      <c r="P2342" s="36" t="s">
        <v>28008</v>
      </c>
    </row>
    <row r="2343" spans="1:16">
      <c r="A2343" s="139">
        <v>2342</v>
      </c>
      <c r="B2343" s="36" t="s">
        <v>28010</v>
      </c>
      <c r="C2343" s="36" t="s">
        <v>28011</v>
      </c>
      <c r="D2343" s="36" t="s">
        <v>28011</v>
      </c>
      <c r="P2343" s="36" t="s">
        <v>28010</v>
      </c>
    </row>
    <row r="2344" spans="1:16">
      <c r="A2344" s="139">
        <v>2343</v>
      </c>
      <c r="B2344" s="36" t="s">
        <v>28012</v>
      </c>
      <c r="C2344" s="36" t="s">
        <v>28013</v>
      </c>
      <c r="D2344" s="36" t="s">
        <v>28014</v>
      </c>
      <c r="P2344" s="36" t="s">
        <v>28012</v>
      </c>
    </row>
    <row r="2345" spans="1:16">
      <c r="A2345" s="139">
        <v>2344</v>
      </c>
      <c r="B2345" s="36" t="s">
        <v>28015</v>
      </c>
      <c r="C2345" s="36" t="s">
        <v>28016</v>
      </c>
      <c r="D2345" s="36" t="s">
        <v>28017</v>
      </c>
      <c r="P2345" s="36" t="s">
        <v>28015</v>
      </c>
    </row>
    <row r="2346" spans="1:16">
      <c r="A2346" s="139">
        <v>2345</v>
      </c>
      <c r="B2346" s="36" t="s">
        <v>28018</v>
      </c>
      <c r="C2346" s="36" t="s">
        <v>28019</v>
      </c>
      <c r="P2346" s="36" t="s">
        <v>28018</v>
      </c>
    </row>
    <row r="2347" spans="1:16">
      <c r="A2347" s="139">
        <v>2346</v>
      </c>
      <c r="B2347" s="36" t="s">
        <v>28020</v>
      </c>
      <c r="C2347" s="36" t="s">
        <v>28021</v>
      </c>
      <c r="D2347" s="36" t="s">
        <v>28022</v>
      </c>
      <c r="P2347" s="36" t="s">
        <v>28020</v>
      </c>
    </row>
    <row r="2348" spans="1:16">
      <c r="A2348" s="139">
        <v>2347</v>
      </c>
      <c r="B2348" s="36" t="s">
        <v>28023</v>
      </c>
      <c r="C2348" s="36" t="s">
        <v>28024</v>
      </c>
      <c r="D2348" s="36" t="s">
        <v>28025</v>
      </c>
      <c r="P2348" s="36" t="s">
        <v>28023</v>
      </c>
    </row>
    <row r="2349" spans="1:16">
      <c r="A2349" s="139">
        <v>2348</v>
      </c>
      <c r="B2349" s="36" t="s">
        <v>28026</v>
      </c>
      <c r="C2349" s="36" t="s">
        <v>28027</v>
      </c>
      <c r="D2349" s="36" t="s">
        <v>28028</v>
      </c>
      <c r="P2349" s="36" t="s">
        <v>28026</v>
      </c>
    </row>
    <row r="2350" spans="1:16">
      <c r="A2350" s="139">
        <v>2349</v>
      </c>
      <c r="B2350" s="36" t="s">
        <v>28029</v>
      </c>
      <c r="C2350" s="36" t="s">
        <v>28030</v>
      </c>
      <c r="D2350" s="36" t="s">
        <v>28031</v>
      </c>
      <c r="P2350" s="36" t="s">
        <v>28029</v>
      </c>
    </row>
    <row r="2351" spans="1:16">
      <c r="A2351" s="139">
        <v>2350</v>
      </c>
      <c r="B2351" s="36" t="s">
        <v>28032</v>
      </c>
      <c r="C2351" s="36" t="s">
        <v>28033</v>
      </c>
      <c r="P2351" s="36" t="s">
        <v>28032</v>
      </c>
    </row>
    <row r="2352" spans="1:16">
      <c r="A2352" s="139">
        <v>2351</v>
      </c>
      <c r="B2352" s="36" t="s">
        <v>28034</v>
      </c>
      <c r="C2352" s="36" t="s">
        <v>28035</v>
      </c>
      <c r="D2352" s="36" t="s">
        <v>28036</v>
      </c>
      <c r="P2352" s="36" t="s">
        <v>28034</v>
      </c>
    </row>
    <row r="2353" spans="1:16">
      <c r="A2353" s="139">
        <v>2352</v>
      </c>
      <c r="B2353" s="36" t="s">
        <v>28037</v>
      </c>
      <c r="C2353" s="36" t="s">
        <v>28038</v>
      </c>
      <c r="D2353" s="36" t="s">
        <v>28039</v>
      </c>
      <c r="P2353" s="36" t="s">
        <v>28037</v>
      </c>
    </row>
    <row r="2354" spans="1:16">
      <c r="A2354" s="139">
        <v>2353</v>
      </c>
      <c r="B2354" s="36" t="s">
        <v>28040</v>
      </c>
      <c r="C2354" s="36" t="s">
        <v>28041</v>
      </c>
      <c r="D2354" s="36" t="s">
        <v>28042</v>
      </c>
      <c r="P2354" s="36" t="s">
        <v>28040</v>
      </c>
    </row>
    <row r="2355" spans="1:16">
      <c r="A2355" s="139">
        <v>2354</v>
      </c>
      <c r="B2355" s="36" t="s">
        <v>28043</v>
      </c>
      <c r="C2355" s="36" t="s">
        <v>28044</v>
      </c>
      <c r="P2355" s="36" t="s">
        <v>28043</v>
      </c>
    </row>
    <row r="2356" spans="1:16">
      <c r="A2356" s="139">
        <v>2355</v>
      </c>
      <c r="B2356" s="36" t="s">
        <v>28045</v>
      </c>
      <c r="C2356" s="36" t="s">
        <v>28046</v>
      </c>
      <c r="D2356" s="36" t="s">
        <v>28047</v>
      </c>
      <c r="P2356" s="36" t="s">
        <v>28045</v>
      </c>
    </row>
    <row r="2357" spans="1:16">
      <c r="A2357" s="139">
        <v>2356</v>
      </c>
      <c r="B2357" s="36" t="s">
        <v>28048</v>
      </c>
      <c r="C2357" s="36" t="s">
        <v>28049</v>
      </c>
      <c r="D2357" s="36" t="s">
        <v>28050</v>
      </c>
      <c r="P2357" s="36" t="s">
        <v>28048</v>
      </c>
    </row>
    <row r="2358" spans="1:16">
      <c r="A2358" s="139">
        <v>2357</v>
      </c>
      <c r="B2358" s="36" t="s">
        <v>28051</v>
      </c>
      <c r="C2358" s="36" t="s">
        <v>28052</v>
      </c>
      <c r="D2358" s="36" t="s">
        <v>28053</v>
      </c>
      <c r="P2358" s="36" t="s">
        <v>28051</v>
      </c>
    </row>
    <row r="2359" spans="1:16">
      <c r="A2359" s="139">
        <v>2358</v>
      </c>
      <c r="B2359" s="36" t="s">
        <v>28054</v>
      </c>
      <c r="C2359" s="36" t="s">
        <v>28055</v>
      </c>
      <c r="D2359" s="36" t="s">
        <v>28056</v>
      </c>
      <c r="P2359" s="36" t="s">
        <v>28054</v>
      </c>
    </row>
    <row r="2360" spans="1:16">
      <c r="A2360" s="139">
        <v>2359</v>
      </c>
      <c r="B2360" s="36" t="s">
        <v>28057</v>
      </c>
      <c r="C2360" s="36" t="s">
        <v>28058</v>
      </c>
      <c r="D2360" s="36" t="s">
        <v>28059</v>
      </c>
      <c r="P2360" s="36" t="s">
        <v>28057</v>
      </c>
    </row>
    <row r="2361" spans="1:16">
      <c r="A2361" s="139">
        <v>2360</v>
      </c>
      <c r="B2361" s="36" t="s">
        <v>28060</v>
      </c>
      <c r="C2361" s="36" t="s">
        <v>28061</v>
      </c>
      <c r="D2361" s="36" t="s">
        <v>28062</v>
      </c>
      <c r="P2361" s="36" t="s">
        <v>28060</v>
      </c>
    </row>
    <row r="2362" spans="1:16">
      <c r="A2362" s="139">
        <v>2361</v>
      </c>
      <c r="B2362" s="36" t="s">
        <v>28063</v>
      </c>
      <c r="C2362" s="36" t="s">
        <v>28064</v>
      </c>
      <c r="D2362" s="36" t="s">
        <v>28065</v>
      </c>
      <c r="P2362" s="36" t="s">
        <v>28063</v>
      </c>
    </row>
    <row r="2363" spans="1:16">
      <c r="A2363" s="139">
        <v>2362</v>
      </c>
      <c r="B2363" s="36" t="s">
        <v>28066</v>
      </c>
      <c r="C2363" s="36" t="s">
        <v>28067</v>
      </c>
      <c r="D2363" s="36" t="s">
        <v>28068</v>
      </c>
      <c r="P2363" s="36" t="s">
        <v>28066</v>
      </c>
    </row>
    <row r="2364" spans="1:16">
      <c r="A2364" s="139">
        <v>2363</v>
      </c>
      <c r="B2364" s="36" t="s">
        <v>28069</v>
      </c>
      <c r="C2364" s="36" t="s">
        <v>28070</v>
      </c>
      <c r="D2364" s="36" t="s">
        <v>28071</v>
      </c>
      <c r="P2364" s="36" t="s">
        <v>28069</v>
      </c>
    </row>
    <row r="2365" spans="1:16">
      <c r="A2365" s="139">
        <v>2364</v>
      </c>
      <c r="B2365" s="36" t="s">
        <v>28072</v>
      </c>
      <c r="C2365" s="36" t="s">
        <v>28073</v>
      </c>
      <c r="D2365" s="36" t="s">
        <v>28074</v>
      </c>
      <c r="P2365" s="36" t="s">
        <v>28072</v>
      </c>
    </row>
    <row r="2366" spans="1:16">
      <c r="A2366" s="139">
        <v>2365</v>
      </c>
      <c r="B2366" s="36" t="s">
        <v>28075</v>
      </c>
      <c r="C2366" s="36" t="s">
        <v>5822</v>
      </c>
      <c r="D2366" s="36" t="s">
        <v>5809</v>
      </c>
      <c r="P2366" s="36" t="s">
        <v>28075</v>
      </c>
    </row>
    <row r="2367" spans="1:16">
      <c r="A2367" s="139">
        <v>2366</v>
      </c>
      <c r="B2367" s="36" t="s">
        <v>28076</v>
      </c>
      <c r="C2367" s="36" t="s">
        <v>28077</v>
      </c>
      <c r="D2367" s="36" t="s">
        <v>28078</v>
      </c>
      <c r="P2367" s="36" t="s">
        <v>28076</v>
      </c>
    </row>
    <row r="2368" spans="1:16">
      <c r="A2368" s="139">
        <v>2367</v>
      </c>
      <c r="B2368" s="36" t="s">
        <v>28079</v>
      </c>
      <c r="C2368" s="36" t="s">
        <v>28080</v>
      </c>
      <c r="P2368" s="36" t="s">
        <v>28079</v>
      </c>
    </row>
    <row r="2369" spans="1:16">
      <c r="A2369" s="139">
        <v>2368</v>
      </c>
      <c r="B2369" s="36" t="s">
        <v>28081</v>
      </c>
      <c r="C2369" s="36" t="s">
        <v>28082</v>
      </c>
      <c r="D2369" s="36" t="s">
        <v>28083</v>
      </c>
      <c r="P2369" s="36" t="s">
        <v>28081</v>
      </c>
    </row>
    <row r="2370" spans="1:16">
      <c r="A2370" s="139">
        <v>2369</v>
      </c>
      <c r="B2370" s="36" t="s">
        <v>28084</v>
      </c>
      <c r="C2370" s="36" t="s">
        <v>28085</v>
      </c>
      <c r="D2370" s="36" t="s">
        <v>28086</v>
      </c>
      <c r="P2370" s="36" t="s">
        <v>28084</v>
      </c>
    </row>
    <row r="2371" spans="1:16">
      <c r="A2371" s="139">
        <v>2370</v>
      </c>
      <c r="B2371" s="36" t="s">
        <v>28087</v>
      </c>
      <c r="C2371" s="36" t="s">
        <v>28088</v>
      </c>
      <c r="P2371" s="36" t="s">
        <v>28087</v>
      </c>
    </row>
    <row r="2372" spans="1:16">
      <c r="A2372" s="139">
        <v>2371</v>
      </c>
      <c r="B2372" s="36" t="s">
        <v>2382</v>
      </c>
      <c r="C2372" s="36" t="s">
        <v>2382</v>
      </c>
      <c r="D2372" s="36" t="s">
        <v>2382</v>
      </c>
      <c r="P2372" s="36" t="s">
        <v>2382</v>
      </c>
    </row>
    <row r="2373" spans="1:16">
      <c r="A2373" s="139">
        <v>2372</v>
      </c>
      <c r="B2373" s="36" t="s">
        <v>28089</v>
      </c>
      <c r="C2373" s="36" t="s">
        <v>28090</v>
      </c>
      <c r="P2373" s="36" t="s">
        <v>28089</v>
      </c>
    </row>
    <row r="2374" spans="1:16">
      <c r="A2374" s="139">
        <v>2373</v>
      </c>
      <c r="B2374" s="36" t="s">
        <v>28091</v>
      </c>
      <c r="C2374" s="36" t="s">
        <v>28092</v>
      </c>
      <c r="D2374" s="36" t="s">
        <v>28093</v>
      </c>
      <c r="P2374" s="36" t="s">
        <v>28091</v>
      </c>
    </row>
    <row r="2375" spans="1:16">
      <c r="A2375" s="139">
        <v>2374</v>
      </c>
      <c r="B2375" s="36" t="s">
        <v>28094</v>
      </c>
      <c r="C2375" s="36" t="s">
        <v>28095</v>
      </c>
      <c r="D2375" s="36" t="s">
        <v>28096</v>
      </c>
      <c r="P2375" s="36" t="s">
        <v>28094</v>
      </c>
    </row>
    <row r="2376" spans="1:16">
      <c r="A2376" s="139">
        <v>2375</v>
      </c>
      <c r="B2376" s="36" t="s">
        <v>28097</v>
      </c>
      <c r="C2376" s="36" t="s">
        <v>28095</v>
      </c>
      <c r="D2376" s="36" t="s">
        <v>28098</v>
      </c>
      <c r="P2376" s="36" t="s">
        <v>28097</v>
      </c>
    </row>
    <row r="2377" spans="1:16">
      <c r="A2377" s="139">
        <v>2376</v>
      </c>
      <c r="B2377" s="36" t="s">
        <v>28099</v>
      </c>
      <c r="C2377" s="36" t="s">
        <v>28100</v>
      </c>
      <c r="D2377" s="36" t="s">
        <v>28101</v>
      </c>
      <c r="P2377" s="36" t="s">
        <v>28099</v>
      </c>
    </row>
    <row r="2378" spans="1:16">
      <c r="A2378" s="139">
        <v>2377</v>
      </c>
      <c r="B2378" s="36" t="s">
        <v>28102</v>
      </c>
      <c r="C2378" s="36" t="s">
        <v>28103</v>
      </c>
      <c r="P2378" s="36" t="s">
        <v>28102</v>
      </c>
    </row>
    <row r="2379" spans="1:16">
      <c r="A2379" s="139">
        <v>2378</v>
      </c>
      <c r="B2379" s="36" t="s">
        <v>28104</v>
      </c>
      <c r="C2379" s="36" t="s">
        <v>28105</v>
      </c>
      <c r="D2379" s="36" t="s">
        <v>28106</v>
      </c>
      <c r="P2379" s="36" t="s">
        <v>28104</v>
      </c>
    </row>
    <row r="2380" spans="1:16">
      <c r="A2380" s="139">
        <v>2379</v>
      </c>
      <c r="B2380" s="36" t="s">
        <v>28107</v>
      </c>
      <c r="C2380" s="36" t="s">
        <v>28108</v>
      </c>
      <c r="D2380" s="36" t="s">
        <v>28109</v>
      </c>
      <c r="P2380" s="36" t="s">
        <v>28107</v>
      </c>
    </row>
    <row r="2381" spans="1:16">
      <c r="A2381" s="139">
        <v>2380</v>
      </c>
      <c r="B2381" s="36" t="s">
        <v>28110</v>
      </c>
      <c r="C2381" s="36" t="s">
        <v>28111</v>
      </c>
      <c r="D2381" s="36" t="s">
        <v>28112</v>
      </c>
      <c r="P2381" s="36" t="s">
        <v>28110</v>
      </c>
    </row>
    <row r="2382" spans="1:16">
      <c r="A2382" s="139">
        <v>2381</v>
      </c>
      <c r="B2382" s="36" t="s">
        <v>28113</v>
      </c>
      <c r="C2382" s="36" t="s">
        <v>28114</v>
      </c>
      <c r="P2382" s="36" t="s">
        <v>28113</v>
      </c>
    </row>
    <row r="2383" spans="1:16">
      <c r="A2383" s="139">
        <v>2382</v>
      </c>
      <c r="B2383" s="36" t="s">
        <v>28115</v>
      </c>
      <c r="C2383" s="36" t="s">
        <v>28116</v>
      </c>
      <c r="D2383" s="36" t="s">
        <v>28117</v>
      </c>
      <c r="P2383" s="36" t="s">
        <v>28115</v>
      </c>
    </row>
    <row r="2384" spans="1:16">
      <c r="A2384" s="139">
        <v>2383</v>
      </c>
      <c r="B2384" s="36" t="s">
        <v>28118</v>
      </c>
      <c r="C2384" s="36" t="s">
        <v>28119</v>
      </c>
      <c r="P2384" s="36" t="s">
        <v>28118</v>
      </c>
    </row>
    <row r="2385" spans="1:16">
      <c r="A2385" s="139">
        <v>2384</v>
      </c>
      <c r="B2385" s="36" t="s">
        <v>28120</v>
      </c>
      <c r="C2385" s="36" t="s">
        <v>28121</v>
      </c>
      <c r="D2385" s="36" t="s">
        <v>28122</v>
      </c>
      <c r="P2385" s="36" t="s">
        <v>28120</v>
      </c>
    </row>
    <row r="2386" spans="1:16">
      <c r="A2386" s="139">
        <v>2385</v>
      </c>
      <c r="B2386" s="36" t="s">
        <v>28123</v>
      </c>
      <c r="C2386" s="36" t="s">
        <v>28124</v>
      </c>
      <c r="D2386" s="36" t="s">
        <v>28125</v>
      </c>
      <c r="P2386" s="36" t="s">
        <v>28123</v>
      </c>
    </row>
    <row r="2387" spans="1:16">
      <c r="A2387" s="139">
        <v>2386</v>
      </c>
      <c r="B2387" s="36" t="s">
        <v>28126</v>
      </c>
      <c r="C2387" s="36" t="s">
        <v>28127</v>
      </c>
      <c r="D2387" s="36" t="s">
        <v>28128</v>
      </c>
      <c r="P2387" s="36" t="s">
        <v>28126</v>
      </c>
    </row>
    <row r="2388" spans="1:16">
      <c r="A2388" s="139">
        <v>2387</v>
      </c>
      <c r="B2388" s="36" t="s">
        <v>28129</v>
      </c>
      <c r="C2388" s="36" t="s">
        <v>28130</v>
      </c>
      <c r="D2388" s="36" t="s">
        <v>28131</v>
      </c>
      <c r="P2388" s="36" t="s">
        <v>28129</v>
      </c>
    </row>
    <row r="2389" spans="1:16">
      <c r="A2389" s="139">
        <v>2388</v>
      </c>
      <c r="B2389" s="36" t="s">
        <v>28132</v>
      </c>
      <c r="C2389" s="36" t="s">
        <v>28133</v>
      </c>
      <c r="P2389" s="36" t="s">
        <v>28132</v>
      </c>
    </row>
    <row r="2390" spans="1:16">
      <c r="A2390" s="139">
        <v>2389</v>
      </c>
      <c r="B2390" s="36" t="s">
        <v>28134</v>
      </c>
      <c r="C2390" s="36" t="s">
        <v>28135</v>
      </c>
      <c r="P2390" s="36" t="s">
        <v>28134</v>
      </c>
    </row>
    <row r="2391" spans="1:16">
      <c r="A2391" s="139">
        <v>2390</v>
      </c>
      <c r="B2391" s="36" t="s">
        <v>28136</v>
      </c>
      <c r="C2391" s="36" t="s">
        <v>28137</v>
      </c>
      <c r="D2391" s="36" t="s">
        <v>28138</v>
      </c>
      <c r="P2391" s="36" t="s">
        <v>28136</v>
      </c>
    </row>
    <row r="2392" spans="1:16">
      <c r="A2392" s="139">
        <v>2391</v>
      </c>
      <c r="B2392" s="36" t="s">
        <v>28139</v>
      </c>
      <c r="C2392" s="36" t="s">
        <v>28140</v>
      </c>
      <c r="D2392" s="36" t="s">
        <v>28141</v>
      </c>
      <c r="P2392" s="36" t="s">
        <v>28139</v>
      </c>
    </row>
    <row r="2393" spans="1:16">
      <c r="A2393" s="139">
        <v>2392</v>
      </c>
      <c r="B2393" s="36" t="s">
        <v>28142</v>
      </c>
      <c r="C2393" s="36" t="s">
        <v>28143</v>
      </c>
      <c r="D2393" s="36" t="s">
        <v>28144</v>
      </c>
      <c r="P2393" s="36" t="s">
        <v>28142</v>
      </c>
    </row>
    <row r="2394" spans="1:16">
      <c r="A2394" s="139">
        <v>2393</v>
      </c>
      <c r="B2394" s="36" t="s">
        <v>28145</v>
      </c>
      <c r="C2394" s="36" t="s">
        <v>28146</v>
      </c>
      <c r="D2394" s="36" t="s">
        <v>28147</v>
      </c>
      <c r="P2394" s="36" t="s">
        <v>28145</v>
      </c>
    </row>
    <row r="2395" spans="1:16">
      <c r="A2395" s="139">
        <v>2394</v>
      </c>
      <c r="B2395" s="36" t="s">
        <v>28148</v>
      </c>
      <c r="C2395" s="36" t="s">
        <v>28149</v>
      </c>
      <c r="D2395" s="36" t="s">
        <v>28150</v>
      </c>
      <c r="P2395" s="36" t="s">
        <v>28148</v>
      </c>
    </row>
    <row r="2396" spans="1:16">
      <c r="A2396" s="139">
        <v>2395</v>
      </c>
      <c r="B2396" s="36" t="s">
        <v>28151</v>
      </c>
      <c r="C2396" s="36" t="s">
        <v>28152</v>
      </c>
      <c r="D2396" s="36" t="s">
        <v>28153</v>
      </c>
      <c r="P2396" s="36" t="s">
        <v>28151</v>
      </c>
    </row>
    <row r="2397" spans="1:16">
      <c r="A2397" s="139">
        <v>2396</v>
      </c>
      <c r="B2397" s="36" t="s">
        <v>28154</v>
      </c>
      <c r="C2397" s="36" t="s">
        <v>28155</v>
      </c>
      <c r="D2397" s="36" t="s">
        <v>28156</v>
      </c>
      <c r="P2397" s="36" t="s">
        <v>28154</v>
      </c>
    </row>
    <row r="2398" spans="1:16">
      <c r="A2398" s="139">
        <v>2397</v>
      </c>
      <c r="B2398" s="36" t="s">
        <v>28157</v>
      </c>
      <c r="C2398" s="36" t="s">
        <v>28158</v>
      </c>
      <c r="P2398" s="36" t="s">
        <v>28157</v>
      </c>
    </row>
    <row r="2399" spans="1:16">
      <c r="A2399" s="139">
        <v>2398</v>
      </c>
      <c r="B2399" s="36" t="s">
        <v>28159</v>
      </c>
      <c r="C2399" s="36" t="s">
        <v>28160</v>
      </c>
      <c r="P2399" s="36" t="s">
        <v>28159</v>
      </c>
    </row>
    <row r="2400" spans="1:16">
      <c r="A2400" s="139">
        <v>2399</v>
      </c>
      <c r="B2400" s="36" t="s">
        <v>28161</v>
      </c>
      <c r="C2400" s="36" t="s">
        <v>28162</v>
      </c>
      <c r="D2400" s="36" t="s">
        <v>28163</v>
      </c>
      <c r="P2400" s="36" t="s">
        <v>28161</v>
      </c>
    </row>
    <row r="2401" spans="1:16">
      <c r="A2401" s="139">
        <v>2400</v>
      </c>
      <c r="B2401" s="36" t="s">
        <v>28164</v>
      </c>
      <c r="C2401" s="36" t="s">
        <v>28165</v>
      </c>
      <c r="D2401" s="36" t="s">
        <v>28166</v>
      </c>
      <c r="P2401" s="36" t="s">
        <v>28164</v>
      </c>
    </row>
    <row r="2402" spans="1:16">
      <c r="A2402" s="139">
        <v>2401</v>
      </c>
      <c r="B2402" s="36" t="s">
        <v>28167</v>
      </c>
      <c r="C2402" s="36" t="s">
        <v>28168</v>
      </c>
      <c r="D2402" s="36" t="s">
        <v>28169</v>
      </c>
      <c r="P2402" s="36" t="s">
        <v>28167</v>
      </c>
    </row>
    <row r="2403" spans="1:16">
      <c r="A2403" s="139">
        <v>2402</v>
      </c>
      <c r="B2403" s="36" t="s">
        <v>28170</v>
      </c>
      <c r="C2403" s="36" t="s">
        <v>28171</v>
      </c>
      <c r="D2403" s="36" t="s">
        <v>28172</v>
      </c>
      <c r="P2403" s="36" t="s">
        <v>28170</v>
      </c>
    </row>
    <row r="2404" spans="1:16">
      <c r="A2404" s="139">
        <v>2403</v>
      </c>
      <c r="B2404" s="36" t="s">
        <v>28173</v>
      </c>
      <c r="C2404" s="36" t="s">
        <v>28174</v>
      </c>
      <c r="D2404" s="36" t="s">
        <v>28175</v>
      </c>
      <c r="P2404" s="36" t="s">
        <v>28173</v>
      </c>
    </row>
    <row r="2405" spans="1:16">
      <c r="A2405" s="139">
        <v>2404</v>
      </c>
      <c r="B2405" s="36" t="s">
        <v>28176</v>
      </c>
      <c r="C2405" s="36" t="s">
        <v>28177</v>
      </c>
      <c r="D2405" s="36" t="s">
        <v>28178</v>
      </c>
      <c r="P2405" s="36" t="s">
        <v>28176</v>
      </c>
    </row>
    <row r="2406" spans="1:16">
      <c r="A2406" s="139">
        <v>2405</v>
      </c>
      <c r="B2406" s="36" t="s">
        <v>28179</v>
      </c>
      <c r="C2406" s="36" t="s">
        <v>28180</v>
      </c>
      <c r="D2406" s="36" t="s">
        <v>28181</v>
      </c>
      <c r="P2406" s="36" t="s">
        <v>28179</v>
      </c>
    </row>
    <row r="2407" spans="1:16">
      <c r="A2407" s="139">
        <v>2406</v>
      </c>
      <c r="B2407" s="36" t="s">
        <v>28182</v>
      </c>
      <c r="C2407" s="36" t="s">
        <v>28183</v>
      </c>
      <c r="D2407" s="36" t="s">
        <v>6825</v>
      </c>
      <c r="P2407" s="36" t="s">
        <v>28182</v>
      </c>
    </row>
    <row r="2408" spans="1:16">
      <c r="A2408" s="139">
        <v>2407</v>
      </c>
      <c r="B2408" s="36" t="s">
        <v>28184</v>
      </c>
      <c r="C2408" s="36" t="s">
        <v>28185</v>
      </c>
      <c r="D2408" s="36" t="s">
        <v>28186</v>
      </c>
      <c r="P2408" s="36" t="s">
        <v>28184</v>
      </c>
    </row>
    <row r="2409" spans="1:16">
      <c r="A2409" s="139">
        <v>2408</v>
      </c>
      <c r="B2409" s="36" t="s">
        <v>28187</v>
      </c>
      <c r="C2409" s="36" t="s">
        <v>28188</v>
      </c>
      <c r="P2409" s="36" t="s">
        <v>28187</v>
      </c>
    </row>
    <row r="2410" spans="1:16">
      <c r="A2410" s="139">
        <v>2409</v>
      </c>
      <c r="B2410" s="36" t="s">
        <v>28189</v>
      </c>
      <c r="C2410" s="36" t="s">
        <v>28190</v>
      </c>
      <c r="D2410" s="36" t="s">
        <v>28191</v>
      </c>
      <c r="P2410" s="36" t="s">
        <v>28189</v>
      </c>
    </row>
    <row r="2411" spans="1:16">
      <c r="A2411" s="139">
        <v>2410</v>
      </c>
      <c r="B2411" s="36" t="s">
        <v>28192</v>
      </c>
      <c r="C2411" s="36" t="s">
        <v>28193</v>
      </c>
      <c r="D2411" s="36" t="s">
        <v>28194</v>
      </c>
      <c r="P2411" s="36" t="s">
        <v>28192</v>
      </c>
    </row>
    <row r="2412" spans="1:16">
      <c r="A2412" s="139">
        <v>2411</v>
      </c>
      <c r="B2412" s="36" t="s">
        <v>28195</v>
      </c>
      <c r="C2412" s="36" t="s">
        <v>28196</v>
      </c>
      <c r="D2412" s="36" t="s">
        <v>28197</v>
      </c>
      <c r="P2412" s="36" t="s">
        <v>28195</v>
      </c>
    </row>
    <row r="2413" spans="1:16">
      <c r="A2413" s="139">
        <v>2412</v>
      </c>
      <c r="B2413" s="36" t="s">
        <v>28198</v>
      </c>
      <c r="C2413" s="36" t="s">
        <v>28199</v>
      </c>
      <c r="D2413" s="36" t="s">
        <v>28200</v>
      </c>
      <c r="P2413" s="36" t="s">
        <v>28198</v>
      </c>
    </row>
    <row r="2414" spans="1:16">
      <c r="A2414" s="139">
        <v>2413</v>
      </c>
      <c r="B2414" s="36" t="s">
        <v>28201</v>
      </c>
      <c r="C2414" s="36" t="s">
        <v>28202</v>
      </c>
      <c r="D2414" s="36" t="s">
        <v>28203</v>
      </c>
      <c r="P2414" s="36" t="s">
        <v>28201</v>
      </c>
    </row>
    <row r="2415" spans="1:16">
      <c r="A2415" s="139">
        <v>2414</v>
      </c>
      <c r="B2415" s="36" t="s">
        <v>28204</v>
      </c>
      <c r="C2415" s="36" t="s">
        <v>28205</v>
      </c>
      <c r="D2415" s="36" t="s">
        <v>28206</v>
      </c>
      <c r="P2415" s="36" t="s">
        <v>28204</v>
      </c>
    </row>
    <row r="2416" spans="1:16">
      <c r="A2416" s="139">
        <v>2415</v>
      </c>
      <c r="B2416" s="36" t="s">
        <v>28207</v>
      </c>
      <c r="C2416" s="36" t="s">
        <v>28208</v>
      </c>
      <c r="P2416" s="36" t="s">
        <v>28207</v>
      </c>
    </row>
    <row r="2417" spans="1:16">
      <c r="A2417" s="139">
        <v>2416</v>
      </c>
      <c r="B2417" s="36" t="s">
        <v>28209</v>
      </c>
      <c r="C2417" s="36" t="s">
        <v>28209</v>
      </c>
      <c r="D2417" s="36" t="s">
        <v>28209</v>
      </c>
      <c r="P2417" s="36" t="s">
        <v>28209</v>
      </c>
    </row>
    <row r="2418" spans="1:16">
      <c r="A2418" s="139">
        <v>2417</v>
      </c>
      <c r="B2418" s="36" t="s">
        <v>28210</v>
      </c>
      <c r="C2418" s="36" t="s">
        <v>28211</v>
      </c>
      <c r="D2418" s="36" t="s">
        <v>28212</v>
      </c>
      <c r="P2418" s="36" t="s">
        <v>28210</v>
      </c>
    </row>
    <row r="2419" spans="1:16">
      <c r="A2419" s="139">
        <v>2418</v>
      </c>
      <c r="B2419" s="36" t="s">
        <v>28213</v>
      </c>
      <c r="C2419" s="36" t="s">
        <v>28214</v>
      </c>
      <c r="P2419" s="36" t="s">
        <v>28213</v>
      </c>
    </row>
    <row r="2420" spans="1:16">
      <c r="A2420" s="139">
        <v>2419</v>
      </c>
      <c r="B2420" s="36" t="s">
        <v>28215</v>
      </c>
      <c r="C2420" s="36" t="s">
        <v>28216</v>
      </c>
      <c r="D2420" s="36" t="s">
        <v>28217</v>
      </c>
      <c r="P2420" s="36" t="s">
        <v>28215</v>
      </c>
    </row>
    <row r="2421" spans="1:16">
      <c r="A2421" s="139">
        <v>2420</v>
      </c>
      <c r="B2421" s="36" t="s">
        <v>28218</v>
      </c>
      <c r="C2421" s="36" t="s">
        <v>28219</v>
      </c>
      <c r="P2421" s="36" t="s">
        <v>28218</v>
      </c>
    </row>
    <row r="2422" spans="1:16">
      <c r="A2422" s="139">
        <v>2421</v>
      </c>
      <c r="B2422" s="36" t="s">
        <v>28220</v>
      </c>
      <c r="C2422" s="36" t="s">
        <v>28221</v>
      </c>
      <c r="D2422" s="36" t="s">
        <v>28222</v>
      </c>
      <c r="P2422" s="36" t="s">
        <v>28220</v>
      </c>
    </row>
    <row r="2423" spans="1:16">
      <c r="A2423" s="139">
        <v>2422</v>
      </c>
      <c r="B2423" s="36" t="s">
        <v>28223</v>
      </c>
      <c r="C2423" s="36" t="s">
        <v>28224</v>
      </c>
      <c r="D2423" s="36" t="s">
        <v>28225</v>
      </c>
      <c r="P2423" s="36" t="s">
        <v>28223</v>
      </c>
    </row>
    <row r="2424" spans="1:16">
      <c r="A2424" s="139">
        <v>2423</v>
      </c>
      <c r="B2424" s="36" t="s">
        <v>28226</v>
      </c>
      <c r="C2424" s="36" t="s">
        <v>28227</v>
      </c>
      <c r="D2424" s="36" t="s">
        <v>28228</v>
      </c>
      <c r="P2424" s="36" t="s">
        <v>28226</v>
      </c>
    </row>
    <row r="2425" spans="1:16">
      <c r="A2425" s="139">
        <v>2424</v>
      </c>
      <c r="B2425" s="36" t="s">
        <v>28229</v>
      </c>
      <c r="C2425" s="36" t="s">
        <v>28230</v>
      </c>
      <c r="D2425" s="36" t="s">
        <v>28231</v>
      </c>
      <c r="P2425" s="36" t="s">
        <v>28229</v>
      </c>
    </row>
    <row r="2426" spans="1:16">
      <c r="A2426" s="139">
        <v>2425</v>
      </c>
      <c r="B2426" s="36" t="s">
        <v>28232</v>
      </c>
      <c r="C2426" s="36" t="s">
        <v>28233</v>
      </c>
      <c r="D2426" s="36" t="s">
        <v>28234</v>
      </c>
      <c r="P2426" s="36" t="s">
        <v>28232</v>
      </c>
    </row>
    <row r="2427" spans="1:16">
      <c r="A2427" s="139">
        <v>2426</v>
      </c>
      <c r="B2427" s="36" t="s">
        <v>28235</v>
      </c>
      <c r="C2427" s="36" t="s">
        <v>28236</v>
      </c>
      <c r="D2427" s="36" t="s">
        <v>28237</v>
      </c>
      <c r="P2427" s="36" t="s">
        <v>28235</v>
      </c>
    </row>
    <row r="2428" spans="1:16">
      <c r="A2428" s="139">
        <v>2427</v>
      </c>
      <c r="B2428" s="36" t="s">
        <v>28238</v>
      </c>
      <c r="C2428" s="36" t="s">
        <v>28239</v>
      </c>
      <c r="P2428" s="36" t="s">
        <v>28238</v>
      </c>
    </row>
    <row r="2429" spans="1:16">
      <c r="A2429" s="139">
        <v>2428</v>
      </c>
      <c r="B2429" s="36" t="s">
        <v>28240</v>
      </c>
      <c r="C2429" s="36" t="s">
        <v>28241</v>
      </c>
      <c r="P2429" s="36" t="s">
        <v>28240</v>
      </c>
    </row>
    <row r="2430" spans="1:16">
      <c r="A2430" s="139">
        <v>2429</v>
      </c>
      <c r="B2430" s="36" t="s">
        <v>28242</v>
      </c>
      <c r="C2430" s="36" t="s">
        <v>28243</v>
      </c>
      <c r="D2430" s="36" t="s">
        <v>28243</v>
      </c>
      <c r="P2430" s="36" t="s">
        <v>28242</v>
      </c>
    </row>
    <row r="2431" spans="1:16">
      <c r="A2431" s="139">
        <v>2430</v>
      </c>
      <c r="B2431" s="36" t="s">
        <v>28244</v>
      </c>
      <c r="C2431" s="36" t="s">
        <v>28245</v>
      </c>
      <c r="D2431" s="36" t="s">
        <v>28246</v>
      </c>
      <c r="P2431" s="36" t="s">
        <v>28244</v>
      </c>
    </row>
    <row r="2432" spans="1:16">
      <c r="A2432" s="139">
        <v>2431</v>
      </c>
      <c r="B2432" s="36" t="s">
        <v>28247</v>
      </c>
      <c r="C2432" s="36" t="s">
        <v>28245</v>
      </c>
      <c r="D2432" s="36" t="s">
        <v>28248</v>
      </c>
      <c r="P2432" s="36" t="s">
        <v>28247</v>
      </c>
    </row>
    <row r="2433" spans="1:16" ht="13.95" customHeight="1">
      <c r="A2433" s="139">
        <v>2432</v>
      </c>
      <c r="B2433" s="36" t="s">
        <v>28249</v>
      </c>
      <c r="C2433" s="36" t="s">
        <v>28250</v>
      </c>
      <c r="P2433" s="36" t="s">
        <v>28249</v>
      </c>
    </row>
    <row r="2434" spans="1:16" ht="13.95" customHeight="1">
      <c r="A2434" s="139">
        <v>2433</v>
      </c>
      <c r="B2434" s="36" t="s">
        <v>28251</v>
      </c>
      <c r="C2434" s="36" t="s">
        <v>28252</v>
      </c>
      <c r="D2434" s="36" t="s">
        <v>28253</v>
      </c>
      <c r="P2434" s="36" t="s">
        <v>28251</v>
      </c>
    </row>
    <row r="2435" spans="1:16">
      <c r="A2435" s="139">
        <v>2434</v>
      </c>
      <c r="B2435" s="36" t="s">
        <v>28254</v>
      </c>
      <c r="C2435" s="36" t="s">
        <v>28255</v>
      </c>
      <c r="P2435" s="36" t="s">
        <v>28254</v>
      </c>
    </row>
    <row r="2436" spans="1:16">
      <c r="A2436" s="139">
        <v>2435</v>
      </c>
      <c r="B2436" s="36" t="s">
        <v>28256</v>
      </c>
      <c r="C2436" s="36" t="s">
        <v>28257</v>
      </c>
      <c r="D2436" s="36" t="s">
        <v>28258</v>
      </c>
      <c r="P2436" s="36" t="s">
        <v>28256</v>
      </c>
    </row>
    <row r="2437" spans="1:16">
      <c r="A2437" s="139">
        <v>2436</v>
      </c>
      <c r="B2437" s="36" t="s">
        <v>28259</v>
      </c>
      <c r="C2437" s="36" t="s">
        <v>28260</v>
      </c>
      <c r="D2437" s="36" t="s">
        <v>28261</v>
      </c>
      <c r="P2437" s="36" t="s">
        <v>28259</v>
      </c>
    </row>
    <row r="2438" spans="1:16">
      <c r="A2438" s="139">
        <v>2437</v>
      </c>
      <c r="B2438" s="36" t="s">
        <v>28262</v>
      </c>
      <c r="C2438" s="36" t="s">
        <v>28263</v>
      </c>
      <c r="D2438" s="36" t="s">
        <v>28264</v>
      </c>
      <c r="P2438" s="36" t="s">
        <v>28262</v>
      </c>
    </row>
    <row r="2439" spans="1:16">
      <c r="A2439" s="139">
        <v>2438</v>
      </c>
      <c r="B2439" s="36" t="s">
        <v>28265</v>
      </c>
      <c r="C2439" s="36" t="s">
        <v>28266</v>
      </c>
      <c r="D2439" s="36" t="s">
        <v>28243</v>
      </c>
      <c r="P2439" s="36" t="s">
        <v>28265</v>
      </c>
    </row>
    <row r="2440" spans="1:16">
      <c r="A2440" s="139">
        <v>2439</v>
      </c>
      <c r="B2440" s="36" t="s">
        <v>28267</v>
      </c>
      <c r="C2440" s="36" t="s">
        <v>28268</v>
      </c>
      <c r="P2440" s="36" t="s">
        <v>28267</v>
      </c>
    </row>
    <row r="2441" spans="1:16">
      <c r="A2441" s="139">
        <v>2440</v>
      </c>
      <c r="B2441" s="36" t="s">
        <v>28269</v>
      </c>
      <c r="C2441" s="36" t="s">
        <v>28270</v>
      </c>
      <c r="P2441" s="36" t="s">
        <v>28269</v>
      </c>
    </row>
    <row r="2442" spans="1:16">
      <c r="A2442" s="139">
        <v>2441</v>
      </c>
      <c r="B2442" s="36" t="s">
        <v>28271</v>
      </c>
      <c r="C2442" s="36" t="s">
        <v>28272</v>
      </c>
      <c r="D2442" s="36" t="s">
        <v>28273</v>
      </c>
      <c r="P2442" s="36" t="s">
        <v>28271</v>
      </c>
    </row>
    <row r="2443" spans="1:16">
      <c r="A2443" s="139">
        <v>2442</v>
      </c>
      <c r="B2443" s="36" t="s">
        <v>28274</v>
      </c>
      <c r="C2443" s="36" t="s">
        <v>28275</v>
      </c>
      <c r="P2443" s="36" t="s">
        <v>28274</v>
      </c>
    </row>
    <row r="2444" spans="1:16">
      <c r="A2444" s="139">
        <v>2443</v>
      </c>
      <c r="B2444" s="36" t="s">
        <v>28276</v>
      </c>
      <c r="C2444" s="36" t="s">
        <v>28277</v>
      </c>
      <c r="D2444" s="36" t="s">
        <v>28278</v>
      </c>
      <c r="P2444" s="36" t="s">
        <v>28276</v>
      </c>
    </row>
    <row r="2445" spans="1:16">
      <c r="A2445" s="139">
        <v>2444</v>
      </c>
      <c r="B2445" s="36" t="s">
        <v>28279</v>
      </c>
      <c r="C2445" s="36" t="s">
        <v>28280</v>
      </c>
      <c r="D2445" s="36" t="s">
        <v>28281</v>
      </c>
      <c r="P2445" s="36" t="s">
        <v>28279</v>
      </c>
    </row>
    <row r="2446" spans="1:16">
      <c r="A2446" s="139">
        <v>2445</v>
      </c>
      <c r="B2446" s="36" t="s">
        <v>28282</v>
      </c>
      <c r="C2446" s="36" t="s">
        <v>28283</v>
      </c>
      <c r="D2446" s="36" t="s">
        <v>28284</v>
      </c>
      <c r="P2446" s="36" t="s">
        <v>28282</v>
      </c>
    </row>
    <row r="2447" spans="1:16">
      <c r="A2447" s="139">
        <v>2446</v>
      </c>
      <c r="B2447" s="36" t="s">
        <v>28285</v>
      </c>
      <c r="C2447" s="36" t="s">
        <v>28286</v>
      </c>
      <c r="P2447" s="36" t="s">
        <v>28285</v>
      </c>
    </row>
    <row r="2448" spans="1:16">
      <c r="A2448" s="139">
        <v>2447</v>
      </c>
      <c r="B2448" s="36" t="s">
        <v>28287</v>
      </c>
      <c r="C2448" s="36" t="s">
        <v>28288</v>
      </c>
      <c r="P2448" s="36" t="s">
        <v>28287</v>
      </c>
    </row>
    <row r="2449" spans="1:16">
      <c r="A2449" s="139">
        <v>2448</v>
      </c>
      <c r="B2449" s="36" t="s">
        <v>28289</v>
      </c>
      <c r="C2449" s="36" t="s">
        <v>28290</v>
      </c>
      <c r="D2449" s="36" t="s">
        <v>28291</v>
      </c>
      <c r="P2449" s="36" t="s">
        <v>28289</v>
      </c>
    </row>
    <row r="2450" spans="1:16">
      <c r="A2450" s="139">
        <v>2449</v>
      </c>
      <c r="B2450" s="36" t="s">
        <v>28292</v>
      </c>
      <c r="C2450" s="36" t="s">
        <v>28293</v>
      </c>
      <c r="D2450" s="36" t="s">
        <v>28078</v>
      </c>
      <c r="P2450" s="36" t="s">
        <v>28292</v>
      </c>
    </row>
    <row r="2451" spans="1:16">
      <c r="A2451" s="139">
        <v>2450</v>
      </c>
      <c r="B2451" s="36" t="s">
        <v>28294</v>
      </c>
      <c r="C2451" s="36" t="s">
        <v>28295</v>
      </c>
      <c r="D2451" s="36" t="s">
        <v>28296</v>
      </c>
      <c r="P2451" s="36" t="s">
        <v>28294</v>
      </c>
    </row>
    <row r="2452" spans="1:16">
      <c r="A2452" s="139">
        <v>2451</v>
      </c>
      <c r="B2452" s="36" t="s">
        <v>28297</v>
      </c>
      <c r="C2452" s="36" t="s">
        <v>28298</v>
      </c>
      <c r="P2452" s="36" t="s">
        <v>28297</v>
      </c>
    </row>
    <row r="2453" spans="1:16">
      <c r="A2453" s="139">
        <v>2452</v>
      </c>
      <c r="B2453" s="36" t="s">
        <v>28299</v>
      </c>
      <c r="C2453" s="36" t="s">
        <v>28300</v>
      </c>
      <c r="P2453" s="36" t="s">
        <v>28299</v>
      </c>
    </row>
    <row r="2454" spans="1:16">
      <c r="A2454" s="139">
        <v>2453</v>
      </c>
      <c r="B2454" s="36" t="s">
        <v>28301</v>
      </c>
      <c r="C2454" s="36" t="s">
        <v>28302</v>
      </c>
      <c r="D2454" s="36" t="s">
        <v>28303</v>
      </c>
      <c r="P2454" s="36" t="s">
        <v>28301</v>
      </c>
    </row>
    <row r="2455" spans="1:16">
      <c r="A2455" s="139">
        <v>2454</v>
      </c>
      <c r="B2455" s="36" t="s">
        <v>28304</v>
      </c>
      <c r="C2455" s="36" t="s">
        <v>28305</v>
      </c>
      <c r="D2455" s="36" t="s">
        <v>28306</v>
      </c>
      <c r="P2455" s="36" t="s">
        <v>28304</v>
      </c>
    </row>
    <row r="2456" spans="1:16">
      <c r="A2456" s="139">
        <v>2455</v>
      </c>
      <c r="B2456" s="36" t="s">
        <v>28307</v>
      </c>
      <c r="C2456" s="36" t="s">
        <v>28308</v>
      </c>
      <c r="P2456" s="36" t="s">
        <v>28307</v>
      </c>
    </row>
    <row r="2457" spans="1:16">
      <c r="A2457" s="139">
        <v>2456</v>
      </c>
      <c r="B2457" s="36" t="s">
        <v>28309</v>
      </c>
      <c r="C2457" s="36" t="s">
        <v>28310</v>
      </c>
      <c r="D2457" s="36" t="s">
        <v>28311</v>
      </c>
      <c r="P2457" s="36" t="s">
        <v>28309</v>
      </c>
    </row>
    <row r="2458" spans="1:16">
      <c r="A2458" s="139">
        <v>2457</v>
      </c>
      <c r="B2458" s="36" t="s">
        <v>28312</v>
      </c>
      <c r="C2458" s="36" t="s">
        <v>28313</v>
      </c>
      <c r="D2458" s="36" t="s">
        <v>28314</v>
      </c>
      <c r="P2458" s="36" t="s">
        <v>28312</v>
      </c>
    </row>
    <row r="2459" spans="1:16">
      <c r="A2459" s="139">
        <v>2458</v>
      </c>
      <c r="B2459" s="36" t="s">
        <v>28315</v>
      </c>
      <c r="C2459" s="36" t="s">
        <v>28316</v>
      </c>
      <c r="P2459" s="36" t="s">
        <v>28315</v>
      </c>
    </row>
    <row r="2460" spans="1:16">
      <c r="A2460" s="139">
        <v>2459</v>
      </c>
      <c r="B2460" s="36" t="s">
        <v>28317</v>
      </c>
      <c r="C2460" s="36" t="s">
        <v>28318</v>
      </c>
      <c r="P2460" s="36" t="s">
        <v>28317</v>
      </c>
    </row>
    <row r="2461" spans="1:16">
      <c r="A2461" s="139">
        <v>2460</v>
      </c>
      <c r="B2461" s="36" t="s">
        <v>28319</v>
      </c>
      <c r="C2461" s="36" t="s">
        <v>28320</v>
      </c>
      <c r="D2461" s="36" t="s">
        <v>28321</v>
      </c>
      <c r="P2461" s="36" t="s">
        <v>28319</v>
      </c>
    </row>
    <row r="2462" spans="1:16">
      <c r="A2462" s="139">
        <v>2461</v>
      </c>
      <c r="B2462" s="36" t="s">
        <v>28322</v>
      </c>
      <c r="C2462" s="36" t="s">
        <v>28323</v>
      </c>
      <c r="D2462" s="36" t="s">
        <v>28324</v>
      </c>
      <c r="P2462" s="36" t="s">
        <v>28322</v>
      </c>
    </row>
    <row r="2463" spans="1:16">
      <c r="A2463" s="139">
        <v>2462</v>
      </c>
      <c r="B2463" s="36" t="s">
        <v>28325</v>
      </c>
      <c r="C2463" s="36" t="s">
        <v>28326</v>
      </c>
      <c r="P2463" s="36" t="s">
        <v>28325</v>
      </c>
    </row>
    <row r="2464" spans="1:16">
      <c r="A2464" s="139">
        <v>2463</v>
      </c>
      <c r="B2464" s="36" t="s">
        <v>28327</v>
      </c>
      <c r="C2464" s="36" t="s">
        <v>28328</v>
      </c>
      <c r="P2464" s="36" t="s">
        <v>28327</v>
      </c>
    </row>
    <row r="2465" spans="1:16">
      <c r="A2465" s="139">
        <v>2464</v>
      </c>
      <c r="B2465" s="36" t="s">
        <v>28329</v>
      </c>
      <c r="C2465" s="36" t="s">
        <v>28330</v>
      </c>
      <c r="P2465" s="36" t="s">
        <v>28329</v>
      </c>
    </row>
    <row r="2466" spans="1:16">
      <c r="A2466" s="139">
        <v>2465</v>
      </c>
      <c r="B2466" s="36" t="s">
        <v>2385</v>
      </c>
      <c r="C2466" s="36" t="s">
        <v>2385</v>
      </c>
      <c r="D2466" s="36" t="s">
        <v>2385</v>
      </c>
      <c r="P2466" s="36" t="s">
        <v>2385</v>
      </c>
    </row>
    <row r="2467" spans="1:16">
      <c r="A2467" s="139">
        <v>2466</v>
      </c>
      <c r="B2467" s="36" t="s">
        <v>28331</v>
      </c>
      <c r="C2467" s="36" t="s">
        <v>28332</v>
      </c>
      <c r="P2467" s="36" t="s">
        <v>28331</v>
      </c>
    </row>
    <row r="2468" spans="1:16">
      <c r="A2468" s="139">
        <v>2467</v>
      </c>
      <c r="B2468" s="36" t="s">
        <v>28333</v>
      </c>
      <c r="C2468" s="36" t="s">
        <v>28334</v>
      </c>
      <c r="D2468" s="36" t="s">
        <v>28335</v>
      </c>
      <c r="P2468" s="36" t="s">
        <v>28333</v>
      </c>
    </row>
    <row r="2469" spans="1:16">
      <c r="A2469" s="139">
        <v>2468</v>
      </c>
      <c r="B2469" s="36" t="s">
        <v>28336</v>
      </c>
      <c r="C2469" s="36" t="s">
        <v>28337</v>
      </c>
      <c r="P2469" s="36" t="s">
        <v>28336</v>
      </c>
    </row>
    <row r="2470" spans="1:16">
      <c r="A2470" s="139">
        <v>2469</v>
      </c>
      <c r="B2470" s="36" t="s">
        <v>28338</v>
      </c>
      <c r="C2470" s="36" t="s">
        <v>28339</v>
      </c>
      <c r="P2470" s="36" t="s">
        <v>28338</v>
      </c>
    </row>
    <row r="2471" spans="1:16">
      <c r="A2471" s="139">
        <v>2470</v>
      </c>
      <c r="B2471" s="36" t="s">
        <v>28340</v>
      </c>
      <c r="C2471" s="36" t="s">
        <v>28341</v>
      </c>
      <c r="D2471" s="36" t="s">
        <v>28342</v>
      </c>
      <c r="P2471" s="36" t="s">
        <v>28340</v>
      </c>
    </row>
    <row r="2472" spans="1:16">
      <c r="A2472" s="139">
        <v>2471</v>
      </c>
      <c r="B2472" s="36" t="s">
        <v>28343</v>
      </c>
      <c r="C2472" s="36" t="s">
        <v>28344</v>
      </c>
      <c r="D2472" s="36" t="s">
        <v>28345</v>
      </c>
      <c r="P2472" s="36" t="s">
        <v>28343</v>
      </c>
    </row>
    <row r="2473" spans="1:16">
      <c r="A2473" s="139">
        <v>2472</v>
      </c>
      <c r="B2473" s="36" t="s">
        <v>28346</v>
      </c>
      <c r="C2473" s="36" t="s">
        <v>28347</v>
      </c>
      <c r="P2473" s="36" t="s">
        <v>28346</v>
      </c>
    </row>
    <row r="2474" spans="1:16">
      <c r="A2474" s="139">
        <v>2473</v>
      </c>
      <c r="B2474" s="36" t="s">
        <v>28348</v>
      </c>
      <c r="C2474" s="36" t="s">
        <v>28349</v>
      </c>
      <c r="P2474" s="36" t="s">
        <v>28348</v>
      </c>
    </row>
    <row r="2475" spans="1:16">
      <c r="A2475" s="139">
        <v>2474</v>
      </c>
      <c r="B2475" s="36" t="s">
        <v>28350</v>
      </c>
      <c r="C2475" s="36" t="s">
        <v>28351</v>
      </c>
      <c r="D2475" s="36" t="s">
        <v>28352</v>
      </c>
      <c r="P2475" s="36" t="s">
        <v>28350</v>
      </c>
    </row>
    <row r="2476" spans="1:16">
      <c r="A2476" s="139">
        <v>2475</v>
      </c>
      <c r="B2476" s="36" t="s">
        <v>28353</v>
      </c>
      <c r="C2476" s="36" t="s">
        <v>28354</v>
      </c>
      <c r="D2476" s="36" t="s">
        <v>28355</v>
      </c>
      <c r="P2476" s="36" t="s">
        <v>28353</v>
      </c>
    </row>
    <row r="2477" spans="1:16">
      <c r="A2477" s="139">
        <v>2476</v>
      </c>
      <c r="B2477" s="36" t="s">
        <v>28356</v>
      </c>
      <c r="C2477" s="36" t="s">
        <v>28357</v>
      </c>
      <c r="D2477" s="36" t="s">
        <v>28358</v>
      </c>
      <c r="P2477" s="36" t="s">
        <v>28356</v>
      </c>
    </row>
    <row r="2478" spans="1:16">
      <c r="A2478" s="139">
        <v>2477</v>
      </c>
      <c r="B2478" s="36" t="s">
        <v>28359</v>
      </c>
      <c r="C2478" s="36" t="s">
        <v>28360</v>
      </c>
      <c r="D2478" s="36" t="s">
        <v>28361</v>
      </c>
      <c r="P2478" s="36" t="s">
        <v>28359</v>
      </c>
    </row>
    <row r="2479" spans="1:16">
      <c r="A2479" s="139">
        <v>2478</v>
      </c>
      <c r="B2479" s="36" t="s">
        <v>28362</v>
      </c>
      <c r="C2479" s="36" t="s">
        <v>28363</v>
      </c>
      <c r="D2479" s="36" t="s">
        <v>22492</v>
      </c>
      <c r="P2479" s="36" t="s">
        <v>28362</v>
      </c>
    </row>
    <row r="2480" spans="1:16">
      <c r="A2480" s="139">
        <v>2479</v>
      </c>
      <c r="B2480" s="36" t="s">
        <v>28364</v>
      </c>
      <c r="C2480" s="36" t="s">
        <v>28365</v>
      </c>
      <c r="P2480" s="36" t="s">
        <v>28364</v>
      </c>
    </row>
    <row r="2481" spans="1:16">
      <c r="A2481" s="139">
        <v>2480</v>
      </c>
      <c r="B2481" s="36" t="s">
        <v>28366</v>
      </c>
      <c r="C2481" s="36" t="s">
        <v>28367</v>
      </c>
      <c r="P2481" s="36" t="s">
        <v>28366</v>
      </c>
    </row>
    <row r="2482" spans="1:16">
      <c r="A2482" s="139">
        <v>2481</v>
      </c>
      <c r="B2482" s="36" t="s">
        <v>28368</v>
      </c>
      <c r="C2482" s="36" t="s">
        <v>28369</v>
      </c>
      <c r="P2482" s="36" t="s">
        <v>28368</v>
      </c>
    </row>
    <row r="2483" spans="1:16">
      <c r="A2483" s="139">
        <v>2482</v>
      </c>
      <c r="B2483" s="36" t="s">
        <v>28370</v>
      </c>
      <c r="C2483" s="36" t="s">
        <v>28371</v>
      </c>
      <c r="P2483" s="36" t="s">
        <v>28370</v>
      </c>
    </row>
    <row r="2484" spans="1:16">
      <c r="A2484" s="139">
        <v>2483</v>
      </c>
      <c r="B2484" s="36" t="s">
        <v>28372</v>
      </c>
      <c r="C2484" s="36" t="s">
        <v>28373</v>
      </c>
      <c r="D2484" s="36" t="s">
        <v>28374</v>
      </c>
      <c r="P2484" s="36" t="s">
        <v>28372</v>
      </c>
    </row>
    <row r="2485" spans="1:16">
      <c r="A2485" s="139">
        <v>2484</v>
      </c>
      <c r="B2485" s="36" t="s">
        <v>28375</v>
      </c>
      <c r="C2485" s="36" t="s">
        <v>28376</v>
      </c>
      <c r="D2485" s="36" t="s">
        <v>28377</v>
      </c>
      <c r="P2485" s="36" t="s">
        <v>28375</v>
      </c>
    </row>
    <row r="2486" spans="1:16">
      <c r="A2486" s="139">
        <v>2485</v>
      </c>
      <c r="B2486" s="36" t="s">
        <v>28378</v>
      </c>
      <c r="C2486" s="36" t="s">
        <v>28379</v>
      </c>
      <c r="P2486" s="36" t="s">
        <v>28378</v>
      </c>
    </row>
    <row r="2487" spans="1:16">
      <c r="A2487" s="139">
        <v>2486</v>
      </c>
      <c r="B2487" s="36" t="s">
        <v>28380</v>
      </c>
      <c r="C2487" s="36" t="s">
        <v>28381</v>
      </c>
      <c r="D2487" s="36" t="s">
        <v>28382</v>
      </c>
      <c r="P2487" s="36" t="s">
        <v>28380</v>
      </c>
    </row>
    <row r="2488" spans="1:16">
      <c r="A2488" s="139">
        <v>2487</v>
      </c>
      <c r="B2488" s="36" t="s">
        <v>28383</v>
      </c>
      <c r="C2488" s="36" t="s">
        <v>28384</v>
      </c>
      <c r="D2488" s="36" t="s">
        <v>28385</v>
      </c>
      <c r="P2488" s="36" t="s">
        <v>28383</v>
      </c>
    </row>
    <row r="2489" spans="1:16">
      <c r="A2489" s="139">
        <v>2488</v>
      </c>
      <c r="B2489" s="36" t="s">
        <v>28386</v>
      </c>
      <c r="C2489" s="36" t="s">
        <v>28387</v>
      </c>
      <c r="P2489" s="36" t="s">
        <v>28386</v>
      </c>
    </row>
    <row r="2490" spans="1:16">
      <c r="A2490" s="139">
        <v>2489</v>
      </c>
      <c r="B2490" s="36" t="s">
        <v>28388</v>
      </c>
      <c r="C2490" s="36" t="s">
        <v>28389</v>
      </c>
      <c r="D2490" s="36" t="s">
        <v>28390</v>
      </c>
      <c r="P2490" s="36" t="s">
        <v>28388</v>
      </c>
    </row>
    <row r="2491" spans="1:16">
      <c r="A2491" s="139">
        <v>2490</v>
      </c>
      <c r="B2491" s="36" t="s">
        <v>28391</v>
      </c>
      <c r="C2491" s="36" t="s">
        <v>28392</v>
      </c>
      <c r="D2491" s="36" t="s">
        <v>28281</v>
      </c>
      <c r="P2491" s="36" t="s">
        <v>28391</v>
      </c>
    </row>
    <row r="2492" spans="1:16">
      <c r="A2492" s="139">
        <v>2491</v>
      </c>
      <c r="B2492" s="36" t="s">
        <v>28393</v>
      </c>
      <c r="C2492" s="36" t="s">
        <v>28394</v>
      </c>
      <c r="P2492" s="36" t="s">
        <v>28393</v>
      </c>
    </row>
    <row r="2493" spans="1:16">
      <c r="A2493" s="139">
        <v>2492</v>
      </c>
      <c r="B2493" s="36" t="s">
        <v>28395</v>
      </c>
      <c r="C2493" s="36" t="s">
        <v>28396</v>
      </c>
      <c r="D2493" s="36" t="s">
        <v>28397</v>
      </c>
      <c r="P2493" s="36" t="s">
        <v>28395</v>
      </c>
    </row>
    <row r="2494" spans="1:16">
      <c r="A2494" s="139">
        <v>2493</v>
      </c>
      <c r="B2494" s="36" t="s">
        <v>28398</v>
      </c>
      <c r="C2494" s="36" t="s">
        <v>28399</v>
      </c>
      <c r="D2494" s="36" t="s">
        <v>28400</v>
      </c>
      <c r="P2494" s="36" t="s">
        <v>28398</v>
      </c>
    </row>
    <row r="2495" spans="1:16">
      <c r="A2495" s="139">
        <v>2494</v>
      </c>
      <c r="B2495" s="36" t="s">
        <v>28401</v>
      </c>
      <c r="C2495" s="36" t="s">
        <v>28402</v>
      </c>
      <c r="P2495" s="36" t="s">
        <v>28401</v>
      </c>
    </row>
    <row r="2496" spans="1:16">
      <c r="A2496" s="139">
        <v>2495</v>
      </c>
      <c r="B2496" s="36" t="s">
        <v>28403</v>
      </c>
      <c r="C2496" s="36" t="s">
        <v>28404</v>
      </c>
      <c r="D2496" s="36" t="s">
        <v>28405</v>
      </c>
      <c r="P2496" s="36" t="s">
        <v>28403</v>
      </c>
    </row>
    <row r="2497" spans="1:16">
      <c r="A2497" s="139">
        <v>2496</v>
      </c>
      <c r="B2497" s="36" t="s">
        <v>28406</v>
      </c>
      <c r="C2497" s="36" t="s">
        <v>28407</v>
      </c>
      <c r="D2497" s="36" t="s">
        <v>28408</v>
      </c>
      <c r="P2497" s="36" t="s">
        <v>28406</v>
      </c>
    </row>
    <row r="2498" spans="1:16">
      <c r="A2498" s="139">
        <v>2497</v>
      </c>
      <c r="B2498" s="36" t="s">
        <v>28409</v>
      </c>
      <c r="C2498" s="36" t="s">
        <v>28410</v>
      </c>
      <c r="D2498" s="36" t="s">
        <v>28411</v>
      </c>
      <c r="P2498" s="36" t="s">
        <v>28409</v>
      </c>
    </row>
    <row r="2499" spans="1:16">
      <c r="A2499" s="139">
        <v>2498</v>
      </c>
      <c r="B2499" s="36" t="s">
        <v>28412</v>
      </c>
      <c r="C2499" s="36" t="s">
        <v>28413</v>
      </c>
      <c r="P2499" s="36" t="s">
        <v>28412</v>
      </c>
    </row>
    <row r="2500" spans="1:16">
      <c r="A2500" s="139">
        <v>2499</v>
      </c>
      <c r="B2500" s="36" t="s">
        <v>28414</v>
      </c>
      <c r="C2500" s="36" t="s">
        <v>28415</v>
      </c>
      <c r="P2500" s="36" t="s">
        <v>28414</v>
      </c>
    </row>
    <row r="2501" spans="1:16">
      <c r="A2501" s="139">
        <v>2500</v>
      </c>
      <c r="B2501" s="36" t="s">
        <v>28416</v>
      </c>
      <c r="C2501" s="36" t="s">
        <v>28417</v>
      </c>
      <c r="D2501" s="36" t="s">
        <v>28418</v>
      </c>
      <c r="P2501" s="36" t="s">
        <v>28416</v>
      </c>
    </row>
    <row r="2502" spans="1:16">
      <c r="A2502" s="139">
        <v>2501</v>
      </c>
      <c r="B2502" s="36" t="s">
        <v>28419</v>
      </c>
      <c r="C2502" s="36" t="s">
        <v>28420</v>
      </c>
      <c r="P2502" s="36" t="s">
        <v>28419</v>
      </c>
    </row>
    <row r="2503" spans="1:16">
      <c r="A2503" s="139">
        <v>2502</v>
      </c>
      <c r="B2503" s="36" t="s">
        <v>28421</v>
      </c>
      <c r="C2503" s="36" t="s">
        <v>28422</v>
      </c>
      <c r="D2503" s="36" t="s">
        <v>28423</v>
      </c>
      <c r="P2503" s="36" t="s">
        <v>28421</v>
      </c>
    </row>
    <row r="2504" spans="1:16">
      <c r="A2504" s="139">
        <v>2503</v>
      </c>
      <c r="B2504" s="36" t="s">
        <v>28424</v>
      </c>
      <c r="C2504" s="36" t="s">
        <v>28425</v>
      </c>
      <c r="D2504" s="36" t="s">
        <v>28426</v>
      </c>
      <c r="P2504" s="36" t="s">
        <v>28424</v>
      </c>
    </row>
    <row r="2505" spans="1:16">
      <c r="A2505" s="139">
        <v>2504</v>
      </c>
      <c r="B2505" s="36" t="s">
        <v>28427</v>
      </c>
      <c r="C2505" s="36" t="s">
        <v>28428</v>
      </c>
      <c r="D2505" s="36" t="s">
        <v>28429</v>
      </c>
      <c r="P2505" s="36" t="s">
        <v>28427</v>
      </c>
    </row>
    <row r="2506" spans="1:16">
      <c r="A2506" s="139">
        <v>2505</v>
      </c>
      <c r="B2506" s="36" t="s">
        <v>28430</v>
      </c>
      <c r="C2506" s="36" t="s">
        <v>28431</v>
      </c>
      <c r="D2506" s="36" t="s">
        <v>28432</v>
      </c>
      <c r="P2506" s="36" t="s">
        <v>28430</v>
      </c>
    </row>
    <row r="2507" spans="1:16">
      <c r="A2507" s="139">
        <v>2506</v>
      </c>
      <c r="B2507" s="36" t="s">
        <v>28433</v>
      </c>
      <c r="C2507" s="36" t="s">
        <v>28434</v>
      </c>
      <c r="D2507" s="36" t="s">
        <v>28435</v>
      </c>
      <c r="P2507" s="36" t="s">
        <v>28433</v>
      </c>
    </row>
    <row r="2508" spans="1:16">
      <c r="A2508" s="139">
        <v>2507</v>
      </c>
      <c r="B2508" s="36" t="s">
        <v>28436</v>
      </c>
      <c r="C2508" s="36" t="s">
        <v>28437</v>
      </c>
      <c r="D2508" s="36" t="s">
        <v>28438</v>
      </c>
      <c r="P2508" s="36" t="s">
        <v>28436</v>
      </c>
    </row>
    <row r="2509" spans="1:16">
      <c r="A2509" s="139">
        <v>2508</v>
      </c>
      <c r="B2509" s="36" t="s">
        <v>28439</v>
      </c>
      <c r="C2509" s="36" t="s">
        <v>28440</v>
      </c>
      <c r="D2509" s="36" t="s">
        <v>28441</v>
      </c>
      <c r="P2509" s="36" t="s">
        <v>28439</v>
      </c>
    </row>
    <row r="2510" spans="1:16">
      <c r="A2510" s="139">
        <v>2509</v>
      </c>
      <c r="B2510" s="36" t="s">
        <v>28442</v>
      </c>
      <c r="C2510" s="36" t="s">
        <v>28443</v>
      </c>
      <c r="D2510" s="36" t="s">
        <v>28444</v>
      </c>
      <c r="P2510" s="36" t="s">
        <v>28442</v>
      </c>
    </row>
    <row r="2511" spans="1:16">
      <c r="A2511" s="139">
        <v>2510</v>
      </c>
      <c r="B2511" s="36" t="s">
        <v>28445</v>
      </c>
      <c r="C2511" s="36" t="s">
        <v>28446</v>
      </c>
      <c r="D2511" s="36" t="s">
        <v>28447</v>
      </c>
      <c r="P2511" s="36" t="s">
        <v>28445</v>
      </c>
    </row>
    <row r="2512" spans="1:16">
      <c r="A2512" s="139">
        <v>2511</v>
      </c>
      <c r="B2512" s="36" t="s">
        <v>28448</v>
      </c>
      <c r="C2512" s="36" t="s">
        <v>28449</v>
      </c>
      <c r="D2512" s="36" t="s">
        <v>28450</v>
      </c>
      <c r="P2512" s="36" t="s">
        <v>28448</v>
      </c>
    </row>
    <row r="2513" spans="1:16">
      <c r="A2513" s="139">
        <v>2512</v>
      </c>
      <c r="B2513" s="36" t="s">
        <v>28451</v>
      </c>
      <c r="C2513" s="36" t="s">
        <v>28452</v>
      </c>
      <c r="D2513" s="36" t="s">
        <v>28453</v>
      </c>
      <c r="P2513" s="36" t="s">
        <v>28451</v>
      </c>
    </row>
    <row r="2514" spans="1:16">
      <c r="A2514" s="139">
        <v>2513</v>
      </c>
      <c r="B2514" s="36" t="s">
        <v>28454</v>
      </c>
      <c r="C2514" s="36" t="s">
        <v>28454</v>
      </c>
      <c r="P2514" s="36" t="s">
        <v>28454</v>
      </c>
    </row>
    <row r="2515" spans="1:16">
      <c r="A2515" s="139">
        <v>2514</v>
      </c>
      <c r="B2515" s="36" t="s">
        <v>28455</v>
      </c>
      <c r="C2515" s="36" t="s">
        <v>28456</v>
      </c>
      <c r="D2515" s="36" t="s">
        <v>28457</v>
      </c>
      <c r="P2515" s="36" t="s">
        <v>28455</v>
      </c>
    </row>
    <row r="2516" spans="1:16">
      <c r="A2516" s="139">
        <v>2515</v>
      </c>
      <c r="B2516" s="36" t="s">
        <v>28458</v>
      </c>
      <c r="C2516" s="36" t="s">
        <v>28459</v>
      </c>
      <c r="D2516" s="36" t="s">
        <v>28460</v>
      </c>
      <c r="P2516" s="36" t="s">
        <v>28458</v>
      </c>
    </row>
    <row r="2517" spans="1:16">
      <c r="A2517" s="139">
        <v>2516</v>
      </c>
      <c r="B2517" s="36" t="s">
        <v>28461</v>
      </c>
      <c r="C2517" s="36" t="s">
        <v>28462</v>
      </c>
      <c r="D2517" s="36" t="s">
        <v>28463</v>
      </c>
      <c r="P2517" s="36" t="s">
        <v>28461</v>
      </c>
    </row>
    <row r="2518" spans="1:16">
      <c r="A2518" s="139">
        <v>2517</v>
      </c>
      <c r="B2518" s="36" t="s">
        <v>28464</v>
      </c>
      <c r="C2518" s="36" t="s">
        <v>28465</v>
      </c>
      <c r="P2518" s="36" t="s">
        <v>28464</v>
      </c>
    </row>
    <row r="2519" spans="1:16">
      <c r="A2519" s="139">
        <v>2518</v>
      </c>
      <c r="B2519" s="36" t="s">
        <v>28466</v>
      </c>
      <c r="C2519" s="36" t="s">
        <v>28467</v>
      </c>
      <c r="D2519" s="36" t="s">
        <v>28468</v>
      </c>
      <c r="P2519" s="36" t="s">
        <v>28466</v>
      </c>
    </row>
    <row r="2520" spans="1:16">
      <c r="A2520" s="139">
        <v>2519</v>
      </c>
      <c r="B2520" s="36" t="s">
        <v>28469</v>
      </c>
      <c r="C2520" s="36" t="s">
        <v>28470</v>
      </c>
      <c r="D2520" s="36" t="s">
        <v>28471</v>
      </c>
      <c r="P2520" s="36" t="s">
        <v>28469</v>
      </c>
    </row>
    <row r="2521" spans="1:16">
      <c r="A2521" s="139">
        <v>2520</v>
      </c>
      <c r="B2521" s="36" t="s">
        <v>28472</v>
      </c>
      <c r="C2521" s="36" t="s">
        <v>28473</v>
      </c>
      <c r="D2521" s="36" t="s">
        <v>28474</v>
      </c>
      <c r="P2521" s="36" t="s">
        <v>28472</v>
      </c>
    </row>
    <row r="2522" spans="1:16">
      <c r="A2522" s="139">
        <v>2521</v>
      </c>
      <c r="B2522" s="36" t="s">
        <v>28475</v>
      </c>
      <c r="C2522" s="36" t="s">
        <v>28476</v>
      </c>
      <c r="P2522" s="36" t="s">
        <v>28475</v>
      </c>
    </row>
    <row r="2523" spans="1:16">
      <c r="A2523" s="139">
        <v>2522</v>
      </c>
      <c r="B2523" s="36" t="s">
        <v>28477</v>
      </c>
      <c r="C2523" s="36" t="s">
        <v>28478</v>
      </c>
      <c r="D2523" s="36" t="s">
        <v>28479</v>
      </c>
      <c r="P2523" s="36" t="s">
        <v>28477</v>
      </c>
    </row>
    <row r="2524" spans="1:16">
      <c r="A2524" s="139">
        <v>2523</v>
      </c>
      <c r="B2524" s="36" t="s">
        <v>28480</v>
      </c>
      <c r="C2524" s="36" t="s">
        <v>28481</v>
      </c>
      <c r="P2524" s="36" t="s">
        <v>28480</v>
      </c>
    </row>
    <row r="2525" spans="1:16">
      <c r="A2525" s="139">
        <v>2524</v>
      </c>
      <c r="B2525" s="36" t="s">
        <v>28482</v>
      </c>
      <c r="C2525" s="36" t="s">
        <v>28483</v>
      </c>
      <c r="P2525" s="36" t="s">
        <v>28482</v>
      </c>
    </row>
    <row r="2526" spans="1:16">
      <c r="A2526" s="139">
        <v>2525</v>
      </c>
      <c r="B2526" s="36" t="s">
        <v>28484</v>
      </c>
      <c r="C2526" s="36" t="s">
        <v>28485</v>
      </c>
      <c r="P2526" s="36" t="s">
        <v>28484</v>
      </c>
    </row>
    <row r="2527" spans="1:16">
      <c r="A2527" s="139">
        <v>2526</v>
      </c>
      <c r="B2527" s="36" t="s">
        <v>28486</v>
      </c>
      <c r="C2527" s="36" t="s">
        <v>28487</v>
      </c>
      <c r="D2527" s="36" t="s">
        <v>28488</v>
      </c>
      <c r="P2527" s="36" t="s">
        <v>28486</v>
      </c>
    </row>
    <row r="2528" spans="1:16">
      <c r="A2528" s="139">
        <v>2527</v>
      </c>
      <c r="B2528" s="36" t="s">
        <v>28489</v>
      </c>
      <c r="C2528" s="36" t="s">
        <v>28490</v>
      </c>
      <c r="D2528" s="36" t="s">
        <v>28491</v>
      </c>
      <c r="P2528" s="36" t="s">
        <v>28489</v>
      </c>
    </row>
    <row r="2529" spans="1:16">
      <c r="A2529" s="139">
        <v>2528</v>
      </c>
      <c r="B2529" s="36" t="s">
        <v>28492</v>
      </c>
      <c r="C2529" s="36" t="s">
        <v>28493</v>
      </c>
      <c r="D2529" s="36" t="s">
        <v>28494</v>
      </c>
      <c r="P2529" s="36" t="s">
        <v>28492</v>
      </c>
    </row>
    <row r="2530" spans="1:16">
      <c r="A2530" s="139">
        <v>2529</v>
      </c>
      <c r="B2530" s="36" t="s">
        <v>28495</v>
      </c>
      <c r="C2530" s="36" t="s">
        <v>28496</v>
      </c>
      <c r="D2530" s="36" t="s">
        <v>28497</v>
      </c>
      <c r="P2530" s="36" t="s">
        <v>28495</v>
      </c>
    </row>
    <row r="2531" spans="1:16">
      <c r="A2531" s="139">
        <v>2530</v>
      </c>
      <c r="B2531" s="36" t="s">
        <v>28498</v>
      </c>
      <c r="C2531" s="36" t="s">
        <v>28499</v>
      </c>
      <c r="D2531" s="36" t="s">
        <v>28500</v>
      </c>
      <c r="P2531" s="36" t="s">
        <v>28498</v>
      </c>
    </row>
    <row r="2532" spans="1:16">
      <c r="A2532" s="139">
        <v>2531</v>
      </c>
      <c r="B2532" s="36" t="s">
        <v>28501</v>
      </c>
      <c r="C2532" s="36" t="s">
        <v>28502</v>
      </c>
      <c r="D2532" s="36" t="s">
        <v>28503</v>
      </c>
      <c r="P2532" s="36" t="s">
        <v>28501</v>
      </c>
    </row>
    <row r="2533" spans="1:16">
      <c r="A2533" s="139">
        <v>2532</v>
      </c>
      <c r="B2533" s="36" t="s">
        <v>28504</v>
      </c>
      <c r="C2533" s="36" t="s">
        <v>28505</v>
      </c>
      <c r="D2533" s="36" t="s">
        <v>28506</v>
      </c>
      <c r="P2533" s="36" t="s">
        <v>28504</v>
      </c>
    </row>
    <row r="2534" spans="1:16">
      <c r="A2534" s="139">
        <v>2533</v>
      </c>
      <c r="B2534" s="36" t="s">
        <v>28507</v>
      </c>
      <c r="C2534" s="36" t="s">
        <v>28508</v>
      </c>
      <c r="P2534" s="36" t="s">
        <v>28507</v>
      </c>
    </row>
    <row r="2535" spans="1:16">
      <c r="A2535" s="139">
        <v>2534</v>
      </c>
      <c r="B2535" s="36" t="s">
        <v>28509</v>
      </c>
      <c r="C2535" s="36" t="s">
        <v>28510</v>
      </c>
      <c r="D2535" s="36" t="s">
        <v>28511</v>
      </c>
      <c r="P2535" s="36" t="s">
        <v>28509</v>
      </c>
    </row>
    <row r="2536" spans="1:16">
      <c r="A2536" s="139">
        <v>2535</v>
      </c>
      <c r="B2536" s="36" t="s">
        <v>28512</v>
      </c>
      <c r="C2536" s="36" t="s">
        <v>28513</v>
      </c>
      <c r="D2536" s="36" t="s">
        <v>28514</v>
      </c>
      <c r="P2536" s="36" t="s">
        <v>28512</v>
      </c>
    </row>
    <row r="2537" spans="1:16">
      <c r="A2537" s="139">
        <v>2536</v>
      </c>
      <c r="B2537" s="36" t="s">
        <v>28515</v>
      </c>
      <c r="C2537" s="36" t="s">
        <v>28516</v>
      </c>
      <c r="D2537" s="36" t="s">
        <v>28517</v>
      </c>
      <c r="P2537" s="36" t="s">
        <v>28515</v>
      </c>
    </row>
    <row r="2538" spans="1:16">
      <c r="A2538" s="139">
        <v>2537</v>
      </c>
      <c r="B2538" s="36" t="s">
        <v>28518</v>
      </c>
      <c r="C2538" s="36" t="s">
        <v>28519</v>
      </c>
      <c r="D2538" s="36" t="s">
        <v>28520</v>
      </c>
      <c r="P2538" s="36" t="s">
        <v>28518</v>
      </c>
    </row>
    <row r="2539" spans="1:16">
      <c r="A2539" s="139">
        <v>2538</v>
      </c>
      <c r="B2539" s="36" t="s">
        <v>28521</v>
      </c>
      <c r="C2539" s="36" t="s">
        <v>28522</v>
      </c>
      <c r="D2539" s="36" t="s">
        <v>28523</v>
      </c>
      <c r="P2539" s="36" t="s">
        <v>28521</v>
      </c>
    </row>
    <row r="2540" spans="1:16">
      <c r="A2540" s="139">
        <v>2539</v>
      </c>
      <c r="B2540" s="36" t="s">
        <v>28524</v>
      </c>
      <c r="C2540" s="36" t="s">
        <v>28525</v>
      </c>
      <c r="D2540" s="36" t="s">
        <v>28526</v>
      </c>
      <c r="P2540" s="36" t="s">
        <v>28524</v>
      </c>
    </row>
    <row r="2541" spans="1:16">
      <c r="A2541" s="139">
        <v>2540</v>
      </c>
      <c r="B2541" s="36" t="s">
        <v>28527</v>
      </c>
      <c r="C2541" s="36" t="s">
        <v>28528</v>
      </c>
      <c r="D2541" s="36" t="s">
        <v>28529</v>
      </c>
      <c r="P2541" s="36" t="s">
        <v>28527</v>
      </c>
    </row>
    <row r="2542" spans="1:16">
      <c r="A2542" s="139">
        <v>2541</v>
      </c>
      <c r="B2542" s="36" t="s">
        <v>28530</v>
      </c>
      <c r="C2542" s="36" t="s">
        <v>28531</v>
      </c>
      <c r="D2542" s="36" t="s">
        <v>28532</v>
      </c>
      <c r="P2542" s="36" t="s">
        <v>28530</v>
      </c>
    </row>
    <row r="2543" spans="1:16">
      <c r="A2543" s="139">
        <v>2542</v>
      </c>
      <c r="B2543" s="36" t="s">
        <v>28533</v>
      </c>
      <c r="C2543" s="36" t="s">
        <v>28534</v>
      </c>
      <c r="D2543" s="36" t="s">
        <v>28535</v>
      </c>
      <c r="P2543" s="36" t="s">
        <v>28533</v>
      </c>
    </row>
    <row r="2544" spans="1:16">
      <c r="A2544" s="139">
        <v>2543</v>
      </c>
      <c r="B2544" s="36" t="s">
        <v>28536</v>
      </c>
      <c r="C2544" s="36" t="s">
        <v>28537</v>
      </c>
      <c r="D2544" s="36" t="s">
        <v>28538</v>
      </c>
      <c r="P2544" s="36" t="s">
        <v>28536</v>
      </c>
    </row>
    <row r="2545" spans="1:16">
      <c r="A2545" s="139">
        <v>2544</v>
      </c>
      <c r="B2545" s="36" t="s">
        <v>28539</v>
      </c>
      <c r="C2545" s="36" t="s">
        <v>28540</v>
      </c>
      <c r="D2545" s="36" t="s">
        <v>28541</v>
      </c>
      <c r="P2545" s="36" t="s">
        <v>28539</v>
      </c>
    </row>
    <row r="2546" spans="1:16">
      <c r="A2546" s="139">
        <v>2545</v>
      </c>
      <c r="B2546" s="36" t="s">
        <v>28542</v>
      </c>
      <c r="C2546" s="36" t="s">
        <v>28543</v>
      </c>
      <c r="P2546" s="36" t="s">
        <v>28542</v>
      </c>
    </row>
    <row r="2547" spans="1:16">
      <c r="A2547" s="139">
        <v>2546</v>
      </c>
      <c r="B2547" s="36" t="s">
        <v>28544</v>
      </c>
      <c r="C2547" s="36" t="s">
        <v>28545</v>
      </c>
      <c r="P2547" s="36" t="s">
        <v>28544</v>
      </c>
    </row>
    <row r="2548" spans="1:16">
      <c r="A2548" s="139">
        <v>2547</v>
      </c>
      <c r="B2548" s="36" t="s">
        <v>28546</v>
      </c>
      <c r="C2548" s="36" t="s">
        <v>28547</v>
      </c>
      <c r="D2548" s="36" t="s">
        <v>28548</v>
      </c>
      <c r="P2548" s="36" t="s">
        <v>28546</v>
      </c>
    </row>
    <row r="2549" spans="1:16">
      <c r="A2549" s="139">
        <v>2548</v>
      </c>
      <c r="B2549" s="36" t="s">
        <v>28549</v>
      </c>
      <c r="C2549" s="36" t="s">
        <v>28550</v>
      </c>
      <c r="D2549" s="36" t="s">
        <v>28551</v>
      </c>
      <c r="P2549" s="36" t="s">
        <v>28549</v>
      </c>
    </row>
    <row r="2550" spans="1:16">
      <c r="A2550" s="139">
        <v>2549</v>
      </c>
      <c r="B2550" s="36" t="s">
        <v>28552</v>
      </c>
      <c r="C2550" s="36" t="s">
        <v>28553</v>
      </c>
      <c r="P2550" s="36" t="s">
        <v>28552</v>
      </c>
    </row>
    <row r="2551" spans="1:16">
      <c r="A2551" s="139">
        <v>2550</v>
      </c>
      <c r="B2551" s="36" t="s">
        <v>28554</v>
      </c>
      <c r="C2551" s="36" t="s">
        <v>28555</v>
      </c>
      <c r="D2551" s="36" t="s">
        <v>9029</v>
      </c>
      <c r="P2551" s="36" t="s">
        <v>28554</v>
      </c>
    </row>
    <row r="2552" spans="1:16">
      <c r="A2552" s="139">
        <v>2551</v>
      </c>
      <c r="B2552" s="36" t="s">
        <v>28556</v>
      </c>
      <c r="C2552" s="36" t="s">
        <v>28555</v>
      </c>
      <c r="D2552" s="36" t="s">
        <v>28557</v>
      </c>
      <c r="P2552" s="36" t="s">
        <v>28556</v>
      </c>
    </row>
    <row r="2553" spans="1:16">
      <c r="A2553" s="139">
        <v>2552</v>
      </c>
      <c r="B2553" s="36" t="s">
        <v>28558</v>
      </c>
      <c r="C2553" s="36" t="s">
        <v>28559</v>
      </c>
      <c r="D2553" s="36" t="s">
        <v>28560</v>
      </c>
      <c r="P2553" s="36" t="s">
        <v>28558</v>
      </c>
    </row>
    <row r="2554" spans="1:16">
      <c r="A2554" s="139">
        <v>2553</v>
      </c>
      <c r="B2554" s="36" t="s">
        <v>28561</v>
      </c>
      <c r="C2554" s="36" t="s">
        <v>28562</v>
      </c>
      <c r="P2554" s="36" t="s">
        <v>28561</v>
      </c>
    </row>
    <row r="2555" spans="1:16">
      <c r="A2555" s="139">
        <v>2554</v>
      </c>
      <c r="B2555" s="36" t="s">
        <v>28563</v>
      </c>
      <c r="C2555" s="36" t="s">
        <v>28564</v>
      </c>
      <c r="P2555" s="36" t="s">
        <v>28563</v>
      </c>
    </row>
    <row r="2556" spans="1:16">
      <c r="A2556" s="139">
        <v>2555</v>
      </c>
      <c r="B2556" s="36" t="s">
        <v>28565</v>
      </c>
      <c r="C2556" s="36" t="s">
        <v>28566</v>
      </c>
      <c r="D2556" s="36" t="s">
        <v>28567</v>
      </c>
      <c r="P2556" s="36" t="s">
        <v>28565</v>
      </c>
    </row>
    <row r="2557" spans="1:16">
      <c r="A2557" s="139">
        <v>2556</v>
      </c>
      <c r="B2557" s="36" t="s">
        <v>28568</v>
      </c>
      <c r="C2557" s="36" t="s">
        <v>28569</v>
      </c>
      <c r="D2557" s="36" t="s">
        <v>28570</v>
      </c>
      <c r="P2557" s="36" t="s">
        <v>28568</v>
      </c>
    </row>
    <row r="2558" spans="1:16">
      <c r="A2558" s="139">
        <v>2557</v>
      </c>
      <c r="B2558" s="36" t="s">
        <v>28571</v>
      </c>
      <c r="C2558" s="36" t="s">
        <v>28572</v>
      </c>
      <c r="D2558" s="36" t="s">
        <v>28573</v>
      </c>
      <c r="P2558" s="36" t="s">
        <v>28571</v>
      </c>
    </row>
    <row r="2559" spans="1:16">
      <c r="A2559" s="139">
        <v>2558</v>
      </c>
      <c r="B2559" s="36" t="s">
        <v>28574</v>
      </c>
      <c r="C2559" s="36" t="s">
        <v>28575</v>
      </c>
      <c r="D2559" s="36" t="s">
        <v>28576</v>
      </c>
      <c r="P2559" s="36" t="s">
        <v>28574</v>
      </c>
    </row>
    <row r="2560" spans="1:16">
      <c r="A2560" s="139">
        <v>2559</v>
      </c>
      <c r="B2560" s="36" t="s">
        <v>28577</v>
      </c>
      <c r="C2560" s="36" t="s">
        <v>28578</v>
      </c>
      <c r="D2560" s="36" t="s">
        <v>28579</v>
      </c>
      <c r="P2560" s="36" t="s">
        <v>28577</v>
      </c>
    </row>
    <row r="2561" spans="1:16">
      <c r="A2561" s="139">
        <v>2560</v>
      </c>
      <c r="B2561" s="36" t="s">
        <v>28580</v>
      </c>
      <c r="C2561" s="36" t="s">
        <v>28581</v>
      </c>
      <c r="D2561" s="36" t="s">
        <v>28582</v>
      </c>
      <c r="P2561" s="36" t="s">
        <v>28580</v>
      </c>
    </row>
    <row r="2562" spans="1:16">
      <c r="A2562" s="139">
        <v>2561</v>
      </c>
      <c r="B2562" s="36" t="s">
        <v>28583</v>
      </c>
      <c r="C2562" s="36" t="s">
        <v>28584</v>
      </c>
      <c r="P2562" s="36" t="s">
        <v>28583</v>
      </c>
    </row>
    <row r="2563" spans="1:16">
      <c r="A2563" s="139">
        <v>2562</v>
      </c>
      <c r="B2563" s="36" t="s">
        <v>28585</v>
      </c>
      <c r="C2563" s="36" t="s">
        <v>28586</v>
      </c>
      <c r="D2563" s="36" t="s">
        <v>28587</v>
      </c>
      <c r="P2563" s="36" t="s">
        <v>28585</v>
      </c>
    </row>
    <row r="2564" spans="1:16">
      <c r="A2564" s="139">
        <v>2563</v>
      </c>
      <c r="B2564" s="36" t="s">
        <v>28588</v>
      </c>
      <c r="C2564" s="36" t="s">
        <v>28589</v>
      </c>
      <c r="D2564" s="36" t="s">
        <v>28590</v>
      </c>
      <c r="P2564" s="36" t="s">
        <v>28588</v>
      </c>
    </row>
    <row r="2565" spans="1:16">
      <c r="A2565" s="139">
        <v>2564</v>
      </c>
      <c r="B2565" s="36" t="s">
        <v>28591</v>
      </c>
      <c r="C2565" s="36" t="s">
        <v>28592</v>
      </c>
      <c r="D2565" s="36" t="s">
        <v>28593</v>
      </c>
      <c r="P2565" s="36" t="s">
        <v>28591</v>
      </c>
    </row>
    <row r="2566" spans="1:16">
      <c r="A2566" s="139">
        <v>2565</v>
      </c>
      <c r="B2566" s="36" t="s">
        <v>28594</v>
      </c>
      <c r="C2566" s="36" t="s">
        <v>28595</v>
      </c>
      <c r="P2566" s="36" t="s">
        <v>28594</v>
      </c>
    </row>
    <row r="2567" spans="1:16">
      <c r="A2567" s="139">
        <v>2566</v>
      </c>
      <c r="B2567" s="36" t="s">
        <v>28596</v>
      </c>
      <c r="C2567" s="36" t="s">
        <v>28597</v>
      </c>
      <c r="D2567" s="36" t="s">
        <v>24557</v>
      </c>
      <c r="P2567" s="36" t="s">
        <v>28596</v>
      </c>
    </row>
    <row r="2568" spans="1:16">
      <c r="A2568" s="139">
        <v>2567</v>
      </c>
      <c r="B2568" s="36" t="s">
        <v>28598</v>
      </c>
      <c r="C2568" s="36" t="s">
        <v>28599</v>
      </c>
      <c r="P2568" s="36" t="s">
        <v>28598</v>
      </c>
    </row>
    <row r="2569" spans="1:16">
      <c r="A2569" s="139">
        <v>2568</v>
      </c>
      <c r="B2569" s="36" t="s">
        <v>28600</v>
      </c>
      <c r="C2569" s="36" t="s">
        <v>28601</v>
      </c>
      <c r="P2569" s="36" t="s">
        <v>28600</v>
      </c>
    </row>
    <row r="2570" spans="1:16">
      <c r="A2570" s="139">
        <v>2569</v>
      </c>
      <c r="B2570" s="36" t="s">
        <v>28602</v>
      </c>
      <c r="C2570" s="36" t="s">
        <v>28603</v>
      </c>
      <c r="D2570" s="36" t="s">
        <v>28604</v>
      </c>
      <c r="P2570" s="36" t="s">
        <v>28602</v>
      </c>
    </row>
    <row r="2571" spans="1:16">
      <c r="A2571" s="139">
        <v>2570</v>
      </c>
      <c r="B2571" s="36" t="s">
        <v>28605</v>
      </c>
      <c r="C2571" s="36" t="s">
        <v>28606</v>
      </c>
      <c r="D2571" s="36" t="s">
        <v>28607</v>
      </c>
      <c r="P2571" s="36" t="s">
        <v>28605</v>
      </c>
    </row>
    <row r="2572" spans="1:16">
      <c r="A2572" s="139">
        <v>2571</v>
      </c>
      <c r="B2572" s="36" t="s">
        <v>28608</v>
      </c>
      <c r="C2572" s="36" t="s">
        <v>28609</v>
      </c>
      <c r="D2572" s="36" t="s">
        <v>28610</v>
      </c>
      <c r="P2572" s="36" t="s">
        <v>28608</v>
      </c>
    </row>
    <row r="2573" spans="1:16">
      <c r="A2573" s="139">
        <v>2572</v>
      </c>
      <c r="B2573" s="36" t="s">
        <v>28611</v>
      </c>
      <c r="C2573" s="36" t="s">
        <v>28612</v>
      </c>
      <c r="D2573" s="36" t="s">
        <v>28613</v>
      </c>
      <c r="P2573" s="36" t="s">
        <v>28611</v>
      </c>
    </row>
    <row r="2574" spans="1:16">
      <c r="A2574" s="139">
        <v>2573</v>
      </c>
      <c r="B2574" s="36" t="s">
        <v>28614</v>
      </c>
      <c r="C2574" s="36" t="s">
        <v>28452</v>
      </c>
      <c r="D2574" s="36" t="s">
        <v>28615</v>
      </c>
      <c r="P2574" s="36" t="s">
        <v>28614</v>
      </c>
    </row>
    <row r="2575" spans="1:16">
      <c r="A2575" s="139">
        <v>2574</v>
      </c>
      <c r="B2575" s="36" t="s">
        <v>28616</v>
      </c>
      <c r="C2575" s="36" t="s">
        <v>28617</v>
      </c>
      <c r="P2575" s="36" t="s">
        <v>28616</v>
      </c>
    </row>
    <row r="2576" spans="1:16">
      <c r="A2576" s="139">
        <v>2575</v>
      </c>
      <c r="B2576" s="36" t="s">
        <v>28618</v>
      </c>
      <c r="C2576" s="36" t="s">
        <v>28619</v>
      </c>
      <c r="P2576" s="36" t="s">
        <v>28618</v>
      </c>
    </row>
    <row r="2577" spans="1:16">
      <c r="A2577" s="139">
        <v>2576</v>
      </c>
      <c r="B2577" s="36" t="s">
        <v>28620</v>
      </c>
      <c r="C2577" s="36" t="s">
        <v>28621</v>
      </c>
      <c r="P2577" s="36" t="s">
        <v>28620</v>
      </c>
    </row>
    <row r="2578" spans="1:16">
      <c r="A2578" s="139">
        <v>2577</v>
      </c>
      <c r="B2578" s="36" t="s">
        <v>28622</v>
      </c>
      <c r="C2578" s="36" t="s">
        <v>28623</v>
      </c>
      <c r="D2578" s="36" t="s">
        <v>28624</v>
      </c>
      <c r="P2578" s="36" t="s">
        <v>28622</v>
      </c>
    </row>
    <row r="2579" spans="1:16">
      <c r="A2579" s="139">
        <v>2578</v>
      </c>
      <c r="B2579" s="36" t="s">
        <v>28625</v>
      </c>
      <c r="C2579" s="36" t="s">
        <v>28626</v>
      </c>
      <c r="P2579" s="36" t="s">
        <v>28625</v>
      </c>
    </row>
    <row r="2580" spans="1:16">
      <c r="A2580" s="139">
        <v>2579</v>
      </c>
      <c r="B2580" s="36" t="s">
        <v>28627</v>
      </c>
      <c r="C2580" s="36" t="s">
        <v>28628</v>
      </c>
      <c r="P2580" s="36" t="s">
        <v>28627</v>
      </c>
    </row>
    <row r="2581" spans="1:16">
      <c r="A2581" s="139">
        <v>2580</v>
      </c>
      <c r="B2581" s="36" t="s">
        <v>28629</v>
      </c>
      <c r="C2581" s="36" t="s">
        <v>28629</v>
      </c>
      <c r="D2581" s="36" t="s">
        <v>28629</v>
      </c>
      <c r="P2581" s="36" t="s">
        <v>28629</v>
      </c>
    </row>
    <row r="2582" spans="1:16">
      <c r="A2582" s="139">
        <v>2581</v>
      </c>
      <c r="B2582" s="36" t="s">
        <v>28630</v>
      </c>
      <c r="C2582" s="36" t="s">
        <v>28631</v>
      </c>
      <c r="D2582" s="36" t="s">
        <v>28632</v>
      </c>
      <c r="P2582" s="36" t="s">
        <v>28630</v>
      </c>
    </row>
    <row r="2583" spans="1:16">
      <c r="A2583" s="139">
        <v>2582</v>
      </c>
      <c r="B2583" s="36" t="s">
        <v>28633</v>
      </c>
      <c r="C2583" s="36" t="s">
        <v>28634</v>
      </c>
      <c r="D2583" s="36" t="s">
        <v>28635</v>
      </c>
      <c r="P2583" s="36" t="s">
        <v>28633</v>
      </c>
    </row>
    <row r="2584" spans="1:16">
      <c r="A2584" s="139">
        <v>2583</v>
      </c>
      <c r="B2584" s="36" t="s">
        <v>28636</v>
      </c>
      <c r="C2584" s="36" t="s">
        <v>28637</v>
      </c>
      <c r="P2584" s="36" t="s">
        <v>28636</v>
      </c>
    </row>
    <row r="2585" spans="1:16">
      <c r="A2585" s="139">
        <v>2584</v>
      </c>
      <c r="B2585" s="36" t="s">
        <v>28638</v>
      </c>
      <c r="C2585" s="36" t="s">
        <v>28639</v>
      </c>
      <c r="P2585" s="36" t="s">
        <v>28638</v>
      </c>
    </row>
    <row r="2586" spans="1:16">
      <c r="A2586" s="139">
        <v>2585</v>
      </c>
      <c r="B2586" s="36" t="s">
        <v>28640</v>
      </c>
      <c r="C2586" s="36" t="s">
        <v>28641</v>
      </c>
      <c r="D2586" s="36" t="s">
        <v>28642</v>
      </c>
      <c r="P2586" s="36" t="s">
        <v>28640</v>
      </c>
    </row>
    <row r="2587" spans="1:16">
      <c r="A2587" s="139">
        <v>2586</v>
      </c>
      <c r="B2587" s="36" t="s">
        <v>28643</v>
      </c>
      <c r="C2587" s="36" t="s">
        <v>28644</v>
      </c>
      <c r="D2587" s="36" t="s">
        <v>28642</v>
      </c>
      <c r="P2587" s="36" t="s">
        <v>28643</v>
      </c>
    </row>
    <row r="2588" spans="1:16">
      <c r="A2588" s="139">
        <v>2587</v>
      </c>
      <c r="B2588" s="36" t="s">
        <v>28645</v>
      </c>
      <c r="C2588" s="36" t="s">
        <v>28646</v>
      </c>
      <c r="D2588" s="36" t="s">
        <v>28647</v>
      </c>
      <c r="P2588" s="36" t="s">
        <v>28645</v>
      </c>
    </row>
    <row r="2589" spans="1:16">
      <c r="A2589" s="139">
        <v>2588</v>
      </c>
      <c r="B2589" s="36" t="s">
        <v>28648</v>
      </c>
      <c r="C2589" s="36" t="s">
        <v>28649</v>
      </c>
      <c r="D2589" s="36" t="s">
        <v>28650</v>
      </c>
      <c r="P2589" s="36" t="s">
        <v>28648</v>
      </c>
    </row>
    <row r="2590" spans="1:16">
      <c r="A2590" s="139">
        <v>2589</v>
      </c>
      <c r="B2590" s="36" t="s">
        <v>28651</v>
      </c>
      <c r="C2590" s="36" t="s">
        <v>28652</v>
      </c>
      <c r="D2590" s="36" t="s">
        <v>28653</v>
      </c>
      <c r="P2590" s="36" t="s">
        <v>28651</v>
      </c>
    </row>
    <row r="2591" spans="1:16">
      <c r="A2591" s="139">
        <v>2590</v>
      </c>
      <c r="B2591" s="36" t="s">
        <v>28654</v>
      </c>
      <c r="C2591" s="36" t="s">
        <v>28655</v>
      </c>
      <c r="D2591" s="36" t="s">
        <v>28656</v>
      </c>
      <c r="P2591" s="36" t="s">
        <v>28654</v>
      </c>
    </row>
    <row r="2592" spans="1:16">
      <c r="A2592" s="139">
        <v>2591</v>
      </c>
      <c r="B2592" s="36" t="s">
        <v>28657</v>
      </c>
      <c r="C2592" s="36" t="s">
        <v>28658</v>
      </c>
      <c r="D2592" s="36" t="s">
        <v>28659</v>
      </c>
      <c r="P2592" s="36" t="s">
        <v>28657</v>
      </c>
    </row>
    <row r="2593" spans="1:16">
      <c r="A2593" s="139">
        <v>2592</v>
      </c>
      <c r="B2593" s="36" t="s">
        <v>28660</v>
      </c>
      <c r="C2593" s="36" t="s">
        <v>28661</v>
      </c>
      <c r="D2593" s="36" t="s">
        <v>28662</v>
      </c>
      <c r="P2593" s="36" t="s">
        <v>28660</v>
      </c>
    </row>
    <row r="2594" spans="1:16">
      <c r="A2594" s="139">
        <v>2593</v>
      </c>
      <c r="B2594" s="36" t="s">
        <v>28663</v>
      </c>
      <c r="C2594" s="36" t="s">
        <v>28664</v>
      </c>
      <c r="D2594" s="36" t="s">
        <v>28665</v>
      </c>
      <c r="P2594" s="36" t="s">
        <v>28663</v>
      </c>
    </row>
    <row r="2595" spans="1:16">
      <c r="A2595" s="139">
        <v>2594</v>
      </c>
      <c r="B2595" s="36" t="s">
        <v>28666</v>
      </c>
      <c r="C2595" s="36" t="s">
        <v>28667</v>
      </c>
      <c r="D2595" s="36" t="s">
        <v>28668</v>
      </c>
      <c r="P2595" s="36" t="s">
        <v>28666</v>
      </c>
    </row>
    <row r="2596" spans="1:16">
      <c r="A2596" s="139">
        <v>2595</v>
      </c>
      <c r="B2596" s="36" t="s">
        <v>28669</v>
      </c>
      <c r="C2596" s="36" t="s">
        <v>28670</v>
      </c>
      <c r="D2596" s="36" t="s">
        <v>28671</v>
      </c>
      <c r="P2596" s="36" t="s">
        <v>28669</v>
      </c>
    </row>
    <row r="2597" spans="1:16">
      <c r="A2597" s="139">
        <v>2596</v>
      </c>
      <c r="B2597" s="36" t="s">
        <v>28672</v>
      </c>
      <c r="C2597" s="36" t="s">
        <v>28673</v>
      </c>
      <c r="D2597" s="36" t="s">
        <v>28674</v>
      </c>
      <c r="P2597" s="36" t="s">
        <v>28672</v>
      </c>
    </row>
    <row r="2598" spans="1:16">
      <c r="A2598" s="139">
        <v>2597</v>
      </c>
      <c r="B2598" s="36" t="s">
        <v>28675</v>
      </c>
      <c r="C2598" s="36" t="s">
        <v>28676</v>
      </c>
      <c r="D2598" s="36" t="s">
        <v>28677</v>
      </c>
      <c r="P2598" s="36" t="s">
        <v>28675</v>
      </c>
    </row>
    <row r="2599" spans="1:16">
      <c r="A2599" s="139">
        <v>2598</v>
      </c>
      <c r="B2599" s="36" t="s">
        <v>28678</v>
      </c>
      <c r="C2599" s="36" t="s">
        <v>28679</v>
      </c>
      <c r="D2599" s="36" t="s">
        <v>28680</v>
      </c>
      <c r="P2599" s="36" t="s">
        <v>28678</v>
      </c>
    </row>
    <row r="2600" spans="1:16">
      <c r="A2600" s="139">
        <v>2599</v>
      </c>
      <c r="B2600" s="36" t="s">
        <v>28681</v>
      </c>
      <c r="C2600" s="36" t="s">
        <v>28682</v>
      </c>
      <c r="D2600" s="36" t="s">
        <v>28683</v>
      </c>
      <c r="P2600" s="36" t="s">
        <v>28681</v>
      </c>
    </row>
    <row r="2601" spans="1:16">
      <c r="A2601" s="139">
        <v>2600</v>
      </c>
      <c r="B2601" s="36" t="s">
        <v>28684</v>
      </c>
      <c r="C2601" s="36" t="s">
        <v>28685</v>
      </c>
      <c r="P2601" s="36" t="s">
        <v>28684</v>
      </c>
    </row>
    <row r="2602" spans="1:16">
      <c r="A2602" s="139">
        <v>2601</v>
      </c>
      <c r="B2602" s="36" t="s">
        <v>28686</v>
      </c>
      <c r="C2602" s="36" t="s">
        <v>28687</v>
      </c>
      <c r="P2602" s="36" t="s">
        <v>28686</v>
      </c>
    </row>
    <row r="2603" spans="1:16">
      <c r="A2603" s="139">
        <v>2602</v>
      </c>
      <c r="B2603" s="36" t="s">
        <v>28688</v>
      </c>
      <c r="C2603" s="36" t="s">
        <v>28689</v>
      </c>
      <c r="P2603" s="36" t="s">
        <v>28688</v>
      </c>
    </row>
    <row r="2604" spans="1:16">
      <c r="A2604" s="139">
        <v>2603</v>
      </c>
      <c r="B2604" s="36" t="s">
        <v>28690</v>
      </c>
      <c r="C2604" s="36" t="s">
        <v>28691</v>
      </c>
      <c r="D2604" s="36" t="s">
        <v>28692</v>
      </c>
      <c r="P2604" s="36" t="s">
        <v>28690</v>
      </c>
    </row>
    <row r="2605" spans="1:16">
      <c r="A2605" s="139">
        <v>2604</v>
      </c>
      <c r="B2605" s="36" t="s">
        <v>28693</v>
      </c>
      <c r="C2605" s="36" t="s">
        <v>28694</v>
      </c>
      <c r="D2605" s="36" t="s">
        <v>28695</v>
      </c>
      <c r="P2605" s="36" t="s">
        <v>28693</v>
      </c>
    </row>
    <row r="2606" spans="1:16">
      <c r="A2606" s="139">
        <v>2605</v>
      </c>
      <c r="B2606" s="36" t="s">
        <v>28696</v>
      </c>
      <c r="C2606" s="36" t="s">
        <v>28697</v>
      </c>
      <c r="D2606" s="36" t="s">
        <v>28698</v>
      </c>
      <c r="P2606" s="36" t="s">
        <v>28696</v>
      </c>
    </row>
    <row r="2607" spans="1:16">
      <c r="A2607" s="139">
        <v>2606</v>
      </c>
      <c r="B2607" s="36" t="s">
        <v>28699</v>
      </c>
      <c r="C2607" s="36" t="s">
        <v>28700</v>
      </c>
      <c r="D2607" s="36" t="s">
        <v>28701</v>
      </c>
      <c r="P2607" s="36" t="s">
        <v>28699</v>
      </c>
    </row>
    <row r="2608" spans="1:16">
      <c r="A2608" s="139">
        <v>2607</v>
      </c>
      <c r="B2608" s="36" t="s">
        <v>28702</v>
      </c>
      <c r="C2608" s="36" t="s">
        <v>28703</v>
      </c>
      <c r="D2608" s="36" t="s">
        <v>28704</v>
      </c>
      <c r="P2608" s="36" t="s">
        <v>28702</v>
      </c>
    </row>
    <row r="2609" spans="1:16">
      <c r="A2609" s="139">
        <v>2608</v>
      </c>
      <c r="B2609" s="36" t="s">
        <v>28705</v>
      </c>
      <c r="C2609" s="36" t="s">
        <v>28706</v>
      </c>
      <c r="D2609" s="36" t="s">
        <v>28707</v>
      </c>
      <c r="P2609" s="36" t="s">
        <v>28705</v>
      </c>
    </row>
    <row r="2610" spans="1:16">
      <c r="A2610" s="139">
        <v>2609</v>
      </c>
      <c r="B2610" s="36" t="s">
        <v>28708</v>
      </c>
      <c r="C2610" s="36" t="s">
        <v>28709</v>
      </c>
      <c r="D2610" s="36" t="s">
        <v>28710</v>
      </c>
      <c r="P2610" s="36" t="s">
        <v>28708</v>
      </c>
    </row>
    <row r="2611" spans="1:16">
      <c r="A2611" s="139">
        <v>2610</v>
      </c>
      <c r="B2611" s="36" t="s">
        <v>28711</v>
      </c>
      <c r="C2611" s="36" t="s">
        <v>28712</v>
      </c>
      <c r="P2611" s="36" t="s">
        <v>28711</v>
      </c>
    </row>
    <row r="2612" spans="1:16">
      <c r="A2612" s="139">
        <v>2611</v>
      </c>
      <c r="B2612" s="36" t="s">
        <v>28713</v>
      </c>
      <c r="C2612" s="36" t="s">
        <v>28714</v>
      </c>
      <c r="D2612" s="36" t="s">
        <v>28715</v>
      </c>
      <c r="P2612" s="36" t="s">
        <v>28713</v>
      </c>
    </row>
    <row r="2613" spans="1:16">
      <c r="A2613" s="139">
        <v>2612</v>
      </c>
      <c r="B2613" s="36" t="s">
        <v>28716</v>
      </c>
      <c r="C2613" s="36" t="s">
        <v>28717</v>
      </c>
      <c r="D2613" s="36" t="s">
        <v>28718</v>
      </c>
      <c r="P2613" s="36" t="s">
        <v>28716</v>
      </c>
    </row>
    <row r="2614" spans="1:16">
      <c r="A2614" s="139">
        <v>2613</v>
      </c>
      <c r="B2614" s="36" t="s">
        <v>28719</v>
      </c>
      <c r="C2614" s="36" t="s">
        <v>28720</v>
      </c>
      <c r="D2614" s="36" t="s">
        <v>28721</v>
      </c>
      <c r="P2614" s="36" t="s">
        <v>28719</v>
      </c>
    </row>
    <row r="2615" spans="1:16">
      <c r="A2615" s="139">
        <v>2614</v>
      </c>
      <c r="B2615" s="36" t="s">
        <v>28722</v>
      </c>
      <c r="C2615" s="36" t="s">
        <v>28723</v>
      </c>
      <c r="P2615" s="36" t="s">
        <v>28722</v>
      </c>
    </row>
    <row r="2616" spans="1:16">
      <c r="A2616" s="139">
        <v>2615</v>
      </c>
      <c r="B2616" s="36" t="s">
        <v>28724</v>
      </c>
      <c r="C2616" s="36" t="s">
        <v>28725</v>
      </c>
      <c r="P2616" s="36" t="s">
        <v>28724</v>
      </c>
    </row>
    <row r="2617" spans="1:16">
      <c r="A2617" s="139">
        <v>2616</v>
      </c>
      <c r="B2617" s="36" t="s">
        <v>28726</v>
      </c>
      <c r="C2617" s="36" t="s">
        <v>28727</v>
      </c>
      <c r="D2617" s="36" t="s">
        <v>28728</v>
      </c>
      <c r="P2617" s="36" t="s">
        <v>28726</v>
      </c>
    </row>
    <row r="2618" spans="1:16">
      <c r="A2618" s="139">
        <v>2617</v>
      </c>
      <c r="B2618" s="36" t="s">
        <v>28729</v>
      </c>
      <c r="C2618" s="36" t="s">
        <v>28730</v>
      </c>
      <c r="D2618" s="36" t="s">
        <v>28731</v>
      </c>
      <c r="P2618" s="36" t="s">
        <v>28729</v>
      </c>
    </row>
    <row r="2619" spans="1:16">
      <c r="A2619" s="139">
        <v>2618</v>
      </c>
      <c r="B2619" s="36" t="s">
        <v>28732</v>
      </c>
      <c r="C2619" s="36" t="s">
        <v>28733</v>
      </c>
      <c r="D2619" s="36" t="s">
        <v>28734</v>
      </c>
      <c r="P2619" s="36" t="s">
        <v>28732</v>
      </c>
    </row>
    <row r="2620" spans="1:16">
      <c r="A2620" s="139">
        <v>2619</v>
      </c>
      <c r="B2620" s="36" t="s">
        <v>28735</v>
      </c>
      <c r="C2620" s="36" t="s">
        <v>28736</v>
      </c>
      <c r="D2620" s="36" t="s">
        <v>28737</v>
      </c>
      <c r="P2620" s="36" t="s">
        <v>28735</v>
      </c>
    </row>
    <row r="2621" spans="1:16">
      <c r="A2621" s="139">
        <v>2620</v>
      </c>
      <c r="B2621" s="36" t="s">
        <v>28738</v>
      </c>
      <c r="C2621" s="36" t="s">
        <v>28739</v>
      </c>
      <c r="P2621" s="36" t="s">
        <v>28738</v>
      </c>
    </row>
    <row r="2622" spans="1:16">
      <c r="A2622" s="139">
        <v>2621</v>
      </c>
      <c r="B2622" s="36" t="s">
        <v>28740</v>
      </c>
      <c r="C2622" s="36" t="s">
        <v>28741</v>
      </c>
      <c r="D2622" s="36" t="s">
        <v>28742</v>
      </c>
      <c r="P2622" s="36" t="s">
        <v>28740</v>
      </c>
    </row>
    <row r="2623" spans="1:16">
      <c r="A2623" s="139">
        <v>2622</v>
      </c>
      <c r="B2623" s="36" t="s">
        <v>28743</v>
      </c>
      <c r="C2623" s="36" t="s">
        <v>28744</v>
      </c>
      <c r="D2623" s="36" t="s">
        <v>28745</v>
      </c>
      <c r="P2623" s="36" t="s">
        <v>28743</v>
      </c>
    </row>
    <row r="2624" spans="1:16">
      <c r="A2624" s="139">
        <v>2623</v>
      </c>
      <c r="B2624" s="36" t="s">
        <v>28746</v>
      </c>
      <c r="C2624" s="36" t="s">
        <v>28747</v>
      </c>
      <c r="D2624" s="36" t="s">
        <v>28748</v>
      </c>
      <c r="P2624" s="36" t="s">
        <v>28746</v>
      </c>
    </row>
    <row r="2625" spans="1:16">
      <c r="A2625" s="139">
        <v>2624</v>
      </c>
      <c r="B2625" s="36" t="s">
        <v>28749</v>
      </c>
      <c r="C2625" s="36" t="s">
        <v>28750</v>
      </c>
      <c r="D2625" s="36" t="s">
        <v>21583</v>
      </c>
      <c r="P2625" s="36" t="s">
        <v>28749</v>
      </c>
    </row>
    <row r="2626" spans="1:16">
      <c r="A2626" s="139">
        <v>2625</v>
      </c>
      <c r="B2626" s="36" t="s">
        <v>28751</v>
      </c>
      <c r="C2626" s="36" t="s">
        <v>28752</v>
      </c>
      <c r="P2626" s="36" t="s">
        <v>28751</v>
      </c>
    </row>
    <row r="2627" spans="1:16">
      <c r="A2627" s="139">
        <v>2626</v>
      </c>
      <c r="B2627" s="36" t="s">
        <v>28753</v>
      </c>
      <c r="C2627" s="36" t="s">
        <v>28754</v>
      </c>
      <c r="D2627" s="36" t="s">
        <v>28755</v>
      </c>
      <c r="P2627" s="36" t="s">
        <v>28753</v>
      </c>
    </row>
    <row r="2628" spans="1:16">
      <c r="A2628" s="139">
        <v>2627</v>
      </c>
      <c r="B2628" s="36" t="s">
        <v>28756</v>
      </c>
      <c r="C2628" s="36" t="s">
        <v>28757</v>
      </c>
      <c r="P2628" s="36" t="s">
        <v>28756</v>
      </c>
    </row>
    <row r="2629" spans="1:16">
      <c r="A2629" s="139">
        <v>2628</v>
      </c>
      <c r="B2629" s="36" t="s">
        <v>28758</v>
      </c>
      <c r="C2629" s="36" t="s">
        <v>28759</v>
      </c>
      <c r="D2629" s="36" t="s">
        <v>28760</v>
      </c>
      <c r="P2629" s="36" t="s">
        <v>28758</v>
      </c>
    </row>
    <row r="2630" spans="1:16">
      <c r="A2630" s="139">
        <v>2629</v>
      </c>
      <c r="B2630" s="36" t="s">
        <v>28761</v>
      </c>
      <c r="C2630" s="36" t="s">
        <v>28762</v>
      </c>
      <c r="D2630" s="36" t="s">
        <v>28762</v>
      </c>
      <c r="P2630" s="36" t="s">
        <v>28761</v>
      </c>
    </row>
    <row r="2631" spans="1:16">
      <c r="A2631" s="139">
        <v>2630</v>
      </c>
      <c r="B2631" s="36" t="s">
        <v>28763</v>
      </c>
      <c r="C2631" s="36" t="s">
        <v>28764</v>
      </c>
      <c r="P2631" s="36" t="s">
        <v>28763</v>
      </c>
    </row>
    <row r="2632" spans="1:16">
      <c r="A2632" s="139">
        <v>2631</v>
      </c>
      <c r="B2632" s="36" t="s">
        <v>28765</v>
      </c>
      <c r="C2632" s="36" t="s">
        <v>28766</v>
      </c>
      <c r="D2632" s="36" t="s">
        <v>28767</v>
      </c>
      <c r="P2632" s="36" t="s">
        <v>28765</v>
      </c>
    </row>
    <row r="2633" spans="1:16">
      <c r="A2633" s="139">
        <v>2632</v>
      </c>
      <c r="B2633" s="36" t="s">
        <v>28768</v>
      </c>
      <c r="C2633" s="36" t="s">
        <v>28769</v>
      </c>
      <c r="D2633" s="36" t="s">
        <v>28770</v>
      </c>
      <c r="P2633" s="36" t="s">
        <v>28768</v>
      </c>
    </row>
    <row r="2634" spans="1:16">
      <c r="A2634" s="139">
        <v>2633</v>
      </c>
      <c r="B2634" s="36" t="s">
        <v>28771</v>
      </c>
      <c r="C2634" s="36" t="s">
        <v>28772</v>
      </c>
      <c r="D2634" s="36" t="s">
        <v>28773</v>
      </c>
      <c r="P2634" s="36" t="s">
        <v>28771</v>
      </c>
    </row>
    <row r="2635" spans="1:16">
      <c r="A2635" s="139">
        <v>2634</v>
      </c>
      <c r="B2635" s="36" t="s">
        <v>28774</v>
      </c>
      <c r="C2635" s="36" t="s">
        <v>28775</v>
      </c>
      <c r="D2635" s="36" t="s">
        <v>28776</v>
      </c>
      <c r="P2635" s="36" t="s">
        <v>28774</v>
      </c>
    </row>
    <row r="2636" spans="1:16">
      <c r="A2636" s="139">
        <v>2635</v>
      </c>
      <c r="B2636" s="36" t="s">
        <v>28777</v>
      </c>
      <c r="C2636" s="36" t="s">
        <v>28778</v>
      </c>
      <c r="D2636" s="36" t="s">
        <v>28779</v>
      </c>
      <c r="P2636" s="36" t="s">
        <v>28777</v>
      </c>
    </row>
    <row r="2637" spans="1:16">
      <c r="A2637" s="139">
        <v>2636</v>
      </c>
      <c r="B2637" s="36" t="s">
        <v>28780</v>
      </c>
      <c r="C2637" s="36" t="s">
        <v>28781</v>
      </c>
      <c r="D2637" s="36" t="s">
        <v>28782</v>
      </c>
      <c r="P2637" s="36" t="s">
        <v>28780</v>
      </c>
    </row>
    <row r="2638" spans="1:16">
      <c r="A2638" s="139">
        <v>2637</v>
      </c>
      <c r="B2638" s="36" t="s">
        <v>28783</v>
      </c>
      <c r="C2638" s="36" t="s">
        <v>28784</v>
      </c>
      <c r="D2638" s="36" t="s">
        <v>28785</v>
      </c>
      <c r="P2638" s="36" t="s">
        <v>28783</v>
      </c>
    </row>
    <row r="2639" spans="1:16">
      <c r="A2639" s="139">
        <v>2638</v>
      </c>
      <c r="B2639" s="36" t="s">
        <v>28786</v>
      </c>
      <c r="C2639" s="36" t="s">
        <v>28787</v>
      </c>
      <c r="D2639" s="36" t="s">
        <v>28788</v>
      </c>
      <c r="P2639" s="36" t="s">
        <v>28786</v>
      </c>
    </row>
    <row r="2640" spans="1:16">
      <c r="A2640" s="139">
        <v>2639</v>
      </c>
      <c r="B2640" s="36" t="s">
        <v>28789</v>
      </c>
      <c r="C2640" s="36" t="s">
        <v>28790</v>
      </c>
      <c r="D2640" s="36" t="s">
        <v>28791</v>
      </c>
      <c r="P2640" s="36" t="s">
        <v>28789</v>
      </c>
    </row>
    <row r="2641" spans="1:16">
      <c r="A2641" s="139">
        <v>2640</v>
      </c>
      <c r="B2641" s="36" t="s">
        <v>28792</v>
      </c>
      <c r="C2641" s="36" t="s">
        <v>28793</v>
      </c>
      <c r="D2641" s="36" t="s">
        <v>28794</v>
      </c>
      <c r="P2641" s="36" t="s">
        <v>28792</v>
      </c>
    </row>
    <row r="2642" spans="1:16">
      <c r="A2642" s="139">
        <v>2641</v>
      </c>
      <c r="B2642" s="36" t="s">
        <v>28795</v>
      </c>
      <c r="C2642" s="36" t="s">
        <v>28796</v>
      </c>
      <c r="D2642" s="36" t="s">
        <v>28797</v>
      </c>
      <c r="P2642" s="36" t="s">
        <v>28795</v>
      </c>
    </row>
    <row r="2643" spans="1:16">
      <c r="A2643" s="139">
        <v>2642</v>
      </c>
      <c r="B2643" s="36" t="s">
        <v>28798</v>
      </c>
      <c r="C2643" s="36" t="s">
        <v>28799</v>
      </c>
      <c r="P2643" s="36" t="s">
        <v>28798</v>
      </c>
    </row>
    <row r="2644" spans="1:16">
      <c r="A2644" s="139">
        <v>2643</v>
      </c>
      <c r="B2644" s="36" t="s">
        <v>28800</v>
      </c>
      <c r="C2644" s="36" t="s">
        <v>28801</v>
      </c>
      <c r="D2644" s="36" t="s">
        <v>28802</v>
      </c>
      <c r="P2644" s="36" t="s">
        <v>28800</v>
      </c>
    </row>
    <row r="2645" spans="1:16">
      <c r="A2645" s="139">
        <v>2644</v>
      </c>
      <c r="B2645" s="36" t="s">
        <v>28803</v>
      </c>
      <c r="C2645" s="36" t="s">
        <v>28804</v>
      </c>
      <c r="P2645" s="36" t="s">
        <v>28803</v>
      </c>
    </row>
    <row r="2646" spans="1:16">
      <c r="A2646" s="139">
        <v>2645</v>
      </c>
      <c r="B2646" s="36" t="s">
        <v>28805</v>
      </c>
      <c r="C2646" s="36" t="s">
        <v>28193</v>
      </c>
      <c r="D2646" s="36" t="s">
        <v>28806</v>
      </c>
      <c r="P2646" s="36" t="s">
        <v>28805</v>
      </c>
    </row>
    <row r="2647" spans="1:16">
      <c r="A2647" s="139">
        <v>2646</v>
      </c>
      <c r="B2647" s="36" t="s">
        <v>28807</v>
      </c>
      <c r="C2647" s="36" t="s">
        <v>28808</v>
      </c>
      <c r="D2647" s="36" t="s">
        <v>28809</v>
      </c>
      <c r="P2647" s="36" t="s">
        <v>28807</v>
      </c>
    </row>
    <row r="2648" spans="1:16">
      <c r="A2648" s="139">
        <v>2647</v>
      </c>
      <c r="B2648" s="36" t="s">
        <v>28810</v>
      </c>
      <c r="C2648" s="36" t="s">
        <v>28811</v>
      </c>
      <c r="D2648" s="36" t="s">
        <v>28812</v>
      </c>
      <c r="P2648" s="36" t="s">
        <v>28810</v>
      </c>
    </row>
    <row r="2649" spans="1:16">
      <c r="A2649" s="139">
        <v>2648</v>
      </c>
      <c r="B2649" s="36" t="s">
        <v>28813</v>
      </c>
      <c r="C2649" s="36" t="s">
        <v>28814</v>
      </c>
      <c r="P2649" s="36" t="s">
        <v>28813</v>
      </c>
    </row>
    <row r="2650" spans="1:16">
      <c r="A2650" s="139">
        <v>2649</v>
      </c>
      <c r="B2650" s="36" t="s">
        <v>28815</v>
      </c>
      <c r="C2650" s="36" t="s">
        <v>28816</v>
      </c>
      <c r="D2650" s="36" t="s">
        <v>28817</v>
      </c>
      <c r="P2650" s="36" t="s">
        <v>28815</v>
      </c>
    </row>
    <row r="2651" spans="1:16">
      <c r="A2651" s="139">
        <v>2650</v>
      </c>
      <c r="B2651" s="36" t="s">
        <v>28818</v>
      </c>
      <c r="C2651" s="36" t="s">
        <v>28819</v>
      </c>
      <c r="D2651" s="36" t="s">
        <v>28820</v>
      </c>
      <c r="P2651" s="36" t="s">
        <v>28818</v>
      </c>
    </row>
    <row r="2652" spans="1:16">
      <c r="A2652" s="139">
        <v>2651</v>
      </c>
      <c r="B2652" s="36" t="s">
        <v>28821</v>
      </c>
      <c r="C2652" s="36" t="s">
        <v>28822</v>
      </c>
      <c r="D2652" s="36" t="s">
        <v>28823</v>
      </c>
      <c r="P2652" s="36" t="s">
        <v>28821</v>
      </c>
    </row>
    <row r="2653" spans="1:16">
      <c r="A2653" s="139">
        <v>2652</v>
      </c>
      <c r="B2653" s="36" t="s">
        <v>28824</v>
      </c>
      <c r="C2653" s="36" t="s">
        <v>28825</v>
      </c>
      <c r="D2653" s="36" t="s">
        <v>28826</v>
      </c>
      <c r="P2653" s="36" t="s">
        <v>28824</v>
      </c>
    </row>
    <row r="2654" spans="1:16">
      <c r="A2654" s="139">
        <v>2653</v>
      </c>
      <c r="B2654" s="36" t="s">
        <v>28827</v>
      </c>
      <c r="C2654" s="36" t="s">
        <v>28827</v>
      </c>
      <c r="P2654" s="36" t="s">
        <v>28827</v>
      </c>
    </row>
    <row r="2655" spans="1:16">
      <c r="A2655" s="139">
        <v>2654</v>
      </c>
      <c r="B2655" s="36" t="s">
        <v>28828</v>
      </c>
      <c r="C2655" s="36" t="s">
        <v>28829</v>
      </c>
      <c r="D2655" s="36" t="s">
        <v>28830</v>
      </c>
      <c r="P2655" s="36" t="s">
        <v>28828</v>
      </c>
    </row>
    <row r="2656" spans="1:16">
      <c r="A2656" s="139">
        <v>2655</v>
      </c>
      <c r="B2656" s="36" t="s">
        <v>28831</v>
      </c>
      <c r="C2656" s="36" t="s">
        <v>28832</v>
      </c>
      <c r="P2656" s="36" t="s">
        <v>28831</v>
      </c>
    </row>
    <row r="2657" spans="1:16">
      <c r="A2657" s="139">
        <v>2656</v>
      </c>
      <c r="B2657" s="36" t="s">
        <v>28833</v>
      </c>
      <c r="C2657" s="36" t="s">
        <v>28834</v>
      </c>
      <c r="D2657" s="36" t="s">
        <v>28835</v>
      </c>
      <c r="P2657" s="36" t="s">
        <v>28836</v>
      </c>
    </row>
    <row r="2658" spans="1:16">
      <c r="A2658" s="139">
        <v>2657</v>
      </c>
      <c r="B2658" s="36" t="s">
        <v>28837</v>
      </c>
      <c r="C2658" s="36" t="s">
        <v>28838</v>
      </c>
      <c r="D2658" s="36" t="s">
        <v>28839</v>
      </c>
      <c r="P2658" s="36" t="s">
        <v>28837</v>
      </c>
    </row>
    <row r="2659" spans="1:16">
      <c r="A2659" s="139">
        <v>2658</v>
      </c>
      <c r="B2659" s="36" t="s">
        <v>28840</v>
      </c>
      <c r="C2659" s="36" t="s">
        <v>28841</v>
      </c>
      <c r="D2659" s="36" t="s">
        <v>28842</v>
      </c>
      <c r="P2659" s="36" t="s">
        <v>28840</v>
      </c>
    </row>
    <row r="2660" spans="1:16">
      <c r="A2660" s="139">
        <v>2659</v>
      </c>
      <c r="B2660" s="36" t="s">
        <v>28843</v>
      </c>
      <c r="C2660" s="36" t="s">
        <v>28844</v>
      </c>
      <c r="P2660" s="36" t="s">
        <v>28843</v>
      </c>
    </row>
    <row r="2661" spans="1:16">
      <c r="A2661" s="139">
        <v>2660</v>
      </c>
      <c r="B2661" s="36" t="s">
        <v>28845</v>
      </c>
      <c r="C2661" s="36" t="s">
        <v>28846</v>
      </c>
      <c r="P2661" s="36" t="s">
        <v>28845</v>
      </c>
    </row>
    <row r="2662" spans="1:16">
      <c r="A2662" s="139">
        <v>2661</v>
      </c>
      <c r="B2662" s="36" t="s">
        <v>28847</v>
      </c>
      <c r="C2662" s="36" t="s">
        <v>28848</v>
      </c>
      <c r="P2662" s="36" t="s">
        <v>28847</v>
      </c>
    </row>
    <row r="2663" spans="1:16">
      <c r="A2663" s="139">
        <v>2662</v>
      </c>
      <c r="B2663" s="36" t="s">
        <v>28849</v>
      </c>
      <c r="C2663" s="36" t="s">
        <v>28850</v>
      </c>
      <c r="D2663" s="36" t="s">
        <v>28851</v>
      </c>
      <c r="P2663" s="36" t="s">
        <v>28849</v>
      </c>
    </row>
    <row r="2664" spans="1:16">
      <c r="A2664" s="139">
        <v>2663</v>
      </c>
      <c r="B2664" s="36" t="s">
        <v>28852</v>
      </c>
      <c r="C2664" s="36" t="s">
        <v>28853</v>
      </c>
      <c r="D2664" s="36" t="s">
        <v>28854</v>
      </c>
      <c r="P2664" s="36" t="s">
        <v>28852</v>
      </c>
    </row>
    <row r="2665" spans="1:16">
      <c r="A2665" s="139">
        <v>2664</v>
      </c>
      <c r="B2665" s="36" t="s">
        <v>28855</v>
      </c>
      <c r="C2665" s="36" t="s">
        <v>28856</v>
      </c>
      <c r="D2665" s="36" t="s">
        <v>28857</v>
      </c>
      <c r="P2665" s="36" t="s">
        <v>28855</v>
      </c>
    </row>
    <row r="2666" spans="1:16">
      <c r="A2666" s="139">
        <v>2665</v>
      </c>
      <c r="B2666" s="36" t="s">
        <v>28858</v>
      </c>
      <c r="C2666" s="36" t="s">
        <v>28859</v>
      </c>
      <c r="D2666" s="36" t="s">
        <v>28860</v>
      </c>
      <c r="P2666" s="36" t="s">
        <v>28858</v>
      </c>
    </row>
    <row r="2667" spans="1:16">
      <c r="A2667" s="139">
        <v>2666</v>
      </c>
      <c r="B2667" s="36" t="s">
        <v>28861</v>
      </c>
      <c r="C2667" s="36" t="s">
        <v>28862</v>
      </c>
      <c r="D2667" s="36" t="s">
        <v>28863</v>
      </c>
      <c r="P2667" s="36" t="s">
        <v>28861</v>
      </c>
    </row>
    <row r="2668" spans="1:16">
      <c r="A2668" s="139">
        <v>2667</v>
      </c>
      <c r="B2668" s="36" t="s">
        <v>28864</v>
      </c>
      <c r="C2668" s="36" t="s">
        <v>28865</v>
      </c>
      <c r="D2668" s="36" t="s">
        <v>28866</v>
      </c>
      <c r="P2668" s="36" t="s">
        <v>28864</v>
      </c>
    </row>
    <row r="2669" spans="1:16">
      <c r="A2669" s="139">
        <v>2668</v>
      </c>
      <c r="B2669" s="36" t="s">
        <v>28867</v>
      </c>
      <c r="C2669" s="36" t="s">
        <v>28868</v>
      </c>
      <c r="D2669" s="36" t="s">
        <v>28869</v>
      </c>
      <c r="P2669" s="36" t="s">
        <v>28867</v>
      </c>
    </row>
    <row r="2670" spans="1:16">
      <c r="A2670" s="139">
        <v>2669</v>
      </c>
      <c r="B2670" s="36" t="s">
        <v>28870</v>
      </c>
      <c r="C2670" s="36" t="s">
        <v>28871</v>
      </c>
      <c r="D2670" s="36" t="s">
        <v>28872</v>
      </c>
      <c r="P2670" s="36" t="s">
        <v>28870</v>
      </c>
    </row>
    <row r="2671" spans="1:16">
      <c r="A2671" s="139">
        <v>2670</v>
      </c>
      <c r="B2671" s="36" t="s">
        <v>28873</v>
      </c>
      <c r="C2671" s="36" t="s">
        <v>28874</v>
      </c>
      <c r="D2671" s="36" t="s">
        <v>28875</v>
      </c>
      <c r="P2671" s="36" t="s">
        <v>28873</v>
      </c>
    </row>
    <row r="2672" spans="1:16">
      <c r="A2672" s="139">
        <v>2671</v>
      </c>
      <c r="B2672" s="36" t="s">
        <v>28876</v>
      </c>
      <c r="C2672" s="36" t="s">
        <v>28877</v>
      </c>
      <c r="D2672" s="36" t="s">
        <v>28878</v>
      </c>
      <c r="P2672" s="36" t="s">
        <v>28876</v>
      </c>
    </row>
    <row r="2673" spans="1:16">
      <c r="A2673" s="139">
        <v>2672</v>
      </c>
      <c r="B2673" s="36" t="s">
        <v>28879</v>
      </c>
      <c r="C2673" s="36" t="s">
        <v>28880</v>
      </c>
      <c r="D2673" s="36" t="s">
        <v>28881</v>
      </c>
      <c r="P2673" s="36" t="s">
        <v>28879</v>
      </c>
    </row>
    <row r="2674" spans="1:16">
      <c r="A2674" s="139">
        <v>2673</v>
      </c>
      <c r="B2674" s="36" t="s">
        <v>28882</v>
      </c>
      <c r="C2674" s="36" t="s">
        <v>28883</v>
      </c>
      <c r="P2674" s="36" t="s">
        <v>28882</v>
      </c>
    </row>
    <row r="2675" spans="1:16">
      <c r="A2675" s="139">
        <v>2674</v>
      </c>
      <c r="B2675" s="36" t="s">
        <v>28884</v>
      </c>
      <c r="C2675" s="36" t="s">
        <v>28885</v>
      </c>
      <c r="D2675" s="36" t="s">
        <v>28886</v>
      </c>
      <c r="P2675" s="36" t="s">
        <v>28884</v>
      </c>
    </row>
    <row r="2676" spans="1:16">
      <c r="A2676" s="139">
        <v>2675</v>
      </c>
      <c r="B2676" s="36" t="s">
        <v>28887</v>
      </c>
      <c r="C2676" s="36" t="s">
        <v>28888</v>
      </c>
      <c r="D2676" s="36" t="s">
        <v>28889</v>
      </c>
      <c r="P2676" s="36" t="s">
        <v>28887</v>
      </c>
    </row>
    <row r="2677" spans="1:16">
      <c r="A2677" s="139">
        <v>2676</v>
      </c>
      <c r="B2677" s="36" t="s">
        <v>28890</v>
      </c>
      <c r="C2677" s="36" t="s">
        <v>28891</v>
      </c>
      <c r="P2677" s="36" t="s">
        <v>28890</v>
      </c>
    </row>
    <row r="2678" spans="1:16">
      <c r="A2678" s="139">
        <v>2677</v>
      </c>
      <c r="B2678" s="36" t="s">
        <v>28892</v>
      </c>
      <c r="C2678" s="36" t="s">
        <v>28893</v>
      </c>
      <c r="D2678" s="36" t="s">
        <v>28894</v>
      </c>
      <c r="P2678" s="36" t="s">
        <v>28892</v>
      </c>
    </row>
    <row r="2679" spans="1:16">
      <c r="A2679" s="139">
        <v>2678</v>
      </c>
      <c r="B2679" s="36" t="s">
        <v>28895</v>
      </c>
      <c r="C2679" s="36" t="s">
        <v>28896</v>
      </c>
      <c r="D2679" s="36" t="s">
        <v>28897</v>
      </c>
      <c r="P2679" s="36" t="s">
        <v>28895</v>
      </c>
    </row>
    <row r="2680" spans="1:16">
      <c r="A2680" s="139">
        <v>2679</v>
      </c>
      <c r="B2680" s="36" t="s">
        <v>28898</v>
      </c>
      <c r="C2680" s="36" t="s">
        <v>28899</v>
      </c>
      <c r="D2680" s="36" t="s">
        <v>28900</v>
      </c>
      <c r="P2680" s="36" t="s">
        <v>28898</v>
      </c>
    </row>
    <row r="2681" spans="1:16">
      <c r="A2681" s="139">
        <v>2680</v>
      </c>
      <c r="B2681" s="36" t="s">
        <v>28901</v>
      </c>
      <c r="C2681" s="36" t="s">
        <v>28902</v>
      </c>
      <c r="P2681" s="36" t="s">
        <v>28901</v>
      </c>
    </row>
    <row r="2682" spans="1:16">
      <c r="A2682" s="139">
        <v>2681</v>
      </c>
      <c r="B2682" s="36" t="s">
        <v>28903</v>
      </c>
      <c r="C2682" s="36" t="s">
        <v>28904</v>
      </c>
      <c r="P2682" s="36" t="s">
        <v>28903</v>
      </c>
    </row>
    <row r="2683" spans="1:16">
      <c r="A2683" s="139">
        <v>2682</v>
      </c>
      <c r="B2683" s="36" t="s">
        <v>28905</v>
      </c>
      <c r="C2683" s="36" t="s">
        <v>28906</v>
      </c>
      <c r="D2683" s="36" t="s">
        <v>28907</v>
      </c>
      <c r="P2683" s="36" t="s">
        <v>28905</v>
      </c>
    </row>
    <row r="2684" spans="1:16">
      <c r="A2684" s="139">
        <v>2683</v>
      </c>
      <c r="B2684" s="36" t="s">
        <v>28908</v>
      </c>
      <c r="C2684" s="36" t="s">
        <v>28909</v>
      </c>
      <c r="D2684" s="36" t="s">
        <v>28910</v>
      </c>
      <c r="P2684" s="36" t="s">
        <v>28908</v>
      </c>
    </row>
    <row r="2685" spans="1:16">
      <c r="A2685" s="139">
        <v>2684</v>
      </c>
      <c r="B2685" s="36" t="s">
        <v>28911</v>
      </c>
      <c r="C2685" s="36" t="s">
        <v>28912</v>
      </c>
      <c r="D2685" s="36" t="s">
        <v>28913</v>
      </c>
      <c r="P2685" s="36" t="s">
        <v>28911</v>
      </c>
    </row>
    <row r="2686" spans="1:16">
      <c r="A2686" s="139">
        <v>2685</v>
      </c>
      <c r="B2686" s="36" t="s">
        <v>28914</v>
      </c>
      <c r="C2686" s="36" t="s">
        <v>28915</v>
      </c>
      <c r="D2686" s="36" t="s">
        <v>28916</v>
      </c>
      <c r="P2686" s="36" t="s">
        <v>28914</v>
      </c>
    </row>
    <row r="2687" spans="1:16">
      <c r="A2687" s="139">
        <v>2686</v>
      </c>
      <c r="B2687" s="36" t="s">
        <v>28917</v>
      </c>
      <c r="C2687" s="36" t="s">
        <v>28918</v>
      </c>
      <c r="D2687" s="36" t="s">
        <v>28919</v>
      </c>
      <c r="P2687" s="36" t="s">
        <v>28917</v>
      </c>
    </row>
    <row r="2688" spans="1:16">
      <c r="A2688" s="139">
        <v>2687</v>
      </c>
      <c r="B2688" s="36" t="s">
        <v>28920</v>
      </c>
      <c r="C2688" s="36" t="s">
        <v>28921</v>
      </c>
      <c r="D2688" s="36" t="s">
        <v>28922</v>
      </c>
      <c r="P2688" s="36" t="s">
        <v>28920</v>
      </c>
    </row>
    <row r="2689" spans="1:16">
      <c r="A2689" s="139">
        <v>2688</v>
      </c>
      <c r="B2689" s="36" t="s">
        <v>28923</v>
      </c>
      <c r="C2689" s="36" t="s">
        <v>28924</v>
      </c>
      <c r="D2689" s="36" t="s">
        <v>28925</v>
      </c>
      <c r="P2689" s="36" t="s">
        <v>28923</v>
      </c>
    </row>
    <row r="2690" spans="1:16">
      <c r="A2690" s="139">
        <v>2689</v>
      </c>
      <c r="B2690" s="36" t="s">
        <v>28926</v>
      </c>
      <c r="C2690" s="36" t="s">
        <v>28927</v>
      </c>
      <c r="D2690" s="36" t="s">
        <v>28928</v>
      </c>
      <c r="P2690" s="36" t="s">
        <v>28926</v>
      </c>
    </row>
    <row r="2691" spans="1:16">
      <c r="A2691" s="139">
        <v>2690</v>
      </c>
      <c r="B2691" s="36" t="s">
        <v>28929</v>
      </c>
      <c r="C2691" s="36" t="s">
        <v>28929</v>
      </c>
      <c r="D2691" s="36" t="s">
        <v>28929</v>
      </c>
      <c r="P2691" s="36" t="s">
        <v>28929</v>
      </c>
    </row>
    <row r="2692" spans="1:16">
      <c r="A2692" s="139">
        <v>2691</v>
      </c>
      <c r="B2692" s="36" t="s">
        <v>28930</v>
      </c>
      <c r="C2692" s="36" t="s">
        <v>28931</v>
      </c>
      <c r="D2692" s="36" t="s">
        <v>28932</v>
      </c>
      <c r="P2692" s="36" t="s">
        <v>28930</v>
      </c>
    </row>
    <row r="2693" spans="1:16">
      <c r="A2693" s="139">
        <v>2692</v>
      </c>
      <c r="B2693" s="36" t="s">
        <v>28933</v>
      </c>
      <c r="C2693" s="36" t="s">
        <v>28934</v>
      </c>
      <c r="P2693" s="36" t="s">
        <v>28933</v>
      </c>
    </row>
    <row r="2694" spans="1:16">
      <c r="A2694" s="139">
        <v>2693</v>
      </c>
      <c r="B2694" s="36" t="s">
        <v>28935</v>
      </c>
      <c r="C2694" s="36" t="s">
        <v>28936</v>
      </c>
      <c r="P2694" s="36" t="s">
        <v>28935</v>
      </c>
    </row>
    <row r="2695" spans="1:16">
      <c r="A2695" s="139">
        <v>2694</v>
      </c>
      <c r="B2695" s="36" t="s">
        <v>28937</v>
      </c>
      <c r="C2695" s="36" t="s">
        <v>28938</v>
      </c>
      <c r="P2695" s="36" t="s">
        <v>28937</v>
      </c>
    </row>
    <row r="2696" spans="1:16">
      <c r="A2696" s="139">
        <v>2695</v>
      </c>
      <c r="B2696" s="36" t="s">
        <v>28939</v>
      </c>
      <c r="C2696" s="36" t="s">
        <v>28940</v>
      </c>
      <c r="P2696" s="36" t="s">
        <v>28939</v>
      </c>
    </row>
    <row r="2697" spans="1:16">
      <c r="A2697" s="139">
        <v>2696</v>
      </c>
      <c r="B2697" s="36" t="s">
        <v>28941</v>
      </c>
      <c r="C2697" s="36" t="s">
        <v>28942</v>
      </c>
      <c r="P2697" s="36" t="s">
        <v>28941</v>
      </c>
    </row>
    <row r="2698" spans="1:16">
      <c r="A2698" s="139">
        <v>2697</v>
      </c>
      <c r="B2698" s="36" t="s">
        <v>28943</v>
      </c>
      <c r="C2698" s="36" t="s">
        <v>28944</v>
      </c>
      <c r="D2698" s="36" t="s">
        <v>28945</v>
      </c>
      <c r="P2698" s="36" t="s">
        <v>28943</v>
      </c>
    </row>
    <row r="2699" spans="1:16">
      <c r="A2699" s="139">
        <v>2698</v>
      </c>
      <c r="B2699" s="36" t="s">
        <v>28946</v>
      </c>
      <c r="C2699" s="36" t="s">
        <v>28947</v>
      </c>
      <c r="D2699" s="36" t="s">
        <v>28948</v>
      </c>
      <c r="P2699" s="36" t="s">
        <v>28946</v>
      </c>
    </row>
    <row r="2700" spans="1:16">
      <c r="A2700" s="139">
        <v>2699</v>
      </c>
      <c r="B2700" s="36" t="s">
        <v>28949</v>
      </c>
      <c r="C2700" s="36" t="s">
        <v>28950</v>
      </c>
      <c r="P2700" s="36" t="s">
        <v>28949</v>
      </c>
    </row>
    <row r="2701" spans="1:16">
      <c r="A2701" s="139">
        <v>2700</v>
      </c>
      <c r="B2701" s="36" t="s">
        <v>28951</v>
      </c>
      <c r="C2701" s="36" t="s">
        <v>28952</v>
      </c>
      <c r="D2701" s="36" t="s">
        <v>28953</v>
      </c>
      <c r="P2701" s="36" t="s">
        <v>28951</v>
      </c>
    </row>
    <row r="2702" spans="1:16">
      <c r="A2702" s="139">
        <v>2701</v>
      </c>
      <c r="B2702" s="36" t="s">
        <v>28954</v>
      </c>
      <c r="C2702" s="36" t="s">
        <v>28955</v>
      </c>
      <c r="D2702" s="36" t="s">
        <v>28956</v>
      </c>
      <c r="P2702" s="36" t="s">
        <v>28954</v>
      </c>
    </row>
    <row r="2703" spans="1:16">
      <c r="A2703" s="139">
        <v>2702</v>
      </c>
      <c r="B2703" s="36" t="s">
        <v>28957</v>
      </c>
      <c r="C2703" s="36" t="s">
        <v>28958</v>
      </c>
      <c r="D2703" s="36" t="s">
        <v>28959</v>
      </c>
      <c r="P2703" s="36" t="s">
        <v>28957</v>
      </c>
    </row>
    <row r="2704" spans="1:16">
      <c r="A2704" s="139">
        <v>2703</v>
      </c>
      <c r="B2704" s="36" t="s">
        <v>28960</v>
      </c>
      <c r="C2704" s="36" t="s">
        <v>28961</v>
      </c>
      <c r="D2704" s="36" t="s">
        <v>28962</v>
      </c>
      <c r="P2704" s="36" t="s">
        <v>28960</v>
      </c>
    </row>
    <row r="2705" spans="1:16">
      <c r="A2705" s="139">
        <v>2704</v>
      </c>
      <c r="B2705" s="36" t="s">
        <v>28963</v>
      </c>
      <c r="C2705" s="36" t="s">
        <v>28964</v>
      </c>
      <c r="D2705" s="36" t="s">
        <v>28965</v>
      </c>
      <c r="P2705" s="36" t="s">
        <v>28963</v>
      </c>
    </row>
    <row r="2706" spans="1:16">
      <c r="A2706" s="139">
        <v>2705</v>
      </c>
      <c r="B2706" s="36" t="s">
        <v>28966</v>
      </c>
      <c r="C2706" s="36" t="s">
        <v>4040</v>
      </c>
      <c r="D2706" s="36" t="s">
        <v>28967</v>
      </c>
      <c r="P2706" s="36" t="s">
        <v>28966</v>
      </c>
    </row>
    <row r="2707" spans="1:16">
      <c r="A2707" s="139">
        <v>2706</v>
      </c>
      <c r="B2707" s="36" t="s">
        <v>28968</v>
      </c>
      <c r="C2707" s="36" t="s">
        <v>28969</v>
      </c>
      <c r="D2707" s="36" t="s">
        <v>28970</v>
      </c>
      <c r="P2707" s="36" t="s">
        <v>28968</v>
      </c>
    </row>
    <row r="2708" spans="1:16">
      <c r="A2708" s="139">
        <v>2707</v>
      </c>
      <c r="B2708" s="36" t="s">
        <v>28971</v>
      </c>
      <c r="C2708" s="36" t="s">
        <v>28972</v>
      </c>
      <c r="D2708" s="36" t="s">
        <v>28973</v>
      </c>
      <c r="P2708" s="36" t="s">
        <v>28971</v>
      </c>
    </row>
    <row r="2709" spans="1:16">
      <c r="A2709" s="139">
        <v>2708</v>
      </c>
      <c r="B2709" s="36" t="s">
        <v>28974</v>
      </c>
      <c r="C2709" s="36" t="s">
        <v>28975</v>
      </c>
      <c r="D2709" s="36" t="s">
        <v>28976</v>
      </c>
      <c r="P2709" s="36" t="s">
        <v>28974</v>
      </c>
    </row>
    <row r="2710" spans="1:16">
      <c r="A2710" s="139">
        <v>2709</v>
      </c>
      <c r="B2710" s="36" t="s">
        <v>28977</v>
      </c>
      <c r="C2710" s="36" t="s">
        <v>28978</v>
      </c>
      <c r="D2710" s="36" t="s">
        <v>28979</v>
      </c>
      <c r="P2710" s="36" t="s">
        <v>28977</v>
      </c>
    </row>
    <row r="2711" spans="1:16">
      <c r="A2711" s="139">
        <v>2710</v>
      </c>
      <c r="B2711" s="36" t="s">
        <v>28980</v>
      </c>
      <c r="C2711" s="36" t="s">
        <v>28981</v>
      </c>
      <c r="D2711" s="36" t="s">
        <v>28982</v>
      </c>
      <c r="P2711" s="36" t="s">
        <v>28980</v>
      </c>
    </row>
    <row r="2712" spans="1:16">
      <c r="A2712" s="139">
        <v>2711</v>
      </c>
      <c r="B2712" s="36" t="s">
        <v>28983</v>
      </c>
      <c r="C2712" s="36" t="s">
        <v>28983</v>
      </c>
      <c r="D2712" s="36" t="s">
        <v>28983</v>
      </c>
      <c r="P2712" s="36" t="s">
        <v>28983</v>
      </c>
    </row>
    <row r="2713" spans="1:16">
      <c r="A2713" s="139">
        <v>2712</v>
      </c>
      <c r="B2713" s="36" t="s">
        <v>28984</v>
      </c>
      <c r="C2713" s="36" t="s">
        <v>28985</v>
      </c>
      <c r="D2713" s="36" t="s">
        <v>28986</v>
      </c>
      <c r="P2713" s="36" t="s">
        <v>28984</v>
      </c>
    </row>
    <row r="2714" spans="1:16">
      <c r="A2714" s="139">
        <v>2713</v>
      </c>
      <c r="B2714" s="36" t="s">
        <v>28987</v>
      </c>
      <c r="C2714" s="36" t="s">
        <v>28988</v>
      </c>
      <c r="D2714" s="36" t="s">
        <v>28989</v>
      </c>
      <c r="P2714" s="36" t="s">
        <v>28987</v>
      </c>
    </row>
    <row r="2715" spans="1:16">
      <c r="A2715" s="139">
        <v>2714</v>
      </c>
      <c r="B2715" s="36" t="s">
        <v>28990</v>
      </c>
      <c r="C2715" s="36" t="s">
        <v>28991</v>
      </c>
      <c r="P2715" s="36" t="s">
        <v>28990</v>
      </c>
    </row>
    <row r="2716" spans="1:16">
      <c r="A2716" s="139">
        <v>2715</v>
      </c>
      <c r="B2716" s="36" t="s">
        <v>28992</v>
      </c>
      <c r="C2716" s="36" t="s">
        <v>28993</v>
      </c>
      <c r="P2716" s="36" t="s">
        <v>28992</v>
      </c>
    </row>
    <row r="2717" spans="1:16">
      <c r="A2717" s="139">
        <v>2716</v>
      </c>
      <c r="B2717" s="36" t="s">
        <v>28994</v>
      </c>
      <c r="C2717" s="36" t="s">
        <v>28995</v>
      </c>
      <c r="P2717" s="36" t="s">
        <v>28994</v>
      </c>
    </row>
    <row r="2718" spans="1:16">
      <c r="A2718" s="139">
        <v>2717</v>
      </c>
      <c r="B2718" s="36" t="s">
        <v>3668</v>
      </c>
      <c r="C2718" s="36" t="s">
        <v>28996</v>
      </c>
      <c r="D2718" s="36" t="s">
        <v>28997</v>
      </c>
      <c r="P2718" s="36" t="s">
        <v>3668</v>
      </c>
    </row>
    <row r="2719" spans="1:16">
      <c r="A2719" s="139">
        <v>2718</v>
      </c>
      <c r="B2719" s="36" t="s">
        <v>28998</v>
      </c>
      <c r="C2719" s="36" t="s">
        <v>28999</v>
      </c>
      <c r="D2719" s="36" t="s">
        <v>29000</v>
      </c>
      <c r="P2719" s="36" t="s">
        <v>28998</v>
      </c>
    </row>
    <row r="2720" spans="1:16">
      <c r="A2720" s="139">
        <v>2719</v>
      </c>
      <c r="B2720" s="36" t="s">
        <v>29001</v>
      </c>
      <c r="C2720" s="36" t="s">
        <v>29002</v>
      </c>
      <c r="D2720" s="36" t="s">
        <v>29003</v>
      </c>
      <c r="P2720" s="36" t="s">
        <v>29001</v>
      </c>
    </row>
    <row r="2721" spans="1:16">
      <c r="A2721" s="139">
        <v>2720</v>
      </c>
      <c r="B2721" s="36" t="s">
        <v>29004</v>
      </c>
      <c r="C2721" s="36" t="s">
        <v>29005</v>
      </c>
      <c r="D2721" s="36" t="s">
        <v>29006</v>
      </c>
      <c r="P2721" s="36" t="s">
        <v>29004</v>
      </c>
    </row>
    <row r="2722" spans="1:16">
      <c r="A2722" s="139">
        <v>2721</v>
      </c>
      <c r="B2722" s="36" t="s">
        <v>29007</v>
      </c>
      <c r="C2722" s="36" t="s">
        <v>29008</v>
      </c>
      <c r="P2722" s="36" t="s">
        <v>29007</v>
      </c>
    </row>
    <row r="2723" spans="1:16">
      <c r="A2723" s="139">
        <v>2722</v>
      </c>
      <c r="B2723" s="36" t="s">
        <v>29009</v>
      </c>
      <c r="C2723" s="36" t="s">
        <v>29010</v>
      </c>
      <c r="P2723" s="36" t="s">
        <v>29009</v>
      </c>
    </row>
    <row r="2724" spans="1:16">
      <c r="A2724" s="139">
        <v>2723</v>
      </c>
      <c r="B2724" s="36" t="s">
        <v>29011</v>
      </c>
      <c r="C2724" s="36" t="s">
        <v>29012</v>
      </c>
      <c r="D2724" s="36" t="s">
        <v>29013</v>
      </c>
      <c r="P2724" s="36" t="s">
        <v>29011</v>
      </c>
    </row>
    <row r="2725" spans="1:16">
      <c r="A2725" s="139">
        <v>2724</v>
      </c>
      <c r="B2725" s="36" t="s">
        <v>29014</v>
      </c>
      <c r="C2725" s="36" t="s">
        <v>29015</v>
      </c>
      <c r="D2725" s="36" t="s">
        <v>29016</v>
      </c>
      <c r="P2725" s="36" t="s">
        <v>29014</v>
      </c>
    </row>
    <row r="2726" spans="1:16">
      <c r="A2726" s="139">
        <v>2725</v>
      </c>
      <c r="B2726" s="36" t="s">
        <v>29017</v>
      </c>
      <c r="C2726" s="36" t="s">
        <v>29018</v>
      </c>
      <c r="D2726" s="36" t="s">
        <v>29019</v>
      </c>
      <c r="P2726" s="36" t="s">
        <v>29017</v>
      </c>
    </row>
    <row r="2727" spans="1:16">
      <c r="A2727" s="139">
        <v>2726</v>
      </c>
      <c r="B2727" s="36" t="s">
        <v>29020</v>
      </c>
      <c r="C2727" s="36" t="s">
        <v>29021</v>
      </c>
      <c r="P2727" s="36" t="s">
        <v>29020</v>
      </c>
    </row>
    <row r="2728" spans="1:16">
      <c r="A2728" s="139">
        <v>2727</v>
      </c>
      <c r="B2728" s="36" t="s">
        <v>29022</v>
      </c>
      <c r="C2728" s="36" t="s">
        <v>29023</v>
      </c>
      <c r="P2728" s="36" t="s">
        <v>29022</v>
      </c>
    </row>
    <row r="2729" spans="1:16">
      <c r="A2729" s="139">
        <v>2728</v>
      </c>
      <c r="B2729" s="36" t="s">
        <v>29024</v>
      </c>
      <c r="C2729" s="36" t="s">
        <v>29025</v>
      </c>
      <c r="D2729" s="36" t="s">
        <v>29026</v>
      </c>
      <c r="P2729" s="36" t="s">
        <v>29024</v>
      </c>
    </row>
    <row r="2730" spans="1:16">
      <c r="A2730" s="139">
        <v>2729</v>
      </c>
      <c r="B2730" s="36" t="s">
        <v>29027</v>
      </c>
      <c r="C2730" s="36" t="s">
        <v>29028</v>
      </c>
      <c r="D2730" s="36" t="s">
        <v>29029</v>
      </c>
      <c r="P2730" s="36" t="s">
        <v>29027</v>
      </c>
    </row>
    <row r="2731" spans="1:16">
      <c r="A2731" s="139">
        <v>2730</v>
      </c>
      <c r="B2731" s="36" t="s">
        <v>29030</v>
      </c>
      <c r="C2731" s="36" t="s">
        <v>29031</v>
      </c>
      <c r="D2731" s="36" t="s">
        <v>29032</v>
      </c>
      <c r="P2731" s="36" t="s">
        <v>29030</v>
      </c>
    </row>
    <row r="2732" spans="1:16">
      <c r="A2732" s="139">
        <v>2731</v>
      </c>
      <c r="B2732" s="36" t="s">
        <v>29033</v>
      </c>
      <c r="C2732" s="36" t="s">
        <v>29034</v>
      </c>
      <c r="D2732" s="36" t="s">
        <v>29035</v>
      </c>
      <c r="P2732" s="36" t="s">
        <v>29033</v>
      </c>
    </row>
    <row r="2733" spans="1:16">
      <c r="A2733" s="139">
        <v>2732</v>
      </c>
      <c r="B2733" s="36" t="s">
        <v>29036</v>
      </c>
      <c r="C2733" s="36" t="s">
        <v>29037</v>
      </c>
      <c r="D2733" s="36" t="s">
        <v>29038</v>
      </c>
      <c r="P2733" s="36" t="s">
        <v>29036</v>
      </c>
    </row>
    <row r="2734" spans="1:16">
      <c r="A2734" s="139">
        <v>2733</v>
      </c>
      <c r="B2734" s="36" t="s">
        <v>29039</v>
      </c>
      <c r="C2734" s="36" t="s">
        <v>29040</v>
      </c>
      <c r="D2734" s="36" t="s">
        <v>29041</v>
      </c>
      <c r="P2734" s="36" t="s">
        <v>29039</v>
      </c>
    </row>
    <row r="2735" spans="1:16">
      <c r="A2735" s="139">
        <v>2734</v>
      </c>
      <c r="B2735" s="36" t="s">
        <v>29042</v>
      </c>
      <c r="C2735" s="36" t="s">
        <v>29043</v>
      </c>
      <c r="D2735" s="36" t="s">
        <v>29044</v>
      </c>
      <c r="P2735" s="36" t="s">
        <v>29042</v>
      </c>
    </row>
    <row r="2736" spans="1:16">
      <c r="A2736" s="139">
        <v>2735</v>
      </c>
      <c r="B2736" s="36" t="s">
        <v>29045</v>
      </c>
      <c r="C2736" s="36" t="s">
        <v>29046</v>
      </c>
      <c r="D2736" s="36" t="s">
        <v>29047</v>
      </c>
      <c r="P2736" s="36" t="s">
        <v>29045</v>
      </c>
    </row>
    <row r="2737" spans="1:16">
      <c r="A2737" s="139">
        <v>2736</v>
      </c>
      <c r="B2737" s="36" t="s">
        <v>29048</v>
      </c>
      <c r="C2737" s="36" t="s">
        <v>29049</v>
      </c>
      <c r="D2737" s="36" t="s">
        <v>29050</v>
      </c>
      <c r="P2737" s="36" t="s">
        <v>29048</v>
      </c>
    </row>
    <row r="2738" spans="1:16">
      <c r="A2738" s="139">
        <v>2737</v>
      </c>
      <c r="B2738" s="36" t="s">
        <v>29051</v>
      </c>
      <c r="C2738" s="36" t="s">
        <v>29052</v>
      </c>
      <c r="D2738" s="36" t="s">
        <v>29053</v>
      </c>
      <c r="P2738" s="36" t="s">
        <v>29051</v>
      </c>
    </row>
    <row r="2739" spans="1:16">
      <c r="A2739" s="139">
        <v>2738</v>
      </c>
      <c r="B2739" s="36" t="s">
        <v>29054</v>
      </c>
      <c r="C2739" s="36" t="s">
        <v>29055</v>
      </c>
      <c r="D2739" s="36" t="s">
        <v>29056</v>
      </c>
      <c r="P2739" s="36" t="s">
        <v>29054</v>
      </c>
    </row>
    <row r="2740" spans="1:16">
      <c r="A2740" s="139">
        <v>2739</v>
      </c>
      <c r="B2740" s="36" t="s">
        <v>29057</v>
      </c>
      <c r="C2740" s="36" t="s">
        <v>29058</v>
      </c>
      <c r="D2740" s="36" t="s">
        <v>29059</v>
      </c>
      <c r="P2740" s="36" t="s">
        <v>29057</v>
      </c>
    </row>
    <row r="2741" spans="1:16">
      <c r="A2741" s="139">
        <v>2740</v>
      </c>
      <c r="B2741" s="36" t="s">
        <v>29060</v>
      </c>
      <c r="C2741" s="36" t="s">
        <v>29061</v>
      </c>
      <c r="P2741" s="36" t="s">
        <v>29060</v>
      </c>
    </row>
    <row r="2742" spans="1:16">
      <c r="A2742" s="139">
        <v>2741</v>
      </c>
      <c r="B2742" s="36" t="s">
        <v>29062</v>
      </c>
      <c r="C2742" s="36" t="s">
        <v>29063</v>
      </c>
      <c r="D2742" s="36" t="s">
        <v>29064</v>
      </c>
      <c r="P2742" s="36" t="s">
        <v>29062</v>
      </c>
    </row>
    <row r="2743" spans="1:16">
      <c r="A2743" s="139">
        <v>2742</v>
      </c>
      <c r="B2743" s="36" t="s">
        <v>29065</v>
      </c>
      <c r="C2743" s="36" t="s">
        <v>29066</v>
      </c>
      <c r="D2743" s="36" t="s">
        <v>29067</v>
      </c>
      <c r="P2743" s="36" t="s">
        <v>29065</v>
      </c>
    </row>
    <row r="2744" spans="1:16">
      <c r="A2744" s="139">
        <v>2743</v>
      </c>
      <c r="B2744" s="36" t="s">
        <v>29068</v>
      </c>
      <c r="C2744" s="36" t="s">
        <v>29069</v>
      </c>
      <c r="D2744" s="36" t="s">
        <v>29070</v>
      </c>
      <c r="P2744" s="36" t="s">
        <v>29068</v>
      </c>
    </row>
    <row r="2745" spans="1:16">
      <c r="A2745" s="139">
        <v>2744</v>
      </c>
      <c r="B2745" s="36" t="s">
        <v>29071</v>
      </c>
      <c r="C2745" s="36" t="s">
        <v>29072</v>
      </c>
      <c r="D2745" s="36" t="s">
        <v>28791</v>
      </c>
      <c r="P2745" s="36" t="s">
        <v>29071</v>
      </c>
    </row>
    <row r="2746" spans="1:16">
      <c r="A2746" s="139">
        <v>2745</v>
      </c>
      <c r="B2746" s="36" t="s">
        <v>29073</v>
      </c>
      <c r="C2746" s="36" t="s">
        <v>29074</v>
      </c>
      <c r="D2746" s="36" t="s">
        <v>29075</v>
      </c>
      <c r="P2746" s="36" t="s">
        <v>29073</v>
      </c>
    </row>
    <row r="2747" spans="1:16">
      <c r="A2747" s="139">
        <v>2746</v>
      </c>
      <c r="B2747" s="36" t="s">
        <v>29076</v>
      </c>
      <c r="C2747" s="36" t="s">
        <v>29077</v>
      </c>
      <c r="D2747" s="36" t="s">
        <v>29078</v>
      </c>
      <c r="P2747" s="36" t="s">
        <v>29076</v>
      </c>
    </row>
    <row r="2748" spans="1:16">
      <c r="A2748" s="139">
        <v>2747</v>
      </c>
      <c r="B2748" s="36" t="s">
        <v>29079</v>
      </c>
      <c r="C2748" s="36" t="s">
        <v>29080</v>
      </c>
      <c r="D2748" s="36" t="s">
        <v>29081</v>
      </c>
      <c r="P2748" s="36" t="s">
        <v>29079</v>
      </c>
    </row>
    <row r="2749" spans="1:16">
      <c r="A2749" s="139">
        <v>2748</v>
      </c>
      <c r="B2749" s="36" t="s">
        <v>29082</v>
      </c>
      <c r="C2749" s="36" t="s">
        <v>29083</v>
      </c>
      <c r="D2749" s="36" t="s">
        <v>29084</v>
      </c>
      <c r="P2749" s="36" t="s">
        <v>29082</v>
      </c>
    </row>
    <row r="2750" spans="1:16">
      <c r="A2750" s="139">
        <v>2749</v>
      </c>
      <c r="B2750" s="36" t="s">
        <v>29085</v>
      </c>
      <c r="C2750" s="36" t="s">
        <v>29086</v>
      </c>
      <c r="D2750" s="36" t="s">
        <v>5948</v>
      </c>
      <c r="P2750" s="36" t="s">
        <v>29085</v>
      </c>
    </row>
    <row r="2751" spans="1:16">
      <c r="A2751" s="139">
        <v>2750</v>
      </c>
      <c r="B2751" s="36" t="s">
        <v>29087</v>
      </c>
      <c r="C2751" s="36" t="s">
        <v>29088</v>
      </c>
      <c r="P2751" s="36" t="s">
        <v>29087</v>
      </c>
    </row>
    <row r="2752" spans="1:16">
      <c r="A2752" s="139">
        <v>2751</v>
      </c>
      <c r="B2752" s="36" t="s">
        <v>29089</v>
      </c>
      <c r="C2752" s="36" t="s">
        <v>29090</v>
      </c>
      <c r="P2752" s="36" t="s">
        <v>29089</v>
      </c>
    </row>
    <row r="2753" spans="1:16">
      <c r="A2753" s="139">
        <v>2752</v>
      </c>
      <c r="B2753" s="36" t="s">
        <v>29091</v>
      </c>
      <c r="C2753" s="36" t="s">
        <v>29092</v>
      </c>
      <c r="D2753" s="36" t="s">
        <v>29093</v>
      </c>
      <c r="P2753" s="36" t="s">
        <v>29091</v>
      </c>
    </row>
    <row r="2754" spans="1:16">
      <c r="A2754" s="139">
        <v>2753</v>
      </c>
      <c r="B2754" s="36" t="s">
        <v>29094</v>
      </c>
      <c r="C2754" s="36" t="s">
        <v>29095</v>
      </c>
      <c r="D2754" s="36" t="s">
        <v>29096</v>
      </c>
      <c r="P2754" s="36" t="s">
        <v>29094</v>
      </c>
    </row>
    <row r="2755" spans="1:16">
      <c r="A2755" s="139">
        <v>2754</v>
      </c>
      <c r="B2755" s="36" t="s">
        <v>29097</v>
      </c>
      <c r="C2755" s="36" t="s">
        <v>29098</v>
      </c>
      <c r="D2755" s="36" t="s">
        <v>29099</v>
      </c>
      <c r="P2755" s="36" t="s">
        <v>29097</v>
      </c>
    </row>
    <row r="2756" spans="1:16">
      <c r="A2756" s="139">
        <v>2755</v>
      </c>
      <c r="B2756" s="36" t="s">
        <v>29100</v>
      </c>
      <c r="C2756" s="36" t="s">
        <v>29101</v>
      </c>
      <c r="D2756" s="36" t="s">
        <v>29102</v>
      </c>
      <c r="P2756" s="36" t="s">
        <v>29100</v>
      </c>
    </row>
    <row r="2757" spans="1:16">
      <c r="A2757" s="139">
        <v>2756</v>
      </c>
      <c r="B2757" s="36" t="s">
        <v>29103</v>
      </c>
      <c r="C2757" s="36" t="s">
        <v>29104</v>
      </c>
      <c r="D2757" s="36" t="s">
        <v>29105</v>
      </c>
      <c r="P2757" s="36" t="s">
        <v>29103</v>
      </c>
    </row>
    <row r="2758" spans="1:16">
      <c r="A2758" s="139">
        <v>2757</v>
      </c>
      <c r="B2758" s="36" t="s">
        <v>29106</v>
      </c>
      <c r="C2758" s="36" t="s">
        <v>29107</v>
      </c>
      <c r="D2758" s="36" t="s">
        <v>29108</v>
      </c>
      <c r="P2758" s="36" t="s">
        <v>29106</v>
      </c>
    </row>
    <row r="2759" spans="1:16">
      <c r="A2759" s="139">
        <v>2758</v>
      </c>
      <c r="B2759" s="36" t="s">
        <v>29109</v>
      </c>
      <c r="C2759" s="36" t="s">
        <v>29110</v>
      </c>
      <c r="D2759" s="36" t="s">
        <v>29111</v>
      </c>
      <c r="P2759" s="36" t="s">
        <v>29109</v>
      </c>
    </row>
    <row r="2760" spans="1:16">
      <c r="A2760" s="139">
        <v>2759</v>
      </c>
      <c r="B2760" s="36" t="s">
        <v>29112</v>
      </c>
      <c r="C2760" s="36" t="s">
        <v>29113</v>
      </c>
      <c r="D2760" s="36" t="s">
        <v>29114</v>
      </c>
      <c r="P2760" s="36" t="s">
        <v>29112</v>
      </c>
    </row>
    <row r="2761" spans="1:16">
      <c r="A2761" s="139">
        <v>2760</v>
      </c>
      <c r="B2761" s="36" t="s">
        <v>29115</v>
      </c>
      <c r="C2761" s="36" t="s">
        <v>29116</v>
      </c>
      <c r="D2761" s="36" t="s">
        <v>29117</v>
      </c>
      <c r="P2761" s="36" t="s">
        <v>29115</v>
      </c>
    </row>
    <row r="2762" spans="1:16">
      <c r="A2762" s="139">
        <v>2761</v>
      </c>
      <c r="B2762" s="36" t="s">
        <v>29118</v>
      </c>
      <c r="C2762" s="36" t="s">
        <v>29119</v>
      </c>
      <c r="D2762" s="36" t="s">
        <v>29120</v>
      </c>
      <c r="P2762" s="36" t="s">
        <v>29118</v>
      </c>
    </row>
    <row r="2763" spans="1:16">
      <c r="A2763" s="139">
        <v>2762</v>
      </c>
      <c r="B2763" s="36" t="s">
        <v>29121</v>
      </c>
      <c r="C2763" s="36" t="s">
        <v>29122</v>
      </c>
      <c r="D2763" s="36" t="s">
        <v>29123</v>
      </c>
      <c r="P2763" s="36" t="s">
        <v>29121</v>
      </c>
    </row>
    <row r="2764" spans="1:16">
      <c r="A2764" s="139">
        <v>2763</v>
      </c>
      <c r="B2764" s="36" t="s">
        <v>29124</v>
      </c>
      <c r="C2764" s="36" t="s">
        <v>29125</v>
      </c>
      <c r="D2764" s="36" t="s">
        <v>29126</v>
      </c>
      <c r="P2764" s="36" t="s">
        <v>29124</v>
      </c>
    </row>
    <row r="2765" spans="1:16">
      <c r="A2765" s="139">
        <v>2764</v>
      </c>
      <c r="B2765" s="36" t="s">
        <v>29127</v>
      </c>
      <c r="C2765" s="36" t="s">
        <v>29128</v>
      </c>
      <c r="D2765" s="36" t="s">
        <v>29129</v>
      </c>
      <c r="P2765" s="36" t="s">
        <v>29127</v>
      </c>
    </row>
    <row r="2766" spans="1:16">
      <c r="A2766" s="139">
        <v>2765</v>
      </c>
      <c r="B2766" s="36" t="s">
        <v>29130</v>
      </c>
      <c r="C2766" s="36" t="s">
        <v>29131</v>
      </c>
      <c r="P2766" s="36" t="s">
        <v>29130</v>
      </c>
    </row>
    <row r="2767" spans="1:16">
      <c r="A2767" s="139">
        <v>2766</v>
      </c>
      <c r="B2767" s="36" t="s">
        <v>29132</v>
      </c>
      <c r="C2767" s="36" t="s">
        <v>11566</v>
      </c>
      <c r="D2767" s="36" t="s">
        <v>11567</v>
      </c>
      <c r="P2767" s="36" t="s">
        <v>29132</v>
      </c>
    </row>
    <row r="2768" spans="1:16">
      <c r="A2768" s="139">
        <v>2767</v>
      </c>
      <c r="B2768" s="36" t="s">
        <v>29133</v>
      </c>
      <c r="C2768" s="36" t="s">
        <v>29134</v>
      </c>
      <c r="D2768" s="36" t="s">
        <v>29135</v>
      </c>
      <c r="P2768" s="36" t="s">
        <v>29133</v>
      </c>
    </row>
    <row r="2769" spans="1:16">
      <c r="A2769" s="139">
        <v>2768</v>
      </c>
      <c r="B2769" s="36" t="s">
        <v>29136</v>
      </c>
      <c r="C2769" s="36" t="s">
        <v>29137</v>
      </c>
      <c r="D2769" s="36" t="s">
        <v>29138</v>
      </c>
      <c r="P2769" s="36" t="s">
        <v>29136</v>
      </c>
    </row>
    <row r="2770" spans="1:16">
      <c r="A2770" s="139">
        <v>2769</v>
      </c>
      <c r="B2770" s="36" t="s">
        <v>29139</v>
      </c>
      <c r="C2770" s="36" t="s">
        <v>29140</v>
      </c>
      <c r="D2770" s="36" t="s">
        <v>29141</v>
      </c>
      <c r="P2770" s="36" t="s">
        <v>29139</v>
      </c>
    </row>
    <row r="2771" spans="1:16">
      <c r="A2771" s="139">
        <v>2770</v>
      </c>
      <c r="B2771" s="36" t="s">
        <v>29142</v>
      </c>
      <c r="C2771" s="36" t="s">
        <v>29143</v>
      </c>
      <c r="P2771" s="36" t="s">
        <v>29142</v>
      </c>
    </row>
    <row r="2772" spans="1:16">
      <c r="A2772" s="139">
        <v>2771</v>
      </c>
      <c r="B2772" s="36" t="s">
        <v>29144</v>
      </c>
      <c r="C2772" s="36" t="s">
        <v>29145</v>
      </c>
      <c r="D2772" s="36" t="s">
        <v>29146</v>
      </c>
      <c r="P2772" s="36" t="s">
        <v>29144</v>
      </c>
    </row>
    <row r="2773" spans="1:16">
      <c r="A2773" s="139">
        <v>2772</v>
      </c>
      <c r="B2773" s="36" t="s">
        <v>29147</v>
      </c>
      <c r="C2773" s="36" t="s">
        <v>29148</v>
      </c>
      <c r="P2773" s="36" t="s">
        <v>29147</v>
      </c>
    </row>
    <row r="2774" spans="1:16">
      <c r="A2774" s="139">
        <v>2773</v>
      </c>
      <c r="B2774" s="36" t="s">
        <v>29149</v>
      </c>
      <c r="C2774" s="36" t="s">
        <v>29150</v>
      </c>
      <c r="P2774" s="36" t="s">
        <v>29149</v>
      </c>
    </row>
    <row r="2775" spans="1:16">
      <c r="A2775" s="139">
        <v>2774</v>
      </c>
      <c r="B2775" s="36" t="s">
        <v>29151</v>
      </c>
      <c r="C2775" s="36" t="s">
        <v>29152</v>
      </c>
      <c r="D2775" s="36" t="s">
        <v>29153</v>
      </c>
      <c r="P2775" s="36" t="s">
        <v>29151</v>
      </c>
    </row>
    <row r="2776" spans="1:16">
      <c r="A2776" s="139">
        <v>2775</v>
      </c>
      <c r="B2776" s="36" t="s">
        <v>29154</v>
      </c>
      <c r="C2776" s="36" t="s">
        <v>29155</v>
      </c>
      <c r="D2776" s="36" t="s">
        <v>29156</v>
      </c>
      <c r="P2776" s="36" t="s">
        <v>29154</v>
      </c>
    </row>
    <row r="2777" spans="1:16">
      <c r="A2777" s="139">
        <v>2776</v>
      </c>
      <c r="B2777" s="36" t="s">
        <v>29157</v>
      </c>
      <c r="C2777" s="36" t="s">
        <v>29158</v>
      </c>
      <c r="P2777" s="36" t="s">
        <v>29157</v>
      </c>
    </row>
    <row r="2778" spans="1:16">
      <c r="A2778" s="139">
        <v>2777</v>
      </c>
      <c r="B2778" s="36" t="s">
        <v>29159</v>
      </c>
      <c r="C2778" s="36" t="s">
        <v>29160</v>
      </c>
      <c r="D2778" s="36" t="s">
        <v>29161</v>
      </c>
      <c r="P2778" s="36" t="s">
        <v>29159</v>
      </c>
    </row>
    <row r="2779" spans="1:16">
      <c r="A2779" s="139">
        <v>2778</v>
      </c>
      <c r="B2779" s="36" t="s">
        <v>29162</v>
      </c>
      <c r="C2779" s="36" t="s">
        <v>29163</v>
      </c>
      <c r="D2779" s="36" t="s">
        <v>29164</v>
      </c>
      <c r="P2779" s="36" t="s">
        <v>29162</v>
      </c>
    </row>
    <row r="2780" spans="1:16">
      <c r="A2780" s="139">
        <v>2779</v>
      </c>
      <c r="B2780" s="36" t="s">
        <v>29165</v>
      </c>
      <c r="C2780" s="36" t="s">
        <v>29166</v>
      </c>
      <c r="P2780" s="36" t="s">
        <v>29165</v>
      </c>
    </row>
    <row r="2781" spans="1:16">
      <c r="A2781" s="139">
        <v>2780</v>
      </c>
      <c r="B2781" s="36" t="s">
        <v>29167</v>
      </c>
      <c r="C2781" s="36" t="s">
        <v>29168</v>
      </c>
      <c r="D2781" s="36" t="s">
        <v>29169</v>
      </c>
      <c r="P2781" s="36" t="s">
        <v>29167</v>
      </c>
    </row>
    <row r="2782" spans="1:16">
      <c r="A2782" s="139">
        <v>2781</v>
      </c>
      <c r="B2782" s="36" t="s">
        <v>29170</v>
      </c>
      <c r="C2782" s="36" t="s">
        <v>29171</v>
      </c>
      <c r="D2782" s="36" t="s">
        <v>29172</v>
      </c>
      <c r="P2782" s="36" t="s">
        <v>29170</v>
      </c>
    </row>
    <row r="2783" spans="1:16">
      <c r="A2783" s="139">
        <v>2782</v>
      </c>
      <c r="B2783" s="36" t="s">
        <v>29173</v>
      </c>
      <c r="C2783" s="36" t="s">
        <v>29174</v>
      </c>
      <c r="D2783" s="36" t="s">
        <v>29175</v>
      </c>
      <c r="P2783" s="36" t="s">
        <v>29173</v>
      </c>
    </row>
    <row r="2784" spans="1:16">
      <c r="A2784" s="139">
        <v>2783</v>
      </c>
      <c r="B2784" s="36" t="s">
        <v>29176</v>
      </c>
      <c r="C2784" s="36" t="s">
        <v>29177</v>
      </c>
      <c r="D2784" s="36" t="s">
        <v>29178</v>
      </c>
      <c r="P2784" s="36" t="s">
        <v>29176</v>
      </c>
    </row>
    <row r="2785" spans="1:16">
      <c r="A2785" s="139">
        <v>2784</v>
      </c>
      <c r="B2785" s="36" t="s">
        <v>29179</v>
      </c>
      <c r="C2785" s="36" t="s">
        <v>29180</v>
      </c>
      <c r="P2785" s="36" t="s">
        <v>29179</v>
      </c>
    </row>
    <row r="2786" spans="1:16">
      <c r="A2786" s="139">
        <v>2785</v>
      </c>
      <c r="B2786" s="36" t="s">
        <v>29181</v>
      </c>
      <c r="C2786" s="36" t="s">
        <v>29182</v>
      </c>
      <c r="D2786" s="36" t="s">
        <v>29183</v>
      </c>
      <c r="P2786" s="36" t="s">
        <v>29181</v>
      </c>
    </row>
    <row r="2787" spans="1:16">
      <c r="A2787" s="139">
        <v>2786</v>
      </c>
      <c r="B2787" s="36" t="s">
        <v>29184</v>
      </c>
      <c r="C2787" s="36" t="s">
        <v>29185</v>
      </c>
      <c r="P2787" s="36" t="s">
        <v>29184</v>
      </c>
    </row>
    <row r="2788" spans="1:16">
      <c r="A2788" s="139">
        <v>2787</v>
      </c>
      <c r="B2788" s="36" t="s">
        <v>29186</v>
      </c>
      <c r="C2788" s="36" t="s">
        <v>29187</v>
      </c>
      <c r="D2788" s="36" t="s">
        <v>29188</v>
      </c>
      <c r="P2788" s="36" t="s">
        <v>29186</v>
      </c>
    </row>
    <row r="2789" spans="1:16">
      <c r="A2789" s="139">
        <v>2788</v>
      </c>
      <c r="B2789" s="36" t="s">
        <v>29189</v>
      </c>
      <c r="C2789" s="36" t="s">
        <v>29190</v>
      </c>
      <c r="D2789" s="36" t="s">
        <v>29191</v>
      </c>
      <c r="P2789" s="36" t="s">
        <v>29189</v>
      </c>
    </row>
    <row r="2790" spans="1:16">
      <c r="A2790" s="139">
        <v>2789</v>
      </c>
      <c r="B2790" s="36" t="s">
        <v>29192</v>
      </c>
      <c r="C2790" s="36" t="s">
        <v>29193</v>
      </c>
      <c r="P2790" s="36" t="s">
        <v>29192</v>
      </c>
    </row>
    <row r="2791" spans="1:16">
      <c r="A2791" s="139">
        <v>2790</v>
      </c>
      <c r="B2791" s="36" t="s">
        <v>29194</v>
      </c>
      <c r="C2791" s="36" t="s">
        <v>29195</v>
      </c>
      <c r="D2791" s="36" t="s">
        <v>29196</v>
      </c>
      <c r="P2791" s="36" t="s">
        <v>29194</v>
      </c>
    </row>
    <row r="2792" spans="1:16">
      <c r="A2792" s="139">
        <v>2791</v>
      </c>
      <c r="B2792" s="36" t="s">
        <v>29197</v>
      </c>
      <c r="C2792" s="36" t="s">
        <v>29198</v>
      </c>
      <c r="D2792" s="36" t="s">
        <v>29199</v>
      </c>
      <c r="P2792" s="36" t="s">
        <v>29197</v>
      </c>
    </row>
    <row r="2793" spans="1:16">
      <c r="A2793" s="139">
        <v>2792</v>
      </c>
      <c r="B2793" s="36" t="s">
        <v>29200</v>
      </c>
      <c r="C2793" s="36" t="s">
        <v>29201</v>
      </c>
      <c r="P2793" s="36" t="s">
        <v>29200</v>
      </c>
    </row>
    <row r="2794" spans="1:16">
      <c r="A2794" s="139">
        <v>2793</v>
      </c>
      <c r="B2794" s="36" t="s">
        <v>29202</v>
      </c>
      <c r="C2794" s="36" t="s">
        <v>29203</v>
      </c>
      <c r="D2794" s="36" t="s">
        <v>29204</v>
      </c>
      <c r="P2794" s="36" t="s">
        <v>29202</v>
      </c>
    </row>
    <row r="2795" spans="1:16">
      <c r="A2795" s="139">
        <v>2794</v>
      </c>
      <c r="B2795" s="36" t="s">
        <v>29205</v>
      </c>
      <c r="C2795" s="36" t="s">
        <v>29206</v>
      </c>
      <c r="P2795" s="36" t="s">
        <v>29205</v>
      </c>
    </row>
    <row r="2796" spans="1:16">
      <c r="A2796" s="139">
        <v>2795</v>
      </c>
      <c r="B2796" s="36" t="s">
        <v>29207</v>
      </c>
      <c r="C2796" s="36" t="s">
        <v>29208</v>
      </c>
      <c r="P2796" s="36" t="s">
        <v>29207</v>
      </c>
    </row>
    <row r="2797" spans="1:16">
      <c r="A2797" s="139">
        <v>2796</v>
      </c>
      <c r="B2797" s="36" t="s">
        <v>29209</v>
      </c>
      <c r="C2797" s="36" t="s">
        <v>29210</v>
      </c>
      <c r="D2797" s="36" t="s">
        <v>12459</v>
      </c>
      <c r="P2797" s="36" t="s">
        <v>29209</v>
      </c>
    </row>
    <row r="2798" spans="1:16">
      <c r="A2798" s="139">
        <v>2797</v>
      </c>
      <c r="B2798" s="36" t="s">
        <v>29211</v>
      </c>
      <c r="C2798" s="36" t="s">
        <v>29212</v>
      </c>
      <c r="D2798" s="36" t="s">
        <v>29213</v>
      </c>
      <c r="P2798" s="36" t="s">
        <v>29211</v>
      </c>
    </row>
    <row r="2799" spans="1:16">
      <c r="A2799" s="139">
        <v>2798</v>
      </c>
      <c r="B2799" s="36" t="s">
        <v>29214</v>
      </c>
      <c r="C2799" s="36" t="s">
        <v>29215</v>
      </c>
      <c r="D2799" s="36" t="s">
        <v>29216</v>
      </c>
      <c r="P2799" s="36" t="s">
        <v>29214</v>
      </c>
    </row>
    <row r="2800" spans="1:16">
      <c r="A2800" s="139">
        <v>2799</v>
      </c>
      <c r="B2800" s="36" t="s">
        <v>29217</v>
      </c>
      <c r="C2800" s="36" t="s">
        <v>29218</v>
      </c>
      <c r="D2800" s="36" t="s">
        <v>19986</v>
      </c>
      <c r="P2800" s="36" t="s">
        <v>29217</v>
      </c>
    </row>
    <row r="2801" spans="1:16">
      <c r="A2801" s="139">
        <v>2800</v>
      </c>
      <c r="B2801" s="36" t="s">
        <v>29219</v>
      </c>
      <c r="C2801" s="36" t="s">
        <v>29220</v>
      </c>
      <c r="P2801" s="36" t="s">
        <v>29219</v>
      </c>
    </row>
    <row r="2802" spans="1:16">
      <c r="A2802" s="139">
        <v>2801</v>
      </c>
      <c r="B2802" s="36" t="s">
        <v>29221</v>
      </c>
      <c r="C2802" s="36" t="s">
        <v>29222</v>
      </c>
      <c r="D2802" s="36" t="s">
        <v>29223</v>
      </c>
      <c r="P2802" s="36" t="s">
        <v>29221</v>
      </c>
    </row>
    <row r="2803" spans="1:16">
      <c r="A2803" s="139">
        <v>2802</v>
      </c>
      <c r="B2803" s="36" t="s">
        <v>29224</v>
      </c>
      <c r="C2803" s="36" t="s">
        <v>29225</v>
      </c>
      <c r="P2803" s="36" t="s">
        <v>29224</v>
      </c>
    </row>
    <row r="2804" spans="1:16">
      <c r="A2804" s="139">
        <v>2803</v>
      </c>
      <c r="B2804" s="36" t="s">
        <v>29226</v>
      </c>
      <c r="C2804" s="36" t="s">
        <v>29227</v>
      </c>
      <c r="D2804" s="36" t="s">
        <v>29228</v>
      </c>
      <c r="P2804" s="36" t="s">
        <v>29226</v>
      </c>
    </row>
    <row r="2805" spans="1:16">
      <c r="A2805" s="139">
        <v>2804</v>
      </c>
      <c r="B2805" s="36" t="s">
        <v>29229</v>
      </c>
      <c r="C2805" s="36" t="s">
        <v>29230</v>
      </c>
      <c r="D2805" s="36" t="s">
        <v>29231</v>
      </c>
      <c r="P2805" s="36" t="s">
        <v>29229</v>
      </c>
    </row>
    <row r="2806" spans="1:16">
      <c r="A2806" s="139">
        <v>2805</v>
      </c>
      <c r="B2806" s="36" t="s">
        <v>29232</v>
      </c>
      <c r="C2806" s="36" t="s">
        <v>29233</v>
      </c>
      <c r="D2806" s="36" t="s">
        <v>29234</v>
      </c>
      <c r="P2806" s="36" t="s">
        <v>29232</v>
      </c>
    </row>
    <row r="2807" spans="1:16">
      <c r="A2807" s="139">
        <v>2806</v>
      </c>
      <c r="B2807" s="36" t="s">
        <v>29235</v>
      </c>
      <c r="C2807" s="36" t="s">
        <v>29236</v>
      </c>
      <c r="D2807" s="36" t="s">
        <v>29237</v>
      </c>
      <c r="P2807" s="36" t="s">
        <v>29235</v>
      </c>
    </row>
    <row r="2808" spans="1:16">
      <c r="A2808" s="139">
        <v>2807</v>
      </c>
      <c r="B2808" s="36" t="s">
        <v>29238</v>
      </c>
      <c r="C2808" s="36" t="s">
        <v>29239</v>
      </c>
      <c r="D2808" s="36" t="s">
        <v>29240</v>
      </c>
      <c r="P2808" s="36" t="s">
        <v>29238</v>
      </c>
    </row>
    <row r="2809" spans="1:16">
      <c r="A2809" s="139">
        <v>2808</v>
      </c>
      <c r="B2809" s="36" t="s">
        <v>29241</v>
      </c>
      <c r="C2809" s="36" t="s">
        <v>29242</v>
      </c>
      <c r="P2809" s="36" t="s">
        <v>29241</v>
      </c>
    </row>
    <row r="2810" spans="1:16">
      <c r="A2810" s="139">
        <v>2809</v>
      </c>
      <c r="B2810" s="36" t="s">
        <v>29243</v>
      </c>
      <c r="C2810" s="36" t="s">
        <v>29244</v>
      </c>
      <c r="P2810" s="36" t="s">
        <v>29243</v>
      </c>
    </row>
    <row r="2811" spans="1:16">
      <c r="A2811" s="139">
        <v>2810</v>
      </c>
      <c r="B2811" s="36" t="s">
        <v>29245</v>
      </c>
      <c r="C2811" s="36" t="s">
        <v>29246</v>
      </c>
      <c r="P2811" s="36" t="s">
        <v>29245</v>
      </c>
    </row>
    <row r="2812" spans="1:16">
      <c r="A2812" s="139">
        <v>2811</v>
      </c>
      <c r="B2812" s="36" t="s">
        <v>29247</v>
      </c>
      <c r="C2812" s="36" t="s">
        <v>29248</v>
      </c>
      <c r="D2812" s="36" t="s">
        <v>29249</v>
      </c>
      <c r="P2812" s="36" t="s">
        <v>29247</v>
      </c>
    </row>
    <row r="2813" spans="1:16">
      <c r="A2813" s="139">
        <v>2812</v>
      </c>
      <c r="B2813" s="36" t="s">
        <v>29250</v>
      </c>
      <c r="C2813" s="36" t="s">
        <v>29251</v>
      </c>
      <c r="D2813" s="36" t="s">
        <v>29252</v>
      </c>
      <c r="P2813" s="36" t="s">
        <v>29250</v>
      </c>
    </row>
    <row r="2814" spans="1:16">
      <c r="A2814" s="139">
        <v>2813</v>
      </c>
      <c r="B2814" s="36" t="s">
        <v>29253</v>
      </c>
      <c r="C2814" s="36" t="s">
        <v>29254</v>
      </c>
      <c r="D2814" s="36" t="s">
        <v>29255</v>
      </c>
      <c r="P2814" s="36" t="s">
        <v>29253</v>
      </c>
    </row>
    <row r="2815" spans="1:16">
      <c r="A2815" s="139">
        <v>2814</v>
      </c>
      <c r="B2815" s="36" t="s">
        <v>29256</v>
      </c>
      <c r="C2815" s="36" t="s">
        <v>29257</v>
      </c>
      <c r="P2815" s="36" t="s">
        <v>29256</v>
      </c>
    </row>
    <row r="2816" spans="1:16">
      <c r="A2816" s="139">
        <v>2815</v>
      </c>
      <c r="B2816" s="36" t="s">
        <v>29258</v>
      </c>
      <c r="C2816" s="36" t="s">
        <v>29259</v>
      </c>
      <c r="P2816" s="36" t="s">
        <v>29258</v>
      </c>
    </row>
    <row r="2817" spans="1:16">
      <c r="A2817" s="139">
        <v>2816</v>
      </c>
      <c r="B2817" s="36" t="s">
        <v>29260</v>
      </c>
      <c r="C2817" s="36" t="s">
        <v>29261</v>
      </c>
      <c r="D2817" s="36" t="s">
        <v>29255</v>
      </c>
      <c r="P2817" s="36" t="s">
        <v>29260</v>
      </c>
    </row>
    <row r="2818" spans="1:16">
      <c r="A2818" s="139">
        <v>2817</v>
      </c>
      <c r="B2818" s="36" t="s">
        <v>29262</v>
      </c>
      <c r="C2818" s="36" t="s">
        <v>29263</v>
      </c>
      <c r="D2818" s="36" t="s">
        <v>29264</v>
      </c>
      <c r="P2818" s="36" t="s">
        <v>29262</v>
      </c>
    </row>
    <row r="2819" spans="1:16">
      <c r="A2819" s="139">
        <v>2818</v>
      </c>
      <c r="B2819" s="36" t="s">
        <v>29265</v>
      </c>
      <c r="C2819" s="36" t="s">
        <v>29266</v>
      </c>
      <c r="D2819" s="36" t="s">
        <v>29267</v>
      </c>
      <c r="P2819" s="36" t="s">
        <v>29265</v>
      </c>
    </row>
    <row r="2820" spans="1:16">
      <c r="A2820" s="139">
        <v>2819</v>
      </c>
      <c r="B2820" s="36" t="s">
        <v>29268</v>
      </c>
      <c r="C2820" s="36" t="s">
        <v>29269</v>
      </c>
      <c r="D2820" s="36" t="s">
        <v>29270</v>
      </c>
      <c r="P2820" s="36" t="s">
        <v>29268</v>
      </c>
    </row>
    <row r="2821" spans="1:16">
      <c r="A2821" s="139">
        <v>2820</v>
      </c>
      <c r="B2821" s="36" t="s">
        <v>29271</v>
      </c>
      <c r="C2821" s="36" t="s">
        <v>29272</v>
      </c>
      <c r="D2821" s="36" t="s">
        <v>29273</v>
      </c>
      <c r="P2821" s="36" t="s">
        <v>29271</v>
      </c>
    </row>
    <row r="2822" spans="1:16">
      <c r="A2822" s="139">
        <v>2821</v>
      </c>
      <c r="B2822" s="36" t="s">
        <v>29274</v>
      </c>
      <c r="C2822" s="36" t="s">
        <v>28402</v>
      </c>
      <c r="P2822" s="36" t="s">
        <v>29274</v>
      </c>
    </row>
    <row r="2823" spans="1:16">
      <c r="A2823" s="139">
        <v>2822</v>
      </c>
      <c r="B2823" s="36" t="s">
        <v>29275</v>
      </c>
      <c r="C2823" s="36" t="s">
        <v>29276</v>
      </c>
      <c r="D2823" s="36" t="s">
        <v>29277</v>
      </c>
      <c r="P2823" s="36" t="s">
        <v>29275</v>
      </c>
    </row>
    <row r="2824" spans="1:16">
      <c r="A2824" s="139">
        <v>2823</v>
      </c>
      <c r="B2824" s="36" t="s">
        <v>29278</v>
      </c>
      <c r="C2824" s="36" t="s">
        <v>29279</v>
      </c>
      <c r="D2824" s="36" t="s">
        <v>29280</v>
      </c>
      <c r="P2824" s="36" t="s">
        <v>29278</v>
      </c>
    </row>
    <row r="2825" spans="1:16">
      <c r="A2825" s="139">
        <v>2824</v>
      </c>
      <c r="B2825" s="36" t="s">
        <v>29281</v>
      </c>
      <c r="C2825" s="36" t="s">
        <v>29282</v>
      </c>
      <c r="D2825" s="36" t="s">
        <v>29283</v>
      </c>
      <c r="P2825" s="36" t="s">
        <v>29281</v>
      </c>
    </row>
    <row r="2826" spans="1:16">
      <c r="A2826" s="139">
        <v>2825</v>
      </c>
      <c r="B2826" s="36" t="s">
        <v>29284</v>
      </c>
      <c r="C2826" s="36" t="s">
        <v>29285</v>
      </c>
      <c r="D2826" s="36" t="s">
        <v>29286</v>
      </c>
      <c r="P2826" s="36" t="s">
        <v>29284</v>
      </c>
    </row>
    <row r="2827" spans="1:16">
      <c r="A2827" s="139">
        <v>2826</v>
      </c>
      <c r="B2827" s="36" t="s">
        <v>29287</v>
      </c>
      <c r="C2827" s="36" t="s">
        <v>29288</v>
      </c>
      <c r="D2827" s="36" t="s">
        <v>29289</v>
      </c>
      <c r="P2827" s="36" t="s">
        <v>29287</v>
      </c>
    </row>
    <row r="2828" spans="1:16">
      <c r="A2828" s="139">
        <v>2827</v>
      </c>
      <c r="B2828" s="36" t="s">
        <v>29290</v>
      </c>
      <c r="C2828" s="36" t="s">
        <v>29291</v>
      </c>
      <c r="D2828" s="36" t="s">
        <v>29292</v>
      </c>
      <c r="P2828" s="36" t="s">
        <v>29290</v>
      </c>
    </row>
    <row r="2829" spans="1:16">
      <c r="A2829" s="139">
        <v>2828</v>
      </c>
      <c r="B2829" s="36" t="s">
        <v>29293</v>
      </c>
      <c r="C2829" s="36" t="s">
        <v>29294</v>
      </c>
      <c r="D2829" s="36" t="s">
        <v>29295</v>
      </c>
      <c r="P2829" s="36" t="s">
        <v>29293</v>
      </c>
    </row>
    <row r="2830" spans="1:16">
      <c r="A2830" s="139">
        <v>2829</v>
      </c>
      <c r="B2830" s="36" t="s">
        <v>29296</v>
      </c>
      <c r="C2830" s="36" t="s">
        <v>29297</v>
      </c>
      <c r="D2830" s="36" t="s">
        <v>29298</v>
      </c>
      <c r="P2830" s="36" t="s">
        <v>29296</v>
      </c>
    </row>
    <row r="2831" spans="1:16">
      <c r="A2831" s="139">
        <v>2830</v>
      </c>
      <c r="B2831" s="36" t="s">
        <v>29299</v>
      </c>
      <c r="C2831" s="36" t="s">
        <v>29300</v>
      </c>
      <c r="D2831" s="36" t="s">
        <v>29301</v>
      </c>
      <c r="P2831" s="36" t="s">
        <v>29299</v>
      </c>
    </row>
    <row r="2832" spans="1:16">
      <c r="A2832" s="139">
        <v>2831</v>
      </c>
      <c r="B2832" s="36" t="s">
        <v>29302</v>
      </c>
      <c r="C2832" s="36" t="s">
        <v>29303</v>
      </c>
      <c r="D2832" s="36" t="s">
        <v>29304</v>
      </c>
      <c r="P2832" s="36" t="s">
        <v>29302</v>
      </c>
    </row>
    <row r="2833" spans="1:16">
      <c r="A2833" s="139">
        <v>2832</v>
      </c>
      <c r="B2833" s="36" t="s">
        <v>29305</v>
      </c>
      <c r="C2833" s="36" t="s">
        <v>29306</v>
      </c>
      <c r="D2833" s="36" t="s">
        <v>29307</v>
      </c>
      <c r="P2833" s="36" t="s">
        <v>29305</v>
      </c>
    </row>
    <row r="2834" spans="1:16">
      <c r="A2834" s="139">
        <v>2833</v>
      </c>
      <c r="B2834" s="36" t="s">
        <v>29308</v>
      </c>
      <c r="C2834" s="36" t="s">
        <v>29309</v>
      </c>
      <c r="D2834" s="36" t="s">
        <v>29310</v>
      </c>
      <c r="P2834" s="36" t="s">
        <v>29308</v>
      </c>
    </row>
    <row r="2835" spans="1:16">
      <c r="A2835" s="139">
        <v>2834</v>
      </c>
      <c r="B2835" s="36" t="s">
        <v>29311</v>
      </c>
      <c r="C2835" s="36" t="s">
        <v>29312</v>
      </c>
      <c r="D2835" s="36" t="s">
        <v>29313</v>
      </c>
      <c r="P2835" s="36" t="s">
        <v>29311</v>
      </c>
    </row>
    <row r="2836" spans="1:16">
      <c r="A2836" s="139">
        <v>2835</v>
      </c>
      <c r="B2836" s="36" t="s">
        <v>29314</v>
      </c>
      <c r="C2836" s="36" t="s">
        <v>29315</v>
      </c>
      <c r="P2836" s="36" t="s">
        <v>29314</v>
      </c>
    </row>
    <row r="2837" spans="1:16">
      <c r="A2837" s="139">
        <v>2836</v>
      </c>
      <c r="B2837" s="36" t="s">
        <v>29316</v>
      </c>
      <c r="C2837" s="36" t="s">
        <v>29317</v>
      </c>
      <c r="D2837" s="36" t="s">
        <v>29318</v>
      </c>
      <c r="P2837" s="36" t="s">
        <v>29316</v>
      </c>
    </row>
    <row r="2838" spans="1:16">
      <c r="A2838" s="139">
        <v>2837</v>
      </c>
      <c r="B2838" s="36" t="s">
        <v>29319</v>
      </c>
      <c r="C2838" s="36" t="s">
        <v>29320</v>
      </c>
      <c r="P2838" s="36" t="s">
        <v>29319</v>
      </c>
    </row>
    <row r="2839" spans="1:16">
      <c r="A2839" s="139">
        <v>2838</v>
      </c>
      <c r="B2839" s="36" t="s">
        <v>29321</v>
      </c>
      <c r="C2839" s="36" t="s">
        <v>29322</v>
      </c>
      <c r="P2839" s="36" t="s">
        <v>29321</v>
      </c>
    </row>
    <row r="2840" spans="1:16">
      <c r="A2840" s="139">
        <v>2839</v>
      </c>
      <c r="B2840" s="36" t="s">
        <v>29323</v>
      </c>
      <c r="C2840" s="36" t="s">
        <v>29324</v>
      </c>
      <c r="D2840" s="36" t="s">
        <v>29325</v>
      </c>
      <c r="P2840" s="36" t="s">
        <v>29323</v>
      </c>
    </row>
    <row r="2841" spans="1:16">
      <c r="A2841" s="139">
        <v>2840</v>
      </c>
      <c r="B2841" s="36" t="s">
        <v>29326</v>
      </c>
      <c r="C2841" s="36" t="s">
        <v>29327</v>
      </c>
      <c r="D2841" s="36" t="s">
        <v>29328</v>
      </c>
      <c r="P2841" s="36" t="s">
        <v>29326</v>
      </c>
    </row>
    <row r="2842" spans="1:16">
      <c r="A2842" s="139">
        <v>2841</v>
      </c>
      <c r="B2842" s="36" t="s">
        <v>29329</v>
      </c>
      <c r="C2842" s="36" t="s">
        <v>29330</v>
      </c>
      <c r="D2842" s="36" t="s">
        <v>29331</v>
      </c>
      <c r="P2842" s="36" t="s">
        <v>29329</v>
      </c>
    </row>
    <row r="2843" spans="1:16">
      <c r="A2843" s="139">
        <v>2842</v>
      </c>
      <c r="B2843" s="36" t="s">
        <v>29332</v>
      </c>
      <c r="C2843" s="36" t="s">
        <v>29333</v>
      </c>
      <c r="D2843" s="36" t="s">
        <v>29334</v>
      </c>
      <c r="P2843" s="36" t="s">
        <v>29332</v>
      </c>
    </row>
    <row r="2844" spans="1:16">
      <c r="A2844" s="139">
        <v>2843</v>
      </c>
      <c r="B2844" s="36" t="s">
        <v>29335</v>
      </c>
      <c r="C2844" s="36" t="s">
        <v>29336</v>
      </c>
      <c r="P2844" s="36" t="s">
        <v>29335</v>
      </c>
    </row>
    <row r="2845" spans="1:16">
      <c r="A2845" s="139">
        <v>2844</v>
      </c>
      <c r="B2845" s="36" t="s">
        <v>29337</v>
      </c>
      <c r="C2845" s="36" t="s">
        <v>29338</v>
      </c>
      <c r="D2845" s="36" t="s">
        <v>29339</v>
      </c>
      <c r="P2845" s="36" t="s">
        <v>29337</v>
      </c>
    </row>
    <row r="2846" spans="1:16">
      <c r="A2846" s="139">
        <v>2845</v>
      </c>
      <c r="B2846" s="36" t="s">
        <v>29340</v>
      </c>
      <c r="C2846" s="36" t="s">
        <v>29341</v>
      </c>
      <c r="D2846" s="36" t="s">
        <v>29342</v>
      </c>
      <c r="P2846" s="36" t="s">
        <v>29340</v>
      </c>
    </row>
    <row r="2847" spans="1:16">
      <c r="A2847" s="139">
        <v>2846</v>
      </c>
      <c r="B2847" s="36" t="s">
        <v>29343</v>
      </c>
      <c r="C2847" s="36" t="s">
        <v>29344</v>
      </c>
      <c r="D2847" s="36" t="s">
        <v>29345</v>
      </c>
      <c r="P2847" s="36" t="s">
        <v>29343</v>
      </c>
    </row>
    <row r="2848" spans="1:16">
      <c r="A2848" s="139">
        <v>2847</v>
      </c>
      <c r="B2848" s="36" t="s">
        <v>29346</v>
      </c>
      <c r="C2848" s="36" t="s">
        <v>29347</v>
      </c>
      <c r="P2848" s="36" t="s">
        <v>29346</v>
      </c>
    </row>
    <row r="2849" spans="1:16">
      <c r="A2849" s="139">
        <v>2848</v>
      </c>
      <c r="B2849" s="36" t="s">
        <v>29348</v>
      </c>
      <c r="C2849" s="36" t="s">
        <v>29349</v>
      </c>
      <c r="P2849" s="36" t="s">
        <v>29348</v>
      </c>
    </row>
    <row r="2850" spans="1:16">
      <c r="A2850" s="139">
        <v>2849</v>
      </c>
      <c r="B2850" s="36" t="s">
        <v>29350</v>
      </c>
      <c r="C2850" s="36" t="s">
        <v>29351</v>
      </c>
      <c r="D2850" s="36" t="s">
        <v>29352</v>
      </c>
      <c r="P2850" s="36" t="s">
        <v>29350</v>
      </c>
    </row>
    <row r="2851" spans="1:16">
      <c r="A2851" s="139">
        <v>2850</v>
      </c>
      <c r="B2851" s="36" t="s">
        <v>29353</v>
      </c>
      <c r="C2851" s="36" t="s">
        <v>29354</v>
      </c>
      <c r="D2851" s="36" t="s">
        <v>29355</v>
      </c>
      <c r="P2851" s="36" t="s">
        <v>29353</v>
      </c>
    </row>
    <row r="2852" spans="1:16">
      <c r="A2852" s="139">
        <v>2851</v>
      </c>
      <c r="B2852" s="36" t="s">
        <v>29356</v>
      </c>
      <c r="C2852" s="36" t="s">
        <v>29357</v>
      </c>
      <c r="D2852" s="36" t="s">
        <v>29358</v>
      </c>
      <c r="P2852" s="36" t="s">
        <v>29356</v>
      </c>
    </row>
    <row r="2853" spans="1:16">
      <c r="A2853" s="139">
        <v>2852</v>
      </c>
      <c r="B2853" s="36" t="s">
        <v>29359</v>
      </c>
      <c r="C2853" s="36" t="s">
        <v>25250</v>
      </c>
      <c r="D2853" s="36" t="s">
        <v>29360</v>
      </c>
      <c r="P2853" s="36" t="s">
        <v>29359</v>
      </c>
    </row>
    <row r="2854" spans="1:16">
      <c r="A2854" s="139">
        <v>2853</v>
      </c>
      <c r="B2854" s="36" t="s">
        <v>29361</v>
      </c>
      <c r="C2854" s="36" t="s">
        <v>29362</v>
      </c>
      <c r="D2854" s="36" t="s">
        <v>29363</v>
      </c>
      <c r="P2854" s="36" t="s">
        <v>29361</v>
      </c>
    </row>
    <row r="2855" spans="1:16">
      <c r="A2855" s="139">
        <v>2854</v>
      </c>
      <c r="B2855" s="36" t="s">
        <v>29364</v>
      </c>
      <c r="C2855" s="36" t="s">
        <v>29365</v>
      </c>
      <c r="P2855" s="36" t="s">
        <v>29364</v>
      </c>
    </row>
    <row r="2856" spans="1:16">
      <c r="A2856" s="139">
        <v>2855</v>
      </c>
      <c r="B2856" s="36" t="s">
        <v>29366</v>
      </c>
      <c r="C2856" s="36" t="s">
        <v>29367</v>
      </c>
      <c r="D2856" s="36" t="s">
        <v>29368</v>
      </c>
      <c r="P2856" s="36" t="s">
        <v>29366</v>
      </c>
    </row>
    <row r="2857" spans="1:16">
      <c r="A2857" s="139">
        <v>2856</v>
      </c>
      <c r="B2857" s="36" t="s">
        <v>29369</v>
      </c>
      <c r="C2857" s="36" t="s">
        <v>29370</v>
      </c>
      <c r="D2857" s="36" t="s">
        <v>29371</v>
      </c>
      <c r="P2857" s="36" t="s">
        <v>29369</v>
      </c>
    </row>
    <row r="2858" spans="1:16">
      <c r="A2858" s="139">
        <v>2857</v>
      </c>
      <c r="B2858" s="36" t="s">
        <v>29372</v>
      </c>
      <c r="C2858" s="36" t="s">
        <v>29373</v>
      </c>
      <c r="D2858" s="36" t="s">
        <v>29374</v>
      </c>
      <c r="P2858" s="36" t="s">
        <v>29372</v>
      </c>
    </row>
    <row r="2859" spans="1:16">
      <c r="A2859" s="139">
        <v>2858</v>
      </c>
      <c r="B2859" s="36" t="s">
        <v>29375</v>
      </c>
      <c r="C2859" s="36" t="s">
        <v>29376</v>
      </c>
      <c r="D2859" s="36" t="s">
        <v>29377</v>
      </c>
      <c r="P2859" s="36" t="s">
        <v>29375</v>
      </c>
    </row>
    <row r="2860" spans="1:16">
      <c r="A2860" s="139">
        <v>2859</v>
      </c>
      <c r="B2860" s="36" t="s">
        <v>29378</v>
      </c>
      <c r="C2860" s="36" t="s">
        <v>29379</v>
      </c>
      <c r="P2860" s="36" t="s">
        <v>29378</v>
      </c>
    </row>
    <row r="2861" spans="1:16">
      <c r="A2861" s="139">
        <v>2860</v>
      </c>
      <c r="B2861" s="36" t="s">
        <v>29380</v>
      </c>
      <c r="C2861" s="36" t="s">
        <v>29381</v>
      </c>
      <c r="D2861" s="36" t="s">
        <v>29382</v>
      </c>
      <c r="P2861" s="36" t="s">
        <v>29380</v>
      </c>
    </row>
    <row r="2862" spans="1:16">
      <c r="A2862" s="139">
        <v>2861</v>
      </c>
      <c r="B2862" s="36" t="s">
        <v>29383</v>
      </c>
      <c r="C2862" s="36" t="s">
        <v>29384</v>
      </c>
      <c r="D2862" s="36" t="s">
        <v>29385</v>
      </c>
      <c r="P2862" s="36" t="s">
        <v>29383</v>
      </c>
    </row>
    <row r="2863" spans="1:16">
      <c r="A2863" s="139">
        <v>2862</v>
      </c>
      <c r="B2863" s="36" t="s">
        <v>29386</v>
      </c>
      <c r="C2863" s="36" t="s">
        <v>29387</v>
      </c>
      <c r="D2863" s="36" t="s">
        <v>29388</v>
      </c>
      <c r="P2863" s="36" t="s">
        <v>29386</v>
      </c>
    </row>
    <row r="2864" spans="1:16">
      <c r="A2864" s="139">
        <v>2863</v>
      </c>
      <c r="B2864" s="36" t="s">
        <v>29389</v>
      </c>
      <c r="C2864" s="36" t="s">
        <v>29390</v>
      </c>
      <c r="D2864" s="36" t="s">
        <v>29391</v>
      </c>
      <c r="P2864" s="36" t="s">
        <v>29389</v>
      </c>
    </row>
    <row r="2865" spans="1:16">
      <c r="A2865" s="139">
        <v>2864</v>
      </c>
      <c r="B2865" s="36" t="s">
        <v>29392</v>
      </c>
      <c r="C2865" s="36" t="s">
        <v>29393</v>
      </c>
      <c r="D2865" s="36" t="s">
        <v>29394</v>
      </c>
      <c r="P2865" s="36" t="s">
        <v>29392</v>
      </c>
    </row>
    <row r="2866" spans="1:16">
      <c r="A2866" s="139">
        <v>2865</v>
      </c>
      <c r="B2866" s="36" t="s">
        <v>29395</v>
      </c>
      <c r="C2866" s="36" t="s">
        <v>29396</v>
      </c>
      <c r="D2866" s="36" t="s">
        <v>29397</v>
      </c>
      <c r="P2866" s="36" t="s">
        <v>29395</v>
      </c>
    </row>
    <row r="2867" spans="1:16">
      <c r="A2867" s="139">
        <v>2866</v>
      </c>
      <c r="B2867" s="36" t="s">
        <v>2338</v>
      </c>
      <c r="C2867" s="36" t="s">
        <v>29398</v>
      </c>
      <c r="D2867" s="36" t="s">
        <v>29399</v>
      </c>
      <c r="P2867" s="36" t="s">
        <v>2338</v>
      </c>
    </row>
    <row r="2868" spans="1:16">
      <c r="A2868" s="139">
        <v>2867</v>
      </c>
      <c r="B2868" s="36" t="s">
        <v>29400</v>
      </c>
      <c r="C2868" s="36" t="s">
        <v>29401</v>
      </c>
      <c r="D2868" s="36" t="s">
        <v>29402</v>
      </c>
      <c r="P2868" s="36" t="s">
        <v>29400</v>
      </c>
    </row>
    <row r="2869" spans="1:16">
      <c r="A2869" s="139">
        <v>2868</v>
      </c>
      <c r="B2869" s="36" t="s">
        <v>29403</v>
      </c>
      <c r="C2869" s="36" t="s">
        <v>20361</v>
      </c>
      <c r="D2869" s="36" t="s">
        <v>29404</v>
      </c>
      <c r="P2869" s="36" t="s">
        <v>29403</v>
      </c>
    </row>
    <row r="2870" spans="1:16">
      <c r="A2870" s="139">
        <v>2869</v>
      </c>
      <c r="B2870" s="36" t="s">
        <v>29405</v>
      </c>
      <c r="C2870" s="36" t="s">
        <v>29406</v>
      </c>
      <c r="D2870" s="36" t="s">
        <v>13493</v>
      </c>
      <c r="P2870" s="36" t="s">
        <v>29405</v>
      </c>
    </row>
    <row r="2871" spans="1:16">
      <c r="A2871" s="139">
        <v>2870</v>
      </c>
      <c r="B2871" s="36" t="s">
        <v>29407</v>
      </c>
      <c r="C2871" s="36" t="s">
        <v>29408</v>
      </c>
      <c r="D2871" s="36" t="s">
        <v>29409</v>
      </c>
      <c r="P2871" s="36" t="s">
        <v>29407</v>
      </c>
    </row>
    <row r="2872" spans="1:16">
      <c r="A2872" s="139">
        <v>2871</v>
      </c>
      <c r="B2872" s="36" t="s">
        <v>29410</v>
      </c>
      <c r="C2872" s="36" t="s">
        <v>29411</v>
      </c>
      <c r="D2872" s="36" t="s">
        <v>29412</v>
      </c>
      <c r="P2872" s="36" t="s">
        <v>29410</v>
      </c>
    </row>
    <row r="2873" spans="1:16">
      <c r="A2873" s="139">
        <v>2872</v>
      </c>
      <c r="B2873" s="36" t="s">
        <v>29413</v>
      </c>
      <c r="C2873" s="36" t="s">
        <v>29414</v>
      </c>
      <c r="D2873" s="36" t="s">
        <v>29415</v>
      </c>
      <c r="P2873" s="36" t="s">
        <v>29413</v>
      </c>
    </row>
    <row r="2874" spans="1:16">
      <c r="A2874" s="139">
        <v>2873</v>
      </c>
      <c r="B2874" s="36" t="s">
        <v>29416</v>
      </c>
      <c r="C2874" s="36" t="s">
        <v>29417</v>
      </c>
      <c r="D2874" s="36" t="s">
        <v>29418</v>
      </c>
      <c r="P2874" s="36" t="s">
        <v>29416</v>
      </c>
    </row>
    <row r="2875" spans="1:16">
      <c r="A2875" s="139">
        <v>2874</v>
      </c>
      <c r="B2875" s="36" t="s">
        <v>29419</v>
      </c>
      <c r="C2875" s="36" t="s">
        <v>29420</v>
      </c>
      <c r="D2875" s="36" t="s">
        <v>29421</v>
      </c>
      <c r="P2875" s="36" t="s">
        <v>29419</v>
      </c>
    </row>
    <row r="2876" spans="1:16">
      <c r="A2876" s="139">
        <v>2875</v>
      </c>
      <c r="B2876" s="36" t="s">
        <v>29422</v>
      </c>
      <c r="C2876" s="36" t="s">
        <v>29423</v>
      </c>
      <c r="D2876" s="36" t="s">
        <v>29424</v>
      </c>
      <c r="P2876" s="36" t="s">
        <v>29422</v>
      </c>
    </row>
    <row r="2877" spans="1:16">
      <c r="A2877" s="139">
        <v>2876</v>
      </c>
      <c r="B2877" s="36" t="s">
        <v>29425</v>
      </c>
      <c r="C2877" s="36" t="s">
        <v>29426</v>
      </c>
      <c r="P2877" s="36" t="s">
        <v>29425</v>
      </c>
    </row>
    <row r="2878" spans="1:16">
      <c r="A2878" s="139">
        <v>2877</v>
      </c>
      <c r="B2878" s="36" t="s">
        <v>29427</v>
      </c>
      <c r="C2878" s="36" t="s">
        <v>29428</v>
      </c>
      <c r="D2878" s="36" t="s">
        <v>29429</v>
      </c>
      <c r="P2878" s="36" t="s">
        <v>29427</v>
      </c>
    </row>
    <row r="2879" spans="1:16">
      <c r="A2879" s="139">
        <v>2878</v>
      </c>
      <c r="B2879" s="36" t="s">
        <v>29430</v>
      </c>
      <c r="C2879" s="36" t="s">
        <v>29431</v>
      </c>
      <c r="D2879" s="36" t="s">
        <v>5039</v>
      </c>
      <c r="P2879" s="36" t="s">
        <v>29430</v>
      </c>
    </row>
    <row r="2880" spans="1:16">
      <c r="A2880" s="139">
        <v>2879</v>
      </c>
      <c r="B2880" s="36" t="s">
        <v>29432</v>
      </c>
      <c r="C2880" s="36" t="s">
        <v>27975</v>
      </c>
      <c r="D2880" s="36" t="s">
        <v>29433</v>
      </c>
      <c r="P2880" s="36" t="s">
        <v>29432</v>
      </c>
    </row>
    <row r="2881" spans="1:16">
      <c r="A2881" s="139">
        <v>2880</v>
      </c>
      <c r="B2881" s="36" t="s">
        <v>29434</v>
      </c>
      <c r="C2881" s="36" t="s">
        <v>29435</v>
      </c>
      <c r="D2881" s="36" t="s">
        <v>29436</v>
      </c>
      <c r="P2881" s="36" t="s">
        <v>29434</v>
      </c>
    </row>
    <row r="2882" spans="1:16">
      <c r="A2882" s="139">
        <v>2881</v>
      </c>
      <c r="B2882" s="36" t="s">
        <v>29437</v>
      </c>
      <c r="C2882" s="36" t="s">
        <v>29438</v>
      </c>
      <c r="D2882" s="36" t="s">
        <v>29439</v>
      </c>
      <c r="P2882" s="36" t="s">
        <v>29437</v>
      </c>
    </row>
    <row r="2883" spans="1:16">
      <c r="A2883" s="139">
        <v>2882</v>
      </c>
      <c r="B2883" s="36" t="s">
        <v>29440</v>
      </c>
      <c r="C2883" s="36" t="s">
        <v>29441</v>
      </c>
      <c r="D2883" s="36" t="s">
        <v>29442</v>
      </c>
      <c r="P2883" s="36" t="s">
        <v>29440</v>
      </c>
    </row>
    <row r="2884" spans="1:16" ht="13.95" customHeight="1">
      <c r="A2884" s="139">
        <v>2883</v>
      </c>
      <c r="B2884" s="36" t="s">
        <v>29443</v>
      </c>
      <c r="C2884" s="36" t="s">
        <v>29444</v>
      </c>
      <c r="P2884" s="36" t="s">
        <v>29443</v>
      </c>
    </row>
    <row r="2885" spans="1:16" ht="13.95" customHeight="1">
      <c r="A2885" s="139">
        <v>2884</v>
      </c>
      <c r="B2885" s="36" t="s">
        <v>29445</v>
      </c>
      <c r="C2885" s="36" t="s">
        <v>29446</v>
      </c>
      <c r="D2885" s="36" t="s">
        <v>29447</v>
      </c>
      <c r="P2885" s="36" t="s">
        <v>29445</v>
      </c>
    </row>
    <row r="2886" spans="1:16">
      <c r="A2886" s="139">
        <v>2885</v>
      </c>
      <c r="B2886" s="36" t="s">
        <v>29448</v>
      </c>
      <c r="C2886" s="36" t="s">
        <v>29448</v>
      </c>
      <c r="D2886" s="36" t="s">
        <v>27536</v>
      </c>
      <c r="P2886" s="36" t="s">
        <v>29448</v>
      </c>
    </row>
    <row r="2887" spans="1:16">
      <c r="A2887" s="139">
        <v>2886</v>
      </c>
      <c r="B2887" s="36" t="s">
        <v>29449</v>
      </c>
      <c r="C2887" s="36" t="s">
        <v>29450</v>
      </c>
      <c r="P2887" s="36" t="s">
        <v>29449</v>
      </c>
    </row>
    <row r="2888" spans="1:16">
      <c r="A2888" s="139">
        <v>2887</v>
      </c>
      <c r="B2888" s="36" t="s">
        <v>29451</v>
      </c>
      <c r="C2888" s="36" t="s">
        <v>29452</v>
      </c>
      <c r="D2888" s="36" t="s">
        <v>29453</v>
      </c>
      <c r="P2888" s="36" t="s">
        <v>29451</v>
      </c>
    </row>
    <row r="2889" spans="1:16">
      <c r="A2889" s="139">
        <v>2888</v>
      </c>
      <c r="B2889" s="36" t="s">
        <v>29454</v>
      </c>
      <c r="C2889" s="36" t="s">
        <v>29455</v>
      </c>
      <c r="D2889" s="36" t="s">
        <v>29456</v>
      </c>
      <c r="P2889" s="36" t="s">
        <v>29454</v>
      </c>
    </row>
    <row r="2890" spans="1:16">
      <c r="A2890" s="139">
        <v>2889</v>
      </c>
      <c r="B2890" s="36" t="s">
        <v>29457</v>
      </c>
      <c r="C2890" s="36" t="s">
        <v>29458</v>
      </c>
      <c r="P2890" s="36" t="s">
        <v>29457</v>
      </c>
    </row>
    <row r="2891" spans="1:16">
      <c r="A2891" s="139">
        <v>2890</v>
      </c>
      <c r="B2891" s="36" t="s">
        <v>29459</v>
      </c>
      <c r="C2891" s="36" t="s">
        <v>29460</v>
      </c>
      <c r="D2891" s="36" t="s">
        <v>29461</v>
      </c>
      <c r="P2891" s="36" t="s">
        <v>29459</v>
      </c>
    </row>
    <row r="2892" spans="1:16">
      <c r="A2892" s="139">
        <v>2891</v>
      </c>
      <c r="B2892" s="36" t="s">
        <v>29462</v>
      </c>
      <c r="C2892" s="36" t="s">
        <v>29463</v>
      </c>
      <c r="D2892" s="36" t="s">
        <v>29464</v>
      </c>
      <c r="P2892" s="36" t="s">
        <v>29462</v>
      </c>
    </row>
    <row r="2893" spans="1:16">
      <c r="A2893" s="139">
        <v>2892</v>
      </c>
      <c r="B2893" s="36" t="s">
        <v>29465</v>
      </c>
      <c r="C2893" s="36" t="s">
        <v>29466</v>
      </c>
      <c r="P2893" s="36" t="s">
        <v>29465</v>
      </c>
    </row>
    <row r="2894" spans="1:16">
      <c r="A2894" s="139">
        <v>2893</v>
      </c>
      <c r="B2894" s="36" t="s">
        <v>29467</v>
      </c>
      <c r="C2894" s="36" t="s">
        <v>29467</v>
      </c>
      <c r="P2894" s="36" t="s">
        <v>29467</v>
      </c>
    </row>
    <row r="2895" spans="1:16">
      <c r="A2895" s="139">
        <v>2894</v>
      </c>
      <c r="B2895" s="36" t="s">
        <v>29468</v>
      </c>
      <c r="C2895" s="36" t="s">
        <v>29469</v>
      </c>
      <c r="D2895" s="36" t="s">
        <v>29470</v>
      </c>
      <c r="P2895" s="36" t="s">
        <v>29468</v>
      </c>
    </row>
    <row r="2896" spans="1:16">
      <c r="A2896" s="139">
        <v>2895</v>
      </c>
      <c r="B2896" s="36" t="s">
        <v>29471</v>
      </c>
      <c r="C2896" s="36" t="s">
        <v>29472</v>
      </c>
      <c r="D2896" s="36" t="s">
        <v>29473</v>
      </c>
      <c r="P2896" s="36" t="s">
        <v>29471</v>
      </c>
    </row>
    <row r="2897" spans="1:16">
      <c r="A2897" s="139">
        <v>2896</v>
      </c>
      <c r="B2897" s="36" t="s">
        <v>29474</v>
      </c>
      <c r="C2897" s="36" t="s">
        <v>29475</v>
      </c>
      <c r="D2897" s="36" t="s">
        <v>29476</v>
      </c>
      <c r="P2897" s="36" t="s">
        <v>29474</v>
      </c>
    </row>
    <row r="2898" spans="1:16">
      <c r="A2898" s="139">
        <v>2897</v>
      </c>
      <c r="B2898" s="36" t="s">
        <v>29477</v>
      </c>
      <c r="C2898" s="36" t="s">
        <v>29478</v>
      </c>
      <c r="D2898" s="36" t="s">
        <v>29479</v>
      </c>
      <c r="P2898" s="36" t="s">
        <v>29477</v>
      </c>
    </row>
    <row r="2899" spans="1:16">
      <c r="A2899" s="139">
        <v>2898</v>
      </c>
      <c r="B2899" s="36" t="s">
        <v>29480</v>
      </c>
      <c r="C2899" s="36" t="s">
        <v>29481</v>
      </c>
      <c r="P2899" s="36" t="s">
        <v>29480</v>
      </c>
    </row>
    <row r="2900" spans="1:16">
      <c r="A2900" s="139">
        <v>2899</v>
      </c>
      <c r="B2900" s="36" t="s">
        <v>29482</v>
      </c>
      <c r="C2900" s="36" t="s">
        <v>29483</v>
      </c>
      <c r="P2900" s="36" t="s">
        <v>29482</v>
      </c>
    </row>
    <row r="2901" spans="1:16">
      <c r="A2901" s="139">
        <v>2900</v>
      </c>
      <c r="B2901" s="36" t="s">
        <v>29484</v>
      </c>
      <c r="C2901" s="36" t="s">
        <v>29485</v>
      </c>
      <c r="P2901" s="36" t="s">
        <v>29484</v>
      </c>
    </row>
    <row r="2902" spans="1:16">
      <c r="A2902" s="139">
        <v>2901</v>
      </c>
      <c r="B2902" s="36" t="s">
        <v>29486</v>
      </c>
      <c r="C2902" s="36" t="s">
        <v>29487</v>
      </c>
      <c r="D2902" s="36" t="s">
        <v>29488</v>
      </c>
      <c r="P2902" s="36" t="s">
        <v>29486</v>
      </c>
    </row>
    <row r="2903" spans="1:16">
      <c r="A2903" s="139">
        <v>2902</v>
      </c>
      <c r="B2903" s="36" t="s">
        <v>29489</v>
      </c>
      <c r="C2903" s="36" t="s">
        <v>29490</v>
      </c>
      <c r="D2903" s="36" t="s">
        <v>29491</v>
      </c>
      <c r="P2903" s="36" t="s">
        <v>29489</v>
      </c>
    </row>
    <row r="2904" spans="1:16">
      <c r="A2904" s="139">
        <v>2903</v>
      </c>
      <c r="B2904" s="36" t="s">
        <v>29492</v>
      </c>
      <c r="C2904" s="36" t="s">
        <v>29493</v>
      </c>
      <c r="D2904" s="36" t="s">
        <v>29494</v>
      </c>
      <c r="P2904" s="36" t="s">
        <v>29492</v>
      </c>
    </row>
    <row r="2905" spans="1:16">
      <c r="A2905" s="139">
        <v>2904</v>
      </c>
      <c r="B2905" s="36" t="s">
        <v>29495</v>
      </c>
      <c r="C2905" s="36" t="s">
        <v>29496</v>
      </c>
      <c r="D2905" s="36" t="s">
        <v>29497</v>
      </c>
      <c r="P2905" s="36" t="s">
        <v>29495</v>
      </c>
    </row>
    <row r="2906" spans="1:16">
      <c r="A2906" s="139">
        <v>2905</v>
      </c>
      <c r="B2906" s="36" t="s">
        <v>29498</v>
      </c>
      <c r="C2906" s="36" t="s">
        <v>29498</v>
      </c>
      <c r="P2906" s="36" t="s">
        <v>29498</v>
      </c>
    </row>
    <row r="2907" spans="1:16">
      <c r="A2907" s="139">
        <v>2906</v>
      </c>
      <c r="B2907" s="36" t="s">
        <v>29499</v>
      </c>
      <c r="C2907" s="36" t="s">
        <v>29500</v>
      </c>
      <c r="D2907" s="36" t="s">
        <v>29501</v>
      </c>
      <c r="P2907" s="36" t="s">
        <v>29499</v>
      </c>
    </row>
    <row r="2908" spans="1:16">
      <c r="A2908" s="139">
        <v>2907</v>
      </c>
      <c r="B2908" s="36" t="s">
        <v>29502</v>
      </c>
      <c r="C2908" s="36" t="s">
        <v>29503</v>
      </c>
      <c r="D2908" s="36" t="s">
        <v>29504</v>
      </c>
      <c r="P2908" s="36" t="s">
        <v>29502</v>
      </c>
    </row>
    <row r="2909" spans="1:16">
      <c r="A2909" s="139">
        <v>2908</v>
      </c>
      <c r="B2909" s="36" t="s">
        <v>29505</v>
      </c>
      <c r="C2909" s="36" t="s">
        <v>29506</v>
      </c>
      <c r="D2909" s="36" t="s">
        <v>29507</v>
      </c>
      <c r="P2909" s="36" t="s">
        <v>29505</v>
      </c>
    </row>
    <row r="2910" spans="1:16">
      <c r="A2910" s="139">
        <v>2909</v>
      </c>
      <c r="B2910" s="36" t="s">
        <v>29508</v>
      </c>
      <c r="C2910" s="36" t="s">
        <v>29509</v>
      </c>
      <c r="P2910" s="36" t="s">
        <v>29508</v>
      </c>
    </row>
    <row r="2911" spans="1:16">
      <c r="A2911" s="139">
        <v>2910</v>
      </c>
      <c r="B2911" s="36" t="s">
        <v>29510</v>
      </c>
      <c r="C2911" s="36" t="s">
        <v>29511</v>
      </c>
      <c r="D2911" s="36" t="s">
        <v>29512</v>
      </c>
      <c r="P2911" s="36" t="s">
        <v>29510</v>
      </c>
    </row>
    <row r="2912" spans="1:16">
      <c r="A2912" s="139">
        <v>2911</v>
      </c>
      <c r="B2912" s="36" t="s">
        <v>29513</v>
      </c>
      <c r="C2912" s="36" t="s">
        <v>29514</v>
      </c>
      <c r="D2912" s="36" t="s">
        <v>6325</v>
      </c>
      <c r="P2912" s="36" t="s">
        <v>29513</v>
      </c>
    </row>
    <row r="2913" spans="1:16">
      <c r="A2913" s="139">
        <v>2912</v>
      </c>
      <c r="B2913" s="36" t="s">
        <v>29515</v>
      </c>
      <c r="C2913" s="36" t="s">
        <v>29516</v>
      </c>
      <c r="D2913" s="36" t="s">
        <v>29517</v>
      </c>
      <c r="P2913" s="36" t="s">
        <v>29515</v>
      </c>
    </row>
    <row r="2914" spans="1:16">
      <c r="A2914" s="139">
        <v>2913</v>
      </c>
      <c r="B2914" s="36" t="s">
        <v>29518</v>
      </c>
      <c r="C2914" s="36" t="s">
        <v>29519</v>
      </c>
      <c r="P2914" s="36" t="s">
        <v>29518</v>
      </c>
    </row>
    <row r="2915" spans="1:16">
      <c r="A2915" s="139">
        <v>2914</v>
      </c>
      <c r="B2915" s="36" t="s">
        <v>29520</v>
      </c>
      <c r="C2915" s="36" t="s">
        <v>29521</v>
      </c>
      <c r="D2915" s="36" t="s">
        <v>29522</v>
      </c>
      <c r="P2915" s="36" t="s">
        <v>29520</v>
      </c>
    </row>
    <row r="2916" spans="1:16">
      <c r="A2916" s="139">
        <v>2915</v>
      </c>
      <c r="B2916" s="36" t="s">
        <v>29523</v>
      </c>
      <c r="C2916" s="36" t="s">
        <v>29524</v>
      </c>
      <c r="D2916" s="36" t="s">
        <v>29525</v>
      </c>
      <c r="P2916" s="36" t="s">
        <v>29523</v>
      </c>
    </row>
    <row r="2917" spans="1:16">
      <c r="A2917" s="139">
        <v>2916</v>
      </c>
      <c r="B2917" s="36" t="s">
        <v>29526</v>
      </c>
      <c r="C2917" s="36" t="s">
        <v>29527</v>
      </c>
      <c r="P2917" s="36" t="s">
        <v>29526</v>
      </c>
    </row>
    <row r="2918" spans="1:16">
      <c r="A2918" s="139">
        <v>2917</v>
      </c>
      <c r="B2918" s="36" t="s">
        <v>29528</v>
      </c>
      <c r="C2918" s="36" t="s">
        <v>29529</v>
      </c>
      <c r="P2918" s="36" t="s">
        <v>29528</v>
      </c>
    </row>
    <row r="2919" spans="1:16">
      <c r="A2919" s="139">
        <v>2918</v>
      </c>
      <c r="B2919" s="36" t="s">
        <v>29530</v>
      </c>
      <c r="C2919" s="36" t="s">
        <v>29531</v>
      </c>
      <c r="D2919" s="36" t="s">
        <v>29532</v>
      </c>
      <c r="P2919" s="36" t="s">
        <v>29530</v>
      </c>
    </row>
    <row r="2920" spans="1:16">
      <c r="A2920" s="139">
        <v>2919</v>
      </c>
      <c r="B2920" s="36" t="s">
        <v>29533</v>
      </c>
      <c r="C2920" s="36" t="s">
        <v>29534</v>
      </c>
      <c r="D2920" s="36" t="s">
        <v>29535</v>
      </c>
      <c r="P2920" s="36" t="s">
        <v>29533</v>
      </c>
    </row>
    <row r="2921" spans="1:16">
      <c r="A2921" s="139">
        <v>2920</v>
      </c>
      <c r="B2921" s="36" t="s">
        <v>29536</v>
      </c>
      <c r="C2921" s="36" t="s">
        <v>29537</v>
      </c>
      <c r="P2921" s="36" t="s">
        <v>29536</v>
      </c>
    </row>
    <row r="2922" spans="1:16">
      <c r="A2922" s="139">
        <v>2921</v>
      </c>
      <c r="B2922" s="36" t="s">
        <v>29538</v>
      </c>
      <c r="C2922" s="36" t="s">
        <v>15038</v>
      </c>
      <c r="D2922" s="36" t="s">
        <v>29539</v>
      </c>
      <c r="P2922" s="36" t="s">
        <v>29538</v>
      </c>
    </row>
    <row r="2923" spans="1:16">
      <c r="A2923" s="139">
        <v>2922</v>
      </c>
      <c r="B2923" s="36" t="s">
        <v>29540</v>
      </c>
      <c r="C2923" s="36" t="s">
        <v>29541</v>
      </c>
      <c r="D2923" s="36" t="s">
        <v>29542</v>
      </c>
      <c r="P2923" s="36" t="s">
        <v>29540</v>
      </c>
    </row>
    <row r="2924" spans="1:16">
      <c r="A2924" s="139">
        <v>2923</v>
      </c>
      <c r="B2924" s="36" t="s">
        <v>29543</v>
      </c>
      <c r="C2924" s="36" t="s">
        <v>29544</v>
      </c>
      <c r="D2924" s="36" t="s">
        <v>29545</v>
      </c>
      <c r="P2924" s="36" t="s">
        <v>29543</v>
      </c>
    </row>
    <row r="2925" spans="1:16">
      <c r="A2925" s="139">
        <v>2924</v>
      </c>
      <c r="B2925" s="36" t="s">
        <v>29546</v>
      </c>
      <c r="C2925" s="36" t="s">
        <v>29547</v>
      </c>
      <c r="D2925" s="36" t="s">
        <v>29548</v>
      </c>
      <c r="P2925" s="36" t="s">
        <v>29546</v>
      </c>
    </row>
    <row r="2926" spans="1:16">
      <c r="A2926" s="139">
        <v>2925</v>
      </c>
      <c r="B2926" s="36" t="s">
        <v>29549</v>
      </c>
      <c r="C2926" s="36" t="s">
        <v>29550</v>
      </c>
      <c r="D2926" s="36" t="s">
        <v>29551</v>
      </c>
      <c r="P2926" s="36" t="s">
        <v>29549</v>
      </c>
    </row>
    <row r="2927" spans="1:16">
      <c r="A2927" s="139">
        <v>2926</v>
      </c>
      <c r="B2927" s="36" t="s">
        <v>29552</v>
      </c>
      <c r="C2927" s="36" t="s">
        <v>29553</v>
      </c>
      <c r="P2927" s="36" t="s">
        <v>29552</v>
      </c>
    </row>
    <row r="2928" spans="1:16">
      <c r="A2928" s="139">
        <v>2927</v>
      </c>
      <c r="B2928" s="36" t="s">
        <v>29554</v>
      </c>
      <c r="C2928" s="36" t="s">
        <v>29555</v>
      </c>
      <c r="D2928" s="36" t="s">
        <v>29556</v>
      </c>
      <c r="P2928" s="36" t="s">
        <v>29554</v>
      </c>
    </row>
    <row r="2929" spans="1:16">
      <c r="A2929" s="139">
        <v>2928</v>
      </c>
      <c r="B2929" s="36" t="s">
        <v>29557</v>
      </c>
      <c r="C2929" s="36" t="s">
        <v>29558</v>
      </c>
      <c r="P2929" s="36" t="s">
        <v>29557</v>
      </c>
    </row>
    <row r="2930" spans="1:16">
      <c r="A2930" s="139">
        <v>2929</v>
      </c>
      <c r="B2930" s="36" t="s">
        <v>29559</v>
      </c>
      <c r="C2930" s="36" t="s">
        <v>29560</v>
      </c>
      <c r="P2930" s="36" t="s">
        <v>29559</v>
      </c>
    </row>
    <row r="2931" spans="1:16">
      <c r="A2931" s="139">
        <v>2930</v>
      </c>
      <c r="B2931" s="36" t="s">
        <v>29561</v>
      </c>
      <c r="C2931" s="36" t="s">
        <v>29562</v>
      </c>
      <c r="D2931" s="36" t="s">
        <v>29563</v>
      </c>
      <c r="P2931" s="36" t="s">
        <v>29561</v>
      </c>
    </row>
    <row r="2932" spans="1:16">
      <c r="A2932" s="139">
        <v>2931</v>
      </c>
      <c r="B2932" s="36" t="s">
        <v>29564</v>
      </c>
      <c r="C2932" s="36" t="s">
        <v>29565</v>
      </c>
      <c r="D2932" s="36" t="s">
        <v>29566</v>
      </c>
      <c r="P2932" s="36" t="s">
        <v>29564</v>
      </c>
    </row>
    <row r="2933" spans="1:16">
      <c r="A2933" s="139">
        <v>2932</v>
      </c>
      <c r="B2933" s="36" t="s">
        <v>29567</v>
      </c>
      <c r="C2933" s="36" t="s">
        <v>29568</v>
      </c>
      <c r="D2933" s="36" t="s">
        <v>29569</v>
      </c>
      <c r="P2933" s="36" t="s">
        <v>29567</v>
      </c>
    </row>
    <row r="2934" spans="1:16">
      <c r="A2934" s="139">
        <v>2933</v>
      </c>
      <c r="B2934" s="36" t="s">
        <v>29570</v>
      </c>
      <c r="C2934" s="36" t="s">
        <v>29571</v>
      </c>
      <c r="D2934" s="36" t="s">
        <v>29572</v>
      </c>
      <c r="P2934" s="36" t="s">
        <v>29570</v>
      </c>
    </row>
    <row r="2935" spans="1:16">
      <c r="A2935" s="139">
        <v>2934</v>
      </c>
      <c r="B2935" s="36" t="s">
        <v>29573</v>
      </c>
      <c r="C2935" s="36" t="s">
        <v>29574</v>
      </c>
      <c r="D2935" s="36" t="s">
        <v>29575</v>
      </c>
      <c r="P2935" s="36" t="s">
        <v>29573</v>
      </c>
    </row>
    <row r="2936" spans="1:16">
      <c r="A2936" s="139">
        <v>2935</v>
      </c>
      <c r="B2936" s="36" t="s">
        <v>29576</v>
      </c>
      <c r="C2936" s="36" t="s">
        <v>29577</v>
      </c>
      <c r="D2936" s="36" t="s">
        <v>29578</v>
      </c>
      <c r="P2936" s="36" t="s">
        <v>29576</v>
      </c>
    </row>
    <row r="2937" spans="1:16">
      <c r="A2937" s="139">
        <v>2936</v>
      </c>
      <c r="B2937" s="36" t="s">
        <v>29579</v>
      </c>
      <c r="C2937" s="36" t="s">
        <v>29580</v>
      </c>
      <c r="D2937" s="36" t="s">
        <v>29581</v>
      </c>
      <c r="P2937" s="36" t="s">
        <v>29579</v>
      </c>
    </row>
    <row r="2938" spans="1:16">
      <c r="A2938" s="139">
        <v>2937</v>
      </c>
      <c r="B2938" s="36" t="s">
        <v>29582</v>
      </c>
      <c r="C2938" s="36" t="s">
        <v>29583</v>
      </c>
      <c r="D2938" s="36" t="s">
        <v>29584</v>
      </c>
      <c r="E2938" s="36" t="s">
        <v>29582</v>
      </c>
      <c r="F2938" s="36" t="s">
        <v>29582</v>
      </c>
      <c r="G2938" s="36" t="s">
        <v>29582</v>
      </c>
      <c r="H2938" s="36" t="s">
        <v>29582</v>
      </c>
      <c r="I2938" s="36" t="s">
        <v>29582</v>
      </c>
      <c r="J2938" s="36" t="s">
        <v>29582</v>
      </c>
      <c r="K2938" s="36" t="s">
        <v>29582</v>
      </c>
      <c r="L2938" s="36" t="s">
        <v>29582</v>
      </c>
      <c r="M2938" s="36" t="s">
        <v>29582</v>
      </c>
      <c r="N2938" s="36" t="s">
        <v>29582</v>
      </c>
      <c r="O2938" s="36" t="s">
        <v>29582</v>
      </c>
      <c r="P2938" s="36" t="s">
        <v>29582</v>
      </c>
    </row>
    <row r="2939" spans="1:16">
      <c r="A2939" s="139">
        <v>2938</v>
      </c>
      <c r="B2939" s="36" t="s">
        <v>29585</v>
      </c>
      <c r="C2939" s="36" t="s">
        <v>29586</v>
      </c>
      <c r="D2939" s="36" t="s">
        <v>29587</v>
      </c>
      <c r="E2939" s="36" t="s">
        <v>29588</v>
      </c>
      <c r="F2939" s="36" t="s">
        <v>29589</v>
      </c>
      <c r="G2939" s="36" t="s">
        <v>29590</v>
      </c>
      <c r="H2939" s="36" t="s">
        <v>29591</v>
      </c>
      <c r="I2939" s="36" t="s">
        <v>29592</v>
      </c>
      <c r="J2939" s="36" t="s">
        <v>29593</v>
      </c>
      <c r="K2939" s="36" t="s">
        <v>29594</v>
      </c>
      <c r="L2939" s="36" t="s">
        <v>29595</v>
      </c>
      <c r="M2939" s="36" t="s">
        <v>29596</v>
      </c>
      <c r="N2939" s="36" t="s">
        <v>29597</v>
      </c>
      <c r="O2939" s="36" t="s">
        <v>29598</v>
      </c>
      <c r="P2939" s="36" t="s">
        <v>29585</v>
      </c>
    </row>
    <row r="2940" spans="1:16">
      <c r="A2940" s="139">
        <v>2939</v>
      </c>
      <c r="B2940" s="36" t="s">
        <v>29599</v>
      </c>
      <c r="C2940" s="36" t="s">
        <v>29600</v>
      </c>
      <c r="D2940" s="36" t="s">
        <v>29601</v>
      </c>
      <c r="E2940" s="36" t="s">
        <v>29599</v>
      </c>
      <c r="F2940" s="36" t="s">
        <v>29599</v>
      </c>
      <c r="G2940" s="36" t="s">
        <v>29599</v>
      </c>
      <c r="H2940" s="36" t="s">
        <v>29599</v>
      </c>
      <c r="I2940" s="36" t="s">
        <v>29599</v>
      </c>
      <c r="J2940" s="36" t="s">
        <v>29599</v>
      </c>
      <c r="K2940" s="36" t="s">
        <v>29599</v>
      </c>
      <c r="L2940" s="36" t="s">
        <v>29599</v>
      </c>
      <c r="M2940" s="36" t="s">
        <v>29599</v>
      </c>
      <c r="N2940" s="36" t="s">
        <v>29599</v>
      </c>
      <c r="O2940" s="36" t="s">
        <v>29599</v>
      </c>
      <c r="P2940" s="36" t="s">
        <v>29599</v>
      </c>
    </row>
    <row r="2941" spans="1:16">
      <c r="A2941" s="139">
        <v>2940</v>
      </c>
      <c r="B2941" s="36" t="s">
        <v>29602</v>
      </c>
      <c r="C2941" s="36" t="s">
        <v>29603</v>
      </c>
      <c r="D2941" s="36" t="s">
        <v>29604</v>
      </c>
      <c r="E2941" s="36" t="s">
        <v>29605</v>
      </c>
      <c r="F2941" s="36" t="s">
        <v>29606</v>
      </c>
      <c r="G2941" s="36" t="s">
        <v>29607</v>
      </c>
      <c r="H2941" s="36" t="s">
        <v>29608</v>
      </c>
      <c r="I2941" s="36" t="s">
        <v>29609</v>
      </c>
      <c r="J2941" s="36" t="s">
        <v>29610</v>
      </c>
      <c r="K2941" s="36" t="s">
        <v>29611</v>
      </c>
      <c r="L2941" s="36" t="s">
        <v>29612</v>
      </c>
      <c r="M2941" s="36" t="s">
        <v>29613</v>
      </c>
      <c r="N2941" s="36" t="s">
        <v>29614</v>
      </c>
      <c r="O2941" s="36" t="s">
        <v>29615</v>
      </c>
      <c r="P2941" s="36" t="s">
        <v>29602</v>
      </c>
    </row>
    <row r="2942" spans="1:16" ht="13.95" customHeight="1">
      <c r="A2942" s="139">
        <v>2941</v>
      </c>
      <c r="B2942" s="36" t="s">
        <v>29616</v>
      </c>
      <c r="C2942" s="36" t="s">
        <v>29617</v>
      </c>
      <c r="D2942" s="36" t="s">
        <v>29618</v>
      </c>
      <c r="E2942" s="36" t="s">
        <v>29619</v>
      </c>
      <c r="F2942" s="36" t="s">
        <v>29620</v>
      </c>
      <c r="G2942" s="36" t="s">
        <v>29621</v>
      </c>
      <c r="H2942" s="36" t="s">
        <v>29622</v>
      </c>
      <c r="I2942" s="36" t="s">
        <v>29623</v>
      </c>
      <c r="J2942" s="36" t="s">
        <v>29624</v>
      </c>
      <c r="K2942" s="36" t="s">
        <v>29625</v>
      </c>
      <c r="L2942" s="36" t="s">
        <v>29626</v>
      </c>
      <c r="M2942" s="36" t="s">
        <v>29627</v>
      </c>
      <c r="N2942" s="36" t="s">
        <v>29628</v>
      </c>
      <c r="O2942" s="36" t="s">
        <v>29629</v>
      </c>
      <c r="P2942" s="36" t="s">
        <v>29616</v>
      </c>
    </row>
    <row r="2943" spans="1:16">
      <c r="A2943" s="139">
        <v>2942</v>
      </c>
      <c r="B2943" s="36" t="s">
        <v>29630</v>
      </c>
      <c r="C2943" s="36" t="s">
        <v>29631</v>
      </c>
      <c r="D2943" s="36" t="s">
        <v>29632</v>
      </c>
      <c r="E2943" s="36" t="s">
        <v>29633</v>
      </c>
      <c r="F2943" s="36" t="s">
        <v>29634</v>
      </c>
      <c r="G2943" s="36" t="s">
        <v>29635</v>
      </c>
      <c r="H2943" s="36" t="s">
        <v>29636</v>
      </c>
      <c r="I2943" s="36" t="s">
        <v>29637</v>
      </c>
      <c r="J2943" s="36" t="s">
        <v>29638</v>
      </c>
      <c r="K2943" s="36" t="s">
        <v>29639</v>
      </c>
      <c r="L2943" s="36" t="s">
        <v>29640</v>
      </c>
      <c r="M2943" s="36" t="s">
        <v>29641</v>
      </c>
      <c r="N2943" s="36" t="s">
        <v>29642</v>
      </c>
      <c r="O2943" s="36" t="s">
        <v>29643</v>
      </c>
      <c r="P2943" s="36" t="s">
        <v>29644</v>
      </c>
    </row>
    <row r="2944" spans="1:16">
      <c r="A2944" s="139">
        <v>2943</v>
      </c>
      <c r="B2944" s="36" t="s">
        <v>29645</v>
      </c>
      <c r="C2944" s="36" t="s">
        <v>29646</v>
      </c>
      <c r="D2944" s="36" t="s">
        <v>29647</v>
      </c>
      <c r="E2944" s="36" t="s">
        <v>29648</v>
      </c>
      <c r="F2944" s="36" t="s">
        <v>29649</v>
      </c>
      <c r="G2944" s="36" t="s">
        <v>29650</v>
      </c>
      <c r="H2944" s="36" t="s">
        <v>29651</v>
      </c>
      <c r="I2944" s="36" t="s">
        <v>29652</v>
      </c>
      <c r="J2944" s="36" t="s">
        <v>29653</v>
      </c>
      <c r="K2944" s="36" t="s">
        <v>29654</v>
      </c>
      <c r="L2944" s="36" t="s">
        <v>29655</v>
      </c>
      <c r="M2944" s="36" t="s">
        <v>29656</v>
      </c>
      <c r="N2944" s="36" t="s">
        <v>29657</v>
      </c>
      <c r="O2944" s="36" t="s">
        <v>29658</v>
      </c>
      <c r="P2944" s="36" t="s">
        <v>29645</v>
      </c>
    </row>
    <row r="2945" spans="1:16">
      <c r="A2945" s="139">
        <v>2944</v>
      </c>
      <c r="B2945" s="36" t="s">
        <v>29659</v>
      </c>
      <c r="C2945" s="36" t="s">
        <v>29660</v>
      </c>
      <c r="D2945" s="36" t="s">
        <v>29661</v>
      </c>
      <c r="E2945" s="36" t="s">
        <v>29662</v>
      </c>
      <c r="F2945" s="36" t="s">
        <v>29663</v>
      </c>
      <c r="G2945" s="36" t="s">
        <v>29664</v>
      </c>
      <c r="H2945" s="36" t="s">
        <v>29665</v>
      </c>
      <c r="I2945" s="36" t="s">
        <v>29666</v>
      </c>
      <c r="J2945" s="36" t="s">
        <v>29667</v>
      </c>
      <c r="K2945" s="36" t="s">
        <v>29668</v>
      </c>
      <c r="L2945" s="36" t="s">
        <v>29669</v>
      </c>
      <c r="M2945" s="36" t="s">
        <v>29670</v>
      </c>
      <c r="N2945" s="36" t="s">
        <v>29671</v>
      </c>
      <c r="O2945" s="36" t="s">
        <v>29672</v>
      </c>
      <c r="P2945" s="36" t="s">
        <v>29659</v>
      </c>
    </row>
    <row r="2946" spans="1:16">
      <c r="A2946" s="139">
        <v>2945</v>
      </c>
      <c r="B2946" s="36" t="s">
        <v>29673</v>
      </c>
      <c r="C2946" s="36" t="s">
        <v>29674</v>
      </c>
      <c r="D2946" s="36" t="s">
        <v>29675</v>
      </c>
      <c r="E2946" s="36" t="s">
        <v>29676</v>
      </c>
      <c r="F2946" s="36" t="s">
        <v>29677</v>
      </c>
      <c r="G2946" s="36" t="s">
        <v>29678</v>
      </c>
      <c r="H2946" s="36" t="s">
        <v>29679</v>
      </c>
      <c r="I2946" s="36" t="s">
        <v>29680</v>
      </c>
      <c r="J2946" s="36" t="s">
        <v>29681</v>
      </c>
      <c r="K2946" s="36" t="s">
        <v>29682</v>
      </c>
      <c r="L2946" s="36" t="s">
        <v>29683</v>
      </c>
      <c r="M2946" s="36" t="s">
        <v>29684</v>
      </c>
      <c r="N2946" s="36" t="s">
        <v>29685</v>
      </c>
      <c r="O2946" s="36" t="s">
        <v>29686</v>
      </c>
      <c r="P2946" s="36" t="s">
        <v>29673</v>
      </c>
    </row>
    <row r="2947" spans="1:16">
      <c r="A2947" s="139">
        <v>2946</v>
      </c>
      <c r="B2947" s="36" t="s">
        <v>29687</v>
      </c>
      <c r="C2947" s="36" t="s">
        <v>29688</v>
      </c>
      <c r="D2947" s="36" t="s">
        <v>29689</v>
      </c>
      <c r="E2947" s="36" t="s">
        <v>29690</v>
      </c>
      <c r="F2947" s="36" t="s">
        <v>29691</v>
      </c>
      <c r="G2947" s="36" t="s">
        <v>29692</v>
      </c>
      <c r="H2947" s="36" t="s">
        <v>29693</v>
      </c>
      <c r="I2947" s="36" t="s">
        <v>29694</v>
      </c>
      <c r="J2947" s="36" t="s">
        <v>29695</v>
      </c>
      <c r="K2947" s="36" t="s">
        <v>29696</v>
      </c>
      <c r="L2947" s="36" t="s">
        <v>29697</v>
      </c>
      <c r="M2947" s="36" t="s">
        <v>29698</v>
      </c>
      <c r="N2947" s="36" t="s">
        <v>29699</v>
      </c>
      <c r="O2947" s="36" t="s">
        <v>29700</v>
      </c>
      <c r="P2947" s="36" t="s">
        <v>29687</v>
      </c>
    </row>
    <row r="2948" spans="1:16">
      <c r="A2948" s="139">
        <v>2947</v>
      </c>
      <c r="B2948" s="36" t="s">
        <v>29701</v>
      </c>
      <c r="C2948" s="36" t="s">
        <v>29702</v>
      </c>
      <c r="D2948" s="36" t="s">
        <v>29703</v>
      </c>
      <c r="E2948" s="36" t="s">
        <v>29704</v>
      </c>
      <c r="F2948" s="36" t="s">
        <v>29705</v>
      </c>
      <c r="G2948" s="36" t="s">
        <v>29706</v>
      </c>
      <c r="H2948" s="36" t="s">
        <v>29707</v>
      </c>
      <c r="I2948" s="36" t="s">
        <v>29708</v>
      </c>
      <c r="J2948" s="36" t="s">
        <v>29709</v>
      </c>
      <c r="K2948" s="36" t="s">
        <v>29710</v>
      </c>
      <c r="L2948" s="36" t="s">
        <v>29711</v>
      </c>
      <c r="M2948" s="36" t="s">
        <v>29712</v>
      </c>
      <c r="N2948" s="36" t="s">
        <v>29713</v>
      </c>
      <c r="O2948" s="36" t="s">
        <v>29714</v>
      </c>
      <c r="P2948" s="36" t="s">
        <v>29701</v>
      </c>
    </row>
    <row r="2949" spans="1:16" ht="14.4">
      <c r="A2949" s="139">
        <v>2948</v>
      </c>
      <c r="B2949" s="36" t="s">
        <v>29715</v>
      </c>
      <c r="C2949" t="s">
        <v>29716</v>
      </c>
      <c r="D2949" t="s">
        <v>29717</v>
      </c>
      <c r="E2949" t="s">
        <v>29718</v>
      </c>
      <c r="F2949" t="s">
        <v>29719</v>
      </c>
      <c r="G2949" t="s">
        <v>29720</v>
      </c>
      <c r="H2949" t="s">
        <v>29721</v>
      </c>
      <c r="I2949" t="s">
        <v>29722</v>
      </c>
      <c r="J2949" t="s">
        <v>29723</v>
      </c>
      <c r="K2949" t="s">
        <v>29724</v>
      </c>
      <c r="L2949" t="s">
        <v>29725</v>
      </c>
      <c r="M2949" t="s">
        <v>29726</v>
      </c>
      <c r="N2949" t="s">
        <v>29727</v>
      </c>
      <c r="O2949" t="s">
        <v>29728</v>
      </c>
      <c r="P2949" s="36" t="s">
        <v>29715</v>
      </c>
    </row>
    <row r="2950" spans="1:16" ht="14.4">
      <c r="A2950" s="139">
        <v>2949</v>
      </c>
      <c r="B2950" s="36" t="s">
        <v>29729</v>
      </c>
      <c r="C2950" t="s">
        <v>29730</v>
      </c>
      <c r="D2950" t="s">
        <v>29731</v>
      </c>
      <c r="E2950" t="s">
        <v>29732</v>
      </c>
      <c r="F2950" t="s">
        <v>29733</v>
      </c>
      <c r="G2950" t="s">
        <v>29734</v>
      </c>
      <c r="H2950" t="s">
        <v>29735</v>
      </c>
      <c r="I2950" t="s">
        <v>29736</v>
      </c>
      <c r="J2950" t="s">
        <v>29737</v>
      </c>
      <c r="K2950" t="s">
        <v>29738</v>
      </c>
      <c r="L2950" t="s">
        <v>29739</v>
      </c>
      <c r="M2950" t="s">
        <v>29740</v>
      </c>
      <c r="N2950" t="s">
        <v>29741</v>
      </c>
      <c r="O2950" t="s">
        <v>29742</v>
      </c>
      <c r="P2950" s="36" t="s">
        <v>29729</v>
      </c>
    </row>
    <row r="2951" spans="1:16" ht="14.4">
      <c r="A2951" s="139">
        <v>2950</v>
      </c>
      <c r="B2951" s="36" t="s">
        <v>29743</v>
      </c>
      <c r="C2951" t="s">
        <v>29744</v>
      </c>
      <c r="D2951" t="s">
        <v>29745</v>
      </c>
      <c r="E2951" t="s">
        <v>29746</v>
      </c>
      <c r="F2951" t="s">
        <v>29747</v>
      </c>
      <c r="G2951" t="s">
        <v>29748</v>
      </c>
      <c r="H2951" t="s">
        <v>29749</v>
      </c>
      <c r="I2951" t="s">
        <v>29750</v>
      </c>
      <c r="J2951" t="s">
        <v>29751</v>
      </c>
      <c r="K2951" t="s">
        <v>29752</v>
      </c>
      <c r="L2951" t="s">
        <v>29753</v>
      </c>
      <c r="M2951" t="s">
        <v>29754</v>
      </c>
      <c r="N2951" t="s">
        <v>29755</v>
      </c>
      <c r="O2951" t="s">
        <v>29756</v>
      </c>
      <c r="P2951" s="36" t="s">
        <v>29743</v>
      </c>
    </row>
    <row r="2952" spans="1:16">
      <c r="A2952" s="139">
        <v>2951</v>
      </c>
      <c r="B2952" s="36" t="s">
        <v>29757</v>
      </c>
      <c r="C2952" s="36" t="s">
        <v>29758</v>
      </c>
      <c r="D2952" s="36" t="s">
        <v>29759</v>
      </c>
      <c r="E2952" s="36" t="s">
        <v>29760</v>
      </c>
      <c r="F2952" s="36" t="s">
        <v>29761</v>
      </c>
      <c r="G2952" s="36" t="s">
        <v>29762</v>
      </c>
      <c r="H2952" s="36" t="s">
        <v>29763</v>
      </c>
      <c r="I2952" s="36" t="s">
        <v>29764</v>
      </c>
      <c r="J2952" s="36" t="s">
        <v>29765</v>
      </c>
      <c r="K2952" s="36" t="s">
        <v>29766</v>
      </c>
      <c r="L2952" s="36" t="s">
        <v>29767</v>
      </c>
      <c r="M2952" s="36" t="s">
        <v>29768</v>
      </c>
      <c r="N2952" s="36" t="s">
        <v>29769</v>
      </c>
      <c r="O2952" s="36" t="s">
        <v>29770</v>
      </c>
      <c r="P2952" s="36" t="s">
        <v>29757</v>
      </c>
    </row>
    <row r="2953" spans="1:16">
      <c r="A2953" s="139">
        <v>2952</v>
      </c>
    </row>
  </sheetData>
  <phoneticPr fontId="44" type="noConversion"/>
  <conditionalFormatting sqref="A2:A2097 B2944:G2945 B2946:XFD2946">
    <cfRule type="expression" dxfId="108" priority="195">
      <formula>ISBLANK(A2)</formula>
    </cfRule>
  </conditionalFormatting>
  <conditionalFormatting sqref="A2157:A2234">
    <cfRule type="expression" dxfId="107" priority="133">
      <formula>ISBLANK(A2157)</formula>
    </cfRule>
  </conditionalFormatting>
  <conditionalFormatting sqref="A2942:A2953">
    <cfRule type="expression" dxfId="106" priority="100">
      <formula>ISBLANK(A2942)</formula>
    </cfRule>
  </conditionalFormatting>
  <conditionalFormatting sqref="A1:B1">
    <cfRule type="expression" dxfId="105" priority="199">
      <formula>ISBLANK(A1)</formula>
    </cfRule>
  </conditionalFormatting>
  <conditionalFormatting sqref="A2099:C2156 F2107:N2156">
    <cfRule type="expression" dxfId="104" priority="160">
      <formula>ISBLANK(A2099)</formula>
    </cfRule>
  </conditionalFormatting>
  <conditionalFormatting sqref="A2235:D2237 F2235:P2237 A2238:A2243 B2242:D2242 F2242:P2242">
    <cfRule type="expression" dxfId="103" priority="141">
      <formula>ISBLANK(A2235)</formula>
    </cfRule>
  </conditionalFormatting>
  <conditionalFormatting sqref="A2244:D2259 A2260">
    <cfRule type="expression" dxfId="102" priority="126">
      <formula>ISBLANK(A2244)</formula>
    </cfRule>
  </conditionalFormatting>
  <conditionalFormatting sqref="A2261:D2941 A2954:D1048576">
    <cfRule type="expression" dxfId="101" priority="120">
      <formula>ISBLANK(A2261)</formula>
    </cfRule>
  </conditionalFormatting>
  <conditionalFormatting sqref="B2:B1931">
    <cfRule type="expression" dxfId="100" priority="55">
      <formula>ISBLANK(B2)</formula>
    </cfRule>
  </conditionalFormatting>
  <conditionalFormatting sqref="B2949:B2952">
    <cfRule type="expression" dxfId="99" priority="2">
      <formula>ISBLANK(B2949)</formula>
    </cfRule>
  </conditionalFormatting>
  <conditionalFormatting sqref="B1933:C2096">
    <cfRule type="expression" dxfId="98" priority="150">
      <formula>ISBLANK(B1933)</formula>
    </cfRule>
  </conditionalFormatting>
  <conditionalFormatting sqref="B2157:C2186">
    <cfRule type="expression" dxfId="97" priority="129">
      <formula>ISBLANK(B2157)</formula>
    </cfRule>
  </conditionalFormatting>
  <conditionalFormatting sqref="B2238:C2271">
    <cfRule type="expression" dxfId="96" priority="123">
      <formula>ISBLANK(B2238)</formula>
    </cfRule>
  </conditionalFormatting>
  <conditionalFormatting sqref="B2942:D2943">
    <cfRule type="expression" dxfId="95" priority="117">
      <formula>ISBLANK(B2942)</formula>
    </cfRule>
  </conditionalFormatting>
  <conditionalFormatting sqref="B2947:K2948 B2953:D2953">
    <cfRule type="expression" dxfId="94" priority="14">
      <formula>ISBLANK(B2947)</formula>
    </cfRule>
  </conditionalFormatting>
  <conditionalFormatting sqref="B2232:P2232">
    <cfRule type="expression" dxfId="93" priority="121">
      <formula>ISBLANK(B2232)</formula>
    </cfRule>
  </conditionalFormatting>
  <conditionalFormatting sqref="C1:C1904">
    <cfRule type="expression" dxfId="92" priority="95">
      <formula>ISBLANK(C1)</formula>
    </cfRule>
  </conditionalFormatting>
  <conditionalFormatting sqref="C1906:C1929">
    <cfRule type="expression" dxfId="91" priority="194">
      <formula>ISBLANK(C1906)</formula>
    </cfRule>
  </conditionalFormatting>
  <conditionalFormatting sqref="C1931">
    <cfRule type="expression" dxfId="90" priority="197">
      <formula>ISBLANK(C1931)</formula>
    </cfRule>
  </conditionalFormatting>
  <conditionalFormatting sqref="C2253:D2258">
    <cfRule type="expression" dxfId="89" priority="124">
      <formula>ISBLANK(C2253)</formula>
    </cfRule>
  </conditionalFormatting>
  <conditionalFormatting sqref="C2952:D2952">
    <cfRule type="expression" dxfId="88" priority="7">
      <formula>ISBLANK(C2952)</formula>
    </cfRule>
  </conditionalFormatting>
  <conditionalFormatting sqref="D1:D1645 N1:N1955">
    <cfRule type="expression" dxfId="87" priority="94">
      <formula>ISBLANK(D1)</formula>
    </cfRule>
  </conditionalFormatting>
  <conditionalFormatting sqref="D1648:D1700">
    <cfRule type="expression" dxfId="86" priority="142">
      <formula>ISBLANK(D1648)</formula>
    </cfRule>
  </conditionalFormatting>
  <conditionalFormatting sqref="D1703:D1705 D1707:D1754 D1756:D1758 D1762:D1778 D1780:D1782 D1784:D1786 D1788:D1790 D1792:D1816">
    <cfRule type="expression" dxfId="85" priority="146">
      <formula>ISBLANK(D1703)</formula>
    </cfRule>
  </conditionalFormatting>
  <conditionalFormatting sqref="D1818:D1919">
    <cfRule type="expression" dxfId="84" priority="145">
      <formula>ISBLANK(D1818)</formula>
    </cfRule>
  </conditionalFormatting>
  <conditionalFormatting sqref="D1921:D1928">
    <cfRule type="expression" dxfId="83" priority="147">
      <formula>ISBLANK(D1921)</formula>
    </cfRule>
  </conditionalFormatting>
  <conditionalFormatting sqref="D1931:D1933">
    <cfRule type="expression" dxfId="82" priority="144">
      <formula>ISBLANK(D1931)</formula>
    </cfRule>
  </conditionalFormatting>
  <conditionalFormatting sqref="D1937:D1970">
    <cfRule type="expression" dxfId="81" priority="143">
      <formula>ISBLANK(D1937)</formula>
    </cfRule>
  </conditionalFormatting>
  <conditionalFormatting sqref="D1972:D2186">
    <cfRule type="expression" dxfId="80" priority="128">
      <formula>ISBLANK(D1972)</formula>
    </cfRule>
  </conditionalFormatting>
  <conditionalFormatting sqref="D2238:D2241 F2238:K2241">
    <cfRule type="expression" dxfId="79" priority="138">
      <formula>ISBLANK(D2238)</formula>
    </cfRule>
  </conditionalFormatting>
  <conditionalFormatting sqref="D2243 F2243:K2243">
    <cfRule type="expression" dxfId="78" priority="135">
      <formula>ISBLANK(D2243)</formula>
    </cfRule>
  </conditionalFormatting>
  <conditionalFormatting sqref="D2260">
    <cfRule type="expression" dxfId="77" priority="122">
      <formula>ISBLANK(D2260)</formula>
    </cfRule>
  </conditionalFormatting>
  <conditionalFormatting sqref="E2235:E2943">
    <cfRule type="expression" dxfId="76" priority="115">
      <formula>ISBLANK(E2235)</formula>
    </cfRule>
  </conditionalFormatting>
  <conditionalFormatting sqref="F1:F1955 L1049:L1425">
    <cfRule type="expression" dxfId="75" priority="92">
      <formula>ISBLANK(F1)</formula>
    </cfRule>
  </conditionalFormatting>
  <conditionalFormatting sqref="F2942:G2943">
    <cfRule type="expression" dxfId="74" priority="116">
      <formula>ISBLANK(F2942)</formula>
    </cfRule>
  </conditionalFormatting>
  <conditionalFormatting sqref="F1956:H2098 C2097:C2098">
    <cfRule type="expression" dxfId="73" priority="164">
      <formula>ISBLANK(C1956)</formula>
    </cfRule>
  </conditionalFormatting>
  <conditionalFormatting sqref="F2101:K2102">
    <cfRule type="expression" dxfId="72" priority="167">
      <formula>ISBLANK(F2101)</formula>
    </cfRule>
  </conditionalFormatting>
  <conditionalFormatting sqref="F2104:K2104">
    <cfRule type="expression" dxfId="71" priority="165">
      <formula>ISBLANK(F2104)</formula>
    </cfRule>
  </conditionalFormatting>
  <conditionalFormatting sqref="F2163:K2164">
    <cfRule type="expression" dxfId="70" priority="152">
      <formula>ISBLANK(F2163)</formula>
    </cfRule>
  </conditionalFormatting>
  <conditionalFormatting sqref="F2168:K2169">
    <cfRule type="expression" dxfId="69" priority="156">
      <formula>ISBLANK(F2168)</formula>
    </cfRule>
  </conditionalFormatting>
  <conditionalFormatting sqref="F2172:K2176">
    <cfRule type="expression" dxfId="68" priority="154">
      <formula>ISBLANK(F2172)</formula>
    </cfRule>
  </conditionalFormatting>
  <conditionalFormatting sqref="F2178:K2185">
    <cfRule type="expression" dxfId="67" priority="131">
      <formula>ISBLANK(F2178)</formula>
    </cfRule>
  </conditionalFormatting>
  <conditionalFormatting sqref="F2952:K2952">
    <cfRule type="expression" dxfId="66" priority="3">
      <formula>ISBLANK(F2952)</formula>
    </cfRule>
  </conditionalFormatting>
  <conditionalFormatting sqref="F2157:O2162">
    <cfRule type="expression" dxfId="65" priority="149">
      <formula>ISBLANK(F2157)</formula>
    </cfRule>
  </conditionalFormatting>
  <conditionalFormatting sqref="F2165:O2167 F2170:P2171">
    <cfRule type="expression" dxfId="64" priority="159">
      <formula>ISBLANK(F2165)</formula>
    </cfRule>
  </conditionalFormatting>
  <conditionalFormatting sqref="F2177:O2177">
    <cfRule type="expression" dxfId="63" priority="148">
      <formula>ISBLANK(F2177)</formula>
    </cfRule>
  </conditionalFormatting>
  <conditionalFormatting sqref="F2099:P2100">
    <cfRule type="expression" dxfId="62" priority="169">
      <formula>ISBLANK(F2099)</formula>
    </cfRule>
  </conditionalFormatting>
  <conditionalFormatting sqref="F2130:P2147">
    <cfRule type="expression" dxfId="61" priority="161">
      <formula>ISBLANK(F2130)</formula>
    </cfRule>
  </conditionalFormatting>
  <conditionalFormatting sqref="F2244:P2941">
    <cfRule type="expression" dxfId="60" priority="119">
      <formula>ISBLANK(F2244)</formula>
    </cfRule>
  </conditionalFormatting>
  <conditionalFormatting sqref="F2953:P1048576">
    <cfRule type="expression" dxfId="59" priority="13">
      <formula>ISBLANK(F2953)</formula>
    </cfRule>
  </conditionalFormatting>
  <conditionalFormatting sqref="G1:G1299">
    <cfRule type="expression" dxfId="58" priority="193">
      <formula>ISBLANK(G1)</formula>
    </cfRule>
  </conditionalFormatting>
  <conditionalFormatting sqref="G1302:G1955">
    <cfRule type="expression" dxfId="57" priority="91">
      <formula>ISBLANK(G1302)</formula>
    </cfRule>
  </conditionalFormatting>
  <conditionalFormatting sqref="H1933:H1955">
    <cfRule type="expression" dxfId="56" priority="190">
      <formula>ISBLANK(H1933)</formula>
    </cfRule>
  </conditionalFormatting>
  <conditionalFormatting sqref="H1:I1931">
    <cfRule type="expression" dxfId="55" priority="90">
      <formula>ISBLANK(H1)</formula>
    </cfRule>
  </conditionalFormatting>
  <conditionalFormatting sqref="H2942:K2945">
    <cfRule type="expression" dxfId="54" priority="99">
      <formula>ISBLANK(H2942)</formula>
    </cfRule>
  </conditionalFormatting>
  <conditionalFormatting sqref="I1933:I2098">
    <cfRule type="expression" dxfId="53" priority="163">
      <formula>ISBLANK(I1933)</formula>
    </cfRule>
  </conditionalFormatting>
  <conditionalFormatting sqref="J1:K1955">
    <cfRule type="expression" dxfId="52" priority="89">
      <formula>ISBLANK(J1)</formula>
    </cfRule>
  </conditionalFormatting>
  <conditionalFormatting sqref="J2040:K2040">
    <cfRule type="expression" dxfId="51" priority="187">
      <formula>ISBLANK(J2040)</formula>
    </cfRule>
  </conditionalFormatting>
  <conditionalFormatting sqref="J2043:K2047">
    <cfRule type="expression" dxfId="50" priority="185">
      <formula>ISBLANK(J2043)</formula>
    </cfRule>
  </conditionalFormatting>
  <conditionalFormatting sqref="J2062:K2063">
    <cfRule type="expression" dxfId="49" priority="180">
      <formula>ISBLANK(J2062)</formula>
    </cfRule>
  </conditionalFormatting>
  <conditionalFormatting sqref="J2068:K2068">
    <cfRule type="expression" dxfId="48" priority="176">
      <formula>ISBLANK(J2068)</formula>
    </cfRule>
  </conditionalFormatting>
  <conditionalFormatting sqref="J2083:K2085">
    <cfRule type="expression" dxfId="47" priority="173">
      <formula>ISBLANK(J2083)</formula>
    </cfRule>
  </conditionalFormatting>
  <conditionalFormatting sqref="J2092:K2093">
    <cfRule type="expression" dxfId="46" priority="171">
      <formula>ISBLANK(J2092)</formula>
    </cfRule>
  </conditionalFormatting>
  <conditionalFormatting sqref="J2050:O2061">
    <cfRule type="expression" dxfId="45" priority="182">
      <formula>ISBLANK(J2050)</formula>
    </cfRule>
  </conditionalFormatting>
  <conditionalFormatting sqref="J1956:P2039">
    <cfRule type="expression" dxfId="44" priority="184">
      <formula>ISBLANK(J1956)</formula>
    </cfRule>
  </conditionalFormatting>
  <conditionalFormatting sqref="J2041:P2041 J2042:O2042 J2048:P2049 A2098:B2098 F2103:P2103 F2105:P2106 F2186:O2186">
    <cfRule type="expression" dxfId="43" priority="189">
      <formula>ISBLANK(A2041)</formula>
    </cfRule>
  </conditionalFormatting>
  <conditionalFormatting sqref="J2064:P2067 J2086:P2091">
    <cfRule type="expression" dxfId="42" priority="178">
      <formula>ISBLANK(J2064)</formula>
    </cfRule>
  </conditionalFormatting>
  <conditionalFormatting sqref="J2069:P2082">
    <cfRule type="expression" dxfId="41" priority="175">
      <formula>ISBLANK(J2069)</formula>
    </cfRule>
  </conditionalFormatting>
  <conditionalFormatting sqref="J2094:P2098 B2097">
    <cfRule type="expression" dxfId="40" priority="170">
      <formula>ISBLANK(B2094)</formula>
    </cfRule>
  </conditionalFormatting>
  <conditionalFormatting sqref="L1 L1427:L1955">
    <cfRule type="expression" dxfId="39" priority="192">
      <formula>ISBLANK(L1)</formula>
    </cfRule>
  </conditionalFormatting>
  <conditionalFormatting sqref="L3:L7">
    <cfRule type="expression" dxfId="38" priority="191">
      <formula>ISBLANK(L3)</formula>
    </cfRule>
  </conditionalFormatting>
  <conditionalFormatting sqref="L2169">
    <cfRule type="expression" dxfId="37" priority="158">
      <formula>ISBLANK(L2169)</formula>
    </cfRule>
  </conditionalFormatting>
  <conditionalFormatting sqref="L2180">
    <cfRule type="expression" dxfId="36" priority="134">
      <formula>ISBLANK(L2180)</formula>
    </cfRule>
  </conditionalFormatting>
  <conditionalFormatting sqref="L2240:L2241">
    <cfRule type="expression" dxfId="35" priority="139">
      <formula>ISBLANK(L2240)</formula>
    </cfRule>
  </conditionalFormatting>
  <conditionalFormatting sqref="L2943">
    <cfRule type="expression" dxfId="34" priority="118">
      <formula>ISBLANK(L2943)</formula>
    </cfRule>
  </conditionalFormatting>
  <conditionalFormatting sqref="M1:M1918">
    <cfRule type="expression" dxfId="33" priority="96">
      <formula>ISBLANK(M1)</formula>
    </cfRule>
  </conditionalFormatting>
  <conditionalFormatting sqref="M1940:M1955">
    <cfRule type="expression" dxfId="32" priority="198">
      <formula>ISBLANK(M1940)</formula>
    </cfRule>
  </conditionalFormatting>
  <conditionalFormatting sqref="M2043:O2047">
    <cfRule type="expression" dxfId="31" priority="186">
      <formula>ISBLANK(M2043)</formula>
    </cfRule>
  </conditionalFormatting>
  <conditionalFormatting sqref="M2062:O2063">
    <cfRule type="expression" dxfId="30" priority="181">
      <formula>ISBLANK(M2062)</formula>
    </cfRule>
  </conditionalFormatting>
  <conditionalFormatting sqref="M2163:O2164">
    <cfRule type="expression" dxfId="29" priority="153">
      <formula>ISBLANK(M2163)</formula>
    </cfRule>
  </conditionalFormatting>
  <conditionalFormatting sqref="M2168:O2169">
    <cfRule type="expression" dxfId="28" priority="157">
      <formula>ISBLANK(M2168)</formula>
    </cfRule>
  </conditionalFormatting>
  <conditionalFormatting sqref="M2172:O2176">
    <cfRule type="expression" dxfId="27" priority="155">
      <formula>ISBLANK(M2172)</formula>
    </cfRule>
  </conditionalFormatting>
  <conditionalFormatting sqref="M2178:O2185">
    <cfRule type="expression" dxfId="26" priority="132">
      <formula>ISBLANK(M2178)</formula>
    </cfRule>
  </conditionalFormatting>
  <conditionalFormatting sqref="M2238:O2241">
    <cfRule type="expression" dxfId="25" priority="140">
      <formula>ISBLANK(M2238)</formula>
    </cfRule>
  </conditionalFormatting>
  <conditionalFormatting sqref="M2243:O2243">
    <cfRule type="expression" dxfId="24" priority="136">
      <formula>ISBLANK(M2243)</formula>
    </cfRule>
  </conditionalFormatting>
  <conditionalFormatting sqref="M2952:O2952 E2952:E1048576">
    <cfRule type="expression" dxfId="23" priority="6">
      <formula>ISBLANK(E2952)</formula>
    </cfRule>
  </conditionalFormatting>
  <conditionalFormatting sqref="M2040:P2040">
    <cfRule type="expression" dxfId="22" priority="188">
      <formula>ISBLANK(M2040)</formula>
    </cfRule>
  </conditionalFormatting>
  <conditionalFormatting sqref="M2068:P2068">
    <cfRule type="expression" dxfId="21" priority="177">
      <formula>ISBLANK(M2068)</formula>
    </cfRule>
  </conditionalFormatting>
  <conditionalFormatting sqref="M2083:P2085">
    <cfRule type="expression" dxfId="20" priority="174">
      <formula>ISBLANK(M2083)</formula>
    </cfRule>
  </conditionalFormatting>
  <conditionalFormatting sqref="M2092:P2093">
    <cfRule type="expression" dxfId="19" priority="172">
      <formula>ISBLANK(M2092)</formula>
    </cfRule>
  </conditionalFormatting>
  <conditionalFormatting sqref="M2101:P2102">
    <cfRule type="expression" dxfId="18" priority="168">
      <formula>ISBLANK(M2101)</formula>
    </cfRule>
  </conditionalFormatting>
  <conditionalFormatting sqref="M2104:P2104">
    <cfRule type="expression" dxfId="17" priority="166">
      <formula>ISBLANK(M2104)</formula>
    </cfRule>
  </conditionalFormatting>
  <conditionalFormatting sqref="M2942:P2945">
    <cfRule type="expression" dxfId="16" priority="98">
      <formula>ISBLANK(M2942)</formula>
    </cfRule>
  </conditionalFormatting>
  <conditionalFormatting sqref="M2947:P2948">
    <cfRule type="expression" dxfId="15" priority="23">
      <formula>ISBLANK(M2947)</formula>
    </cfRule>
  </conditionalFormatting>
  <conditionalFormatting sqref="O1:O1931 E1:E2186">
    <cfRule type="expression" dxfId="14" priority="93">
      <formula>ISBLANK(E1)</formula>
    </cfRule>
  </conditionalFormatting>
  <conditionalFormatting sqref="O1933:O1955">
    <cfRule type="expression" dxfId="13" priority="196">
      <formula>ISBLANK(O1933)</formula>
    </cfRule>
  </conditionalFormatting>
  <conditionalFormatting sqref="O2107:P2129">
    <cfRule type="expression" dxfId="12" priority="162">
      <formula>ISBLANK(O2107)</formula>
    </cfRule>
  </conditionalFormatting>
  <conditionalFormatting sqref="O2148:P2156">
    <cfRule type="expression" dxfId="11" priority="137">
      <formula>ISBLANK(O2148)</formula>
    </cfRule>
  </conditionalFormatting>
  <conditionalFormatting sqref="P1:P1955">
    <cfRule type="expression" dxfId="10" priority="30">
      <formula>ISBLANK(P1)</formula>
    </cfRule>
  </conditionalFormatting>
  <conditionalFormatting sqref="P2042:P2047">
    <cfRule type="expression" dxfId="9" priority="183">
      <formula>ISBLANK(P2042)</formula>
    </cfRule>
  </conditionalFormatting>
  <conditionalFormatting sqref="P2050:P2063">
    <cfRule type="expression" dxfId="8" priority="179">
      <formula>ISBLANK(P2050)</formula>
    </cfRule>
  </conditionalFormatting>
  <conditionalFormatting sqref="P2157:P2169">
    <cfRule type="expression" dxfId="7" priority="151">
      <formula>ISBLANK(P2157)</formula>
    </cfRule>
  </conditionalFormatting>
  <conditionalFormatting sqref="P2172:P2186">
    <cfRule type="expression" dxfId="6" priority="130">
      <formula>ISBLANK(P2172)</formula>
    </cfRule>
  </conditionalFormatting>
  <conditionalFormatting sqref="P2238:P2245">
    <cfRule type="expression" dxfId="5" priority="127">
      <formula>ISBLANK(P2238)</formula>
    </cfRule>
  </conditionalFormatting>
  <conditionalFormatting sqref="P2249">
    <cfRule type="expression" dxfId="4" priority="125">
      <formula>ISBLANK(P2249)</formula>
    </cfRule>
  </conditionalFormatting>
  <conditionalFormatting sqref="P2949:P2952">
    <cfRule type="expression" dxfId="3" priority="1">
      <formula>ISBLANK(P2949)</formula>
    </cfRule>
  </conditionalFormatting>
  <conditionalFormatting sqref="Q1:XFD1931">
    <cfRule type="expression" dxfId="2" priority="200">
      <formula>ISBLANK(Q1)</formula>
    </cfRule>
  </conditionalFormatting>
  <conditionalFormatting sqref="Q1933:XFD2945">
    <cfRule type="expression" dxfId="1" priority="101">
      <formula>ISBLANK(Q1933)</formula>
    </cfRule>
  </conditionalFormatting>
  <conditionalFormatting sqref="Q2947:XFD1048576">
    <cfRule type="expression" dxfId="0" priority="12">
      <formula>ISBLANK(Q2947)</formula>
    </cfRule>
  </conditionalFormatting>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2"/>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bestFit="1" customWidth="1"/>
    <col min="14" max="14" width="9.6640625" style="1" customWidth="1"/>
    <col min="15" max="15" width="14.6640625" style="1" customWidth="1"/>
    <col min="16" max="16" width="2.6640625" style="5" hidden="1" customWidth="1"/>
    <col min="17" max="17" width="9.6640625" style="5" hidden="1" customWidth="1"/>
    <col min="18" max="28" width="9.6640625" style="195" hidden="1" customWidth="1"/>
    <col min="29" max="29" width="9.6640625" style="152" hidden="1" customWidth="1"/>
    <col min="30" max="30" width="27.6640625" style="9" hidden="1" customWidth="1"/>
    <col min="31" max="31" width="26.88671875" style="1" hidden="1" customWidth="1"/>
    <col min="32" max="33" width="6.44140625" style="1" hidden="1" customWidth="1"/>
    <col min="34" max="34" width="9.33203125" style="1" hidden="1" customWidth="1"/>
    <col min="35" max="35" width="12.44140625" style="1" hidden="1" customWidth="1"/>
    <col min="36" max="36" width="12.88671875" style="1" hidden="1" customWidth="1"/>
    <col min="37" max="37" width="11" style="1" hidden="1" customWidth="1"/>
    <col min="38" max="38" width="14.44140625" style="1" hidden="1" customWidth="1"/>
    <col min="39" max="39" width="13.6640625" style="1" hidden="1" customWidth="1"/>
    <col min="40" max="40" width="15.44140625" style="1" hidden="1" customWidth="1"/>
    <col min="41" max="201" width="12.44140625" style="1" hidden="1" customWidth="1"/>
    <col min="202" max="474" width="11.6640625" style="1" hidden="1" customWidth="1"/>
    <col min="475" max="16384" width="1.33203125" style="1" hidden="1"/>
  </cols>
  <sheetData>
    <row r="1" spans="1:31" ht="28.2">
      <c r="N1" s="2" t="str">
        <f>VLOOKUP(279,Sprachindex!$A:$Z,Info!$O$7,FALSE)</f>
        <v>Dachsysteme</v>
      </c>
    </row>
    <row r="2" spans="1:31" ht="28.2">
      <c r="D2" s="18"/>
      <c r="N2" s="2" t="str">
        <f>VLOOKUP(261,Sprachindex!$A:$Z,Info!$O$7,FALSE)</f>
        <v>Dachplatte</v>
      </c>
    </row>
    <row r="3" spans="1:31" ht="15" customHeight="1">
      <c r="F3" s="70"/>
      <c r="G3" s="70"/>
      <c r="H3" s="70"/>
      <c r="I3" s="70"/>
      <c r="J3" s="70"/>
      <c r="K3" s="70"/>
      <c r="L3" s="70"/>
      <c r="M3" s="70"/>
      <c r="N3" s="70"/>
      <c r="O3" s="70"/>
      <c r="P3" s="71"/>
      <c r="Q3" s="71"/>
    </row>
    <row r="4" spans="1:31" ht="16.95" customHeight="1">
      <c r="F4" s="70"/>
      <c r="G4" s="70"/>
      <c r="H4" s="70"/>
      <c r="I4" s="70"/>
      <c r="J4" s="70"/>
      <c r="K4" s="70"/>
      <c r="L4" s="70"/>
      <c r="M4" s="70"/>
      <c r="N4" s="204"/>
      <c r="O4" s="70"/>
      <c r="P4" s="71"/>
      <c r="Q4" s="71"/>
      <c r="AE4" s="3"/>
    </row>
    <row r="5" spans="1:31" ht="16.95" customHeight="1">
      <c r="F5" s="70"/>
      <c r="G5" s="70"/>
      <c r="H5" s="70"/>
      <c r="I5" s="70"/>
      <c r="J5" s="70"/>
      <c r="K5" s="70"/>
      <c r="L5" s="70"/>
      <c r="M5" s="70"/>
      <c r="N5" s="204"/>
      <c r="O5" s="70"/>
      <c r="P5" s="71"/>
      <c r="Q5" s="71"/>
      <c r="AD5" s="5"/>
      <c r="AE5" s="3"/>
    </row>
    <row r="6" spans="1:31" ht="16.95" customHeight="1">
      <c r="F6" s="70"/>
      <c r="G6" s="70"/>
      <c r="H6" s="70"/>
      <c r="I6" s="70"/>
      <c r="J6" s="70"/>
      <c r="K6" s="70"/>
      <c r="L6" s="70"/>
      <c r="M6" s="70"/>
      <c r="N6" s="204"/>
      <c r="O6" s="70"/>
      <c r="P6" s="99"/>
      <c r="Q6" s="99"/>
      <c r="AD6" s="5"/>
      <c r="AE6" s="3"/>
    </row>
    <row r="7" spans="1:31" ht="16.95" customHeight="1">
      <c r="F7" s="70"/>
      <c r="G7" s="70"/>
      <c r="H7" s="70"/>
      <c r="I7" s="70"/>
      <c r="J7" s="70"/>
      <c r="K7" s="70"/>
      <c r="L7" s="70"/>
      <c r="M7" s="70"/>
      <c r="N7" s="204"/>
      <c r="O7" s="70"/>
      <c r="P7" s="99"/>
      <c r="Q7" s="99"/>
      <c r="AD7" s="5"/>
      <c r="AE7" s="5"/>
    </row>
    <row r="8" spans="1:31" s="5" customFormat="1" ht="16.95" customHeight="1">
      <c r="A8" s="194" t="str">
        <f>VLOOKUP(393,Sprachindex!$A:$Z,Info!$O$7,FALSE)</f>
        <v>Firma / Besteller:</v>
      </c>
      <c r="B8" s="1"/>
      <c r="C8" s="1"/>
      <c r="D8" s="1"/>
      <c r="E8" s="1"/>
      <c r="F8" s="70"/>
      <c r="G8" s="70"/>
      <c r="H8" s="70"/>
      <c r="I8" s="70"/>
      <c r="J8" s="70"/>
      <c r="K8" s="70"/>
      <c r="L8" s="70"/>
      <c r="M8" s="70"/>
      <c r="N8" s="70"/>
      <c r="O8" s="70"/>
      <c r="P8" s="71"/>
      <c r="Q8" s="71"/>
      <c r="R8" s="195"/>
      <c r="S8" s="195"/>
      <c r="T8" s="195"/>
      <c r="U8" s="195"/>
      <c r="V8" s="195"/>
      <c r="W8" s="195"/>
      <c r="X8" s="195"/>
      <c r="Y8" s="195"/>
      <c r="Z8" s="195"/>
      <c r="AA8" s="195"/>
      <c r="AB8" s="195"/>
      <c r="AC8" s="152"/>
    </row>
    <row r="9" spans="1:31" s="5" customFormat="1" ht="15" customHeight="1">
      <c r="A9" s="1"/>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M9" s="69"/>
      <c r="N9" s="69"/>
      <c r="O9" s="70"/>
      <c r="P9" s="99">
        <v>0</v>
      </c>
      <c r="Q9" s="99"/>
      <c r="R9" s="195"/>
      <c r="S9" s="195"/>
      <c r="T9" s="195"/>
      <c r="U9" s="195"/>
      <c r="V9" s="195"/>
      <c r="W9" s="195"/>
      <c r="X9" s="195"/>
      <c r="Y9" s="195"/>
      <c r="Z9" s="195"/>
      <c r="AA9" s="195"/>
      <c r="AB9" s="195"/>
      <c r="AC9" s="166"/>
    </row>
    <row r="10" spans="1:31" s="5" customFormat="1" ht="15" customHeight="1">
      <c r="A10" s="1"/>
      <c r="B10" s="74" t="str">
        <f>VLOOKUP(884,Sprachindex!$A:$Z,Info!$O$7,FALSE)</f>
        <v>Straße:</v>
      </c>
      <c r="C10" s="585"/>
      <c r="D10" s="586"/>
      <c r="E10" s="587"/>
      <c r="F10" s="70"/>
      <c r="G10" s="70"/>
      <c r="H10" s="70"/>
      <c r="I10" s="70"/>
      <c r="J10" s="71">
        <v>1</v>
      </c>
      <c r="K10" s="70"/>
      <c r="L10" s="70"/>
      <c r="M10" s="70"/>
      <c r="N10" s="70"/>
      <c r="O10" s="70"/>
      <c r="P10" s="71"/>
      <c r="Q10" s="71"/>
      <c r="R10" s="195"/>
      <c r="S10" s="195"/>
      <c r="T10" s="195"/>
      <c r="U10" s="195"/>
      <c r="V10" s="195"/>
      <c r="W10" s="195"/>
      <c r="X10" s="195"/>
      <c r="Y10" s="195"/>
      <c r="Z10" s="195"/>
      <c r="AA10" s="195"/>
      <c r="AB10" s="195"/>
      <c r="AC10" s="152"/>
    </row>
    <row r="11" spans="1:31" s="5" customFormat="1" ht="15" customHeight="1">
      <c r="A11" s="1"/>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69"/>
      <c r="N11" s="69"/>
      <c r="O11" s="70"/>
      <c r="P11" s="53"/>
      <c r="Q11" s="53"/>
      <c r="R11" s="195"/>
      <c r="S11" s="195"/>
      <c r="T11" s="195"/>
      <c r="U11" s="195"/>
      <c r="V11" s="195"/>
      <c r="W11" s="195"/>
      <c r="X11" s="195"/>
      <c r="Y11" s="195"/>
      <c r="Z11" s="195"/>
      <c r="AA11" s="195"/>
      <c r="AB11" s="195"/>
      <c r="AC11" s="166"/>
    </row>
    <row r="12" spans="1:31" s="5" customFormat="1" ht="15" customHeight="1">
      <c r="A12" s="1"/>
      <c r="B12" s="70"/>
      <c r="C12" s="70"/>
      <c r="D12" s="70"/>
      <c r="E12" s="70"/>
      <c r="F12" s="70"/>
      <c r="G12" s="70"/>
      <c r="H12" s="70"/>
      <c r="I12" s="74"/>
      <c r="J12" s="71">
        <v>1</v>
      </c>
      <c r="K12" s="70"/>
      <c r="L12" s="70"/>
      <c r="M12" s="70"/>
      <c r="N12" s="70"/>
      <c r="O12" s="70"/>
      <c r="P12" s="71"/>
      <c r="Q12" s="71"/>
      <c r="R12" s="195"/>
      <c r="S12" s="195"/>
      <c r="T12" s="195"/>
      <c r="U12" s="195"/>
      <c r="V12" s="195"/>
      <c r="W12" s="195"/>
      <c r="X12" s="195"/>
      <c r="Y12" s="195"/>
      <c r="Z12" s="195"/>
      <c r="AA12" s="195"/>
      <c r="AB12" s="195"/>
      <c r="AC12" s="152"/>
    </row>
    <row r="13" spans="1:31" s="5" customFormat="1" ht="15" customHeight="1">
      <c r="A13" s="1"/>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69"/>
      <c r="N13" s="69"/>
      <c r="O13" s="70"/>
      <c r="P13" s="99"/>
      <c r="Q13" s="99"/>
      <c r="R13" s="195"/>
      <c r="S13" s="195"/>
      <c r="T13" s="195"/>
      <c r="U13" s="195"/>
      <c r="V13" s="195"/>
      <c r="W13" s="195"/>
      <c r="X13" s="195"/>
      <c r="Y13" s="195"/>
      <c r="Z13" s="195"/>
      <c r="AA13" s="195"/>
      <c r="AB13" s="195"/>
      <c r="AC13" s="167"/>
    </row>
    <row r="14" spans="1:31" s="5" customFormat="1" ht="15" customHeight="1">
      <c r="A14" s="1"/>
      <c r="B14" s="74" t="str">
        <f>VLOOKUP(901,Sprachindex!$A:$Z,Info!$O$7,FALSE)</f>
        <v>Telefon:</v>
      </c>
      <c r="C14" s="585"/>
      <c r="D14" s="586"/>
      <c r="E14" s="587"/>
      <c r="F14" s="70"/>
      <c r="G14" s="70"/>
      <c r="H14" s="70"/>
      <c r="I14" s="70"/>
      <c r="J14" s="70"/>
      <c r="K14" s="70"/>
      <c r="L14" s="70"/>
      <c r="M14" s="70"/>
      <c r="N14" s="70"/>
      <c r="O14" s="70"/>
      <c r="P14" s="71"/>
      <c r="Q14" s="71"/>
      <c r="R14" s="195"/>
      <c r="S14" s="195"/>
      <c r="T14" s="195"/>
      <c r="U14" s="195"/>
      <c r="V14" s="195"/>
      <c r="W14" s="195"/>
      <c r="X14" s="195"/>
      <c r="Y14" s="195"/>
      <c r="Z14" s="195"/>
      <c r="AA14" s="195"/>
      <c r="AB14" s="195"/>
      <c r="AC14" s="152"/>
    </row>
    <row r="15" spans="1:31" s="5" customFormat="1" ht="15" customHeight="1">
      <c r="A15" s="1"/>
      <c r="B15" s="74" t="str">
        <f>VLOOKUP(1698,Sprachindex!$A:$Z,Info!$O$7,FALSE)</f>
        <v>eMail:</v>
      </c>
      <c r="C15" s="585"/>
      <c r="D15" s="586"/>
      <c r="E15" s="587"/>
      <c r="F15" s="70"/>
      <c r="G15" s="94" t="str">
        <f>VLOOKUP(385,Sprachindex!$A:$Z,Info!$O$7,FALSE)</f>
        <v>Farbe:</v>
      </c>
      <c r="H15" s="70"/>
      <c r="I15" s="70"/>
      <c r="J15" s="70"/>
      <c r="K15" s="70"/>
      <c r="L15" s="70"/>
      <c r="M15" s="70"/>
      <c r="N15" s="70"/>
      <c r="O15" s="70"/>
      <c r="P15" s="71"/>
      <c r="Q15" s="71"/>
      <c r="R15" s="195"/>
      <c r="S15" s="195"/>
      <c r="T15" s="195"/>
      <c r="U15" s="195"/>
      <c r="V15" s="195"/>
      <c r="W15" s="195"/>
      <c r="X15" s="195"/>
      <c r="Y15" s="195"/>
      <c r="Z15" s="195"/>
      <c r="AA15" s="195"/>
      <c r="AB15" s="195"/>
      <c r="AC15" s="152"/>
      <c r="AD15" s="152"/>
    </row>
    <row r="16" spans="1:31" s="5" customFormat="1" ht="15" customHeight="1">
      <c r="A16" s="1"/>
      <c r="B16" s="70"/>
      <c r="C16" s="70"/>
      <c r="D16" s="70"/>
      <c r="E16" s="70"/>
      <c r="F16" s="195"/>
      <c r="G16" s="70" t="str">
        <f>VLOOKUP(25,Sprachindex!$A:$Z,Info!$O$7,FALSE)</f>
        <v>01 P.10 Braun</v>
      </c>
      <c r="H16" s="70"/>
      <c r="I16" s="195"/>
      <c r="J16" s="69" t="str">
        <f>VLOOKUP(37,Sprachindex!$A:$Z,Info!$O$7,FALSE)</f>
        <v>07 P.10 Hellgrau</v>
      </c>
      <c r="K16" s="70"/>
      <c r="L16" s="70"/>
      <c r="M16" s="70"/>
      <c r="N16" s="70"/>
      <c r="O16" s="70"/>
      <c r="P16" s="71"/>
      <c r="Q16" s="71"/>
      <c r="R16" s="195"/>
      <c r="S16" s="195"/>
      <c r="T16" s="195"/>
      <c r="U16" s="195"/>
      <c r="V16" s="195"/>
      <c r="W16" s="195"/>
      <c r="X16" s="195"/>
      <c r="Y16" s="195"/>
      <c r="Z16" s="195"/>
      <c r="AA16" s="195"/>
      <c r="AB16" s="195"/>
      <c r="AC16" s="152"/>
      <c r="AD16" s="135"/>
    </row>
    <row r="17" spans="1:192" s="5" customFormat="1" ht="15" customHeight="1">
      <c r="A17" s="194" t="str">
        <f>VLOOKUP(580,Sprachindex!$A:$Z,Info!$O$7,FALSE)</f>
        <v>Lieferadresse:</v>
      </c>
      <c r="B17" s="70"/>
      <c r="C17" s="70"/>
      <c r="D17" s="70"/>
      <c r="E17" s="70"/>
      <c r="F17" s="195"/>
      <c r="G17" s="70" t="str">
        <f>VLOOKUP(27,Sprachindex!$A:$Z,Info!$O$7,FALSE)</f>
        <v>02 P.10 Anthrazit</v>
      </c>
      <c r="H17" s="70"/>
      <c r="I17" s="195"/>
      <c r="J17" s="72" t="str">
        <f>VLOOKUP(51,Sprachindex!$A:$Z,Info!$O$7,FALSE)</f>
        <v>11 P.10 Nussbraun</v>
      </c>
      <c r="K17" s="70"/>
      <c r="L17" s="70"/>
      <c r="M17" s="70"/>
      <c r="N17" s="70"/>
      <c r="O17" s="70"/>
      <c r="P17" s="71"/>
      <c r="Q17" s="71"/>
      <c r="R17" s="195"/>
      <c r="S17" s="195"/>
      <c r="T17" s="195"/>
      <c r="U17" s="195"/>
      <c r="V17" s="195"/>
      <c r="W17" s="195"/>
      <c r="X17" s="195"/>
      <c r="Y17" s="195"/>
      <c r="Z17" s="195"/>
      <c r="AA17" s="195"/>
      <c r="AB17" s="195"/>
      <c r="AC17" s="152"/>
      <c r="AD17" s="55"/>
    </row>
    <row r="18" spans="1:192" s="5" customFormat="1" ht="15" customHeight="1">
      <c r="A18" s="1"/>
      <c r="B18" s="74" t="str">
        <f>VLOOKUP(622,Sprachindex!$A:$Z,Info!$O$7,FALSE)</f>
        <v>Name:</v>
      </c>
      <c r="C18" s="585"/>
      <c r="D18" s="586"/>
      <c r="E18" s="587"/>
      <c r="F18" s="195"/>
      <c r="G18" s="70" t="str">
        <f>VLOOKUP(28,Sprachindex!$A:$Z,Info!$O$7,FALSE)</f>
        <v>03 P.10 Schwarz</v>
      </c>
      <c r="H18" s="70"/>
      <c r="I18" s="195"/>
      <c r="J18" s="72" t="str">
        <f>VLOOKUP(63,Sprachindex!$A:$Z,Info!$O$7,FALSE)</f>
        <v>19 P.10 Dunkelgrau</v>
      </c>
      <c r="K18" s="70"/>
      <c r="L18" s="70"/>
      <c r="M18" s="70"/>
      <c r="N18" s="70"/>
      <c r="O18" s="70"/>
      <c r="P18" s="95"/>
      <c r="Q18" s="95"/>
      <c r="R18" s="195"/>
      <c r="S18" s="195"/>
      <c r="T18" s="195"/>
      <c r="U18" s="195"/>
      <c r="V18" s="195"/>
      <c r="W18" s="195"/>
      <c r="X18" s="195"/>
      <c r="Y18" s="195"/>
      <c r="Z18" s="195"/>
      <c r="AA18" s="195"/>
      <c r="AB18" s="195"/>
      <c r="AC18" s="152"/>
      <c r="AD18" s="54"/>
      <c r="AE18" s="14"/>
    </row>
    <row r="19" spans="1:192" s="5" customFormat="1" ht="15" customHeight="1">
      <c r="A19" s="1"/>
      <c r="B19" s="74" t="str">
        <f>VLOOKUP(540,Sprachindex!$A:$Z,Info!$O$7,FALSE)</f>
        <v>Kommission:</v>
      </c>
      <c r="C19" s="585"/>
      <c r="D19" s="586"/>
      <c r="E19" s="587"/>
      <c r="F19" s="195"/>
      <c r="G19" s="70" t="str">
        <f>VLOOKUP(30,Sprachindex!$A:$Z,Info!$O$7,FALSE)</f>
        <v>04 P.10 Ziegelrot</v>
      </c>
      <c r="H19" s="70"/>
      <c r="I19" s="195"/>
      <c r="J19" s="72" t="str">
        <f>VLOOKUP(110,Sprachindex!$A:$Z,Info!$O$7,FALSE)</f>
        <v>43 P.10 Steingrau</v>
      </c>
      <c r="K19" s="70"/>
      <c r="L19" s="70"/>
      <c r="M19" s="70"/>
      <c r="N19" s="70"/>
      <c r="O19" s="70"/>
      <c r="P19" s="71"/>
      <c r="Q19" s="71"/>
      <c r="R19" s="195"/>
      <c r="S19" s="195"/>
      <c r="T19" s="195"/>
      <c r="U19" s="195"/>
      <c r="V19" s="195"/>
      <c r="W19" s="195"/>
      <c r="X19" s="195"/>
      <c r="Y19" s="195"/>
      <c r="Z19" s="195"/>
      <c r="AA19" s="195"/>
      <c r="AB19" s="195"/>
      <c r="AC19" s="152"/>
      <c r="AD19" s="54"/>
      <c r="AE19" s="14"/>
    </row>
    <row r="20" spans="1:192" s="5" customFormat="1" ht="15" customHeight="1">
      <c r="A20" s="1"/>
      <c r="B20" s="74" t="str">
        <f>VLOOKUP(884,Sprachindex!$A:$Z,Info!$O$7,FALSE)</f>
        <v>Straße:</v>
      </c>
      <c r="C20" s="585"/>
      <c r="D20" s="586"/>
      <c r="E20" s="587"/>
      <c r="F20" s="195"/>
      <c r="G20" s="70" t="str">
        <f>VLOOKUP(33,Sprachindex!$A:$Z,Info!$O$7,FALSE)</f>
        <v>05 P.10 Oxydrot</v>
      </c>
      <c r="H20" s="70"/>
      <c r="I20" s="70"/>
      <c r="J20" s="72"/>
      <c r="K20" s="70"/>
      <c r="L20" s="71"/>
      <c r="M20" s="71"/>
      <c r="N20" s="71"/>
      <c r="O20" s="70"/>
      <c r="P20" s="71"/>
      <c r="Q20" s="71"/>
      <c r="R20" s="195"/>
      <c r="S20" s="195"/>
      <c r="T20" s="195"/>
      <c r="U20" s="195"/>
      <c r="V20" s="195"/>
      <c r="W20" s="195"/>
      <c r="X20" s="195"/>
      <c r="Y20" s="195"/>
      <c r="Z20" s="195"/>
      <c r="AA20" s="195"/>
      <c r="AB20" s="195"/>
      <c r="AC20" s="152"/>
      <c r="AD20" s="54"/>
      <c r="AE20" s="14"/>
    </row>
    <row r="21" spans="1:192" s="5" customFormat="1" ht="15" customHeight="1">
      <c r="A21" s="1"/>
      <c r="B21" s="74" t="str">
        <f>VLOOKUP(641,Sprachindex!$A:$Z,Info!$O$7,FALSE)</f>
        <v>Ort:</v>
      </c>
      <c r="C21" s="585"/>
      <c r="D21" s="586"/>
      <c r="E21" s="587"/>
      <c r="F21" s="195"/>
      <c r="G21" s="70" t="str">
        <f>VLOOKUP(35,Sprachindex!$A:$Z,Info!$O$7,FALSE)</f>
        <v>06 P.10 Moosgrün</v>
      </c>
      <c r="H21" s="70"/>
      <c r="I21" s="95"/>
      <c r="J21" s="73"/>
      <c r="K21" s="73"/>
      <c r="L21" s="70"/>
      <c r="M21" s="70"/>
      <c r="N21" s="70"/>
      <c r="O21" s="70"/>
      <c r="P21" s="178">
        <v>0</v>
      </c>
      <c r="Q21" s="178"/>
      <c r="R21" s="195"/>
      <c r="S21" s="195"/>
      <c r="T21" s="195"/>
      <c r="U21" s="195"/>
      <c r="V21" s="195"/>
      <c r="W21" s="195"/>
      <c r="X21" s="195"/>
      <c r="Y21" s="195"/>
      <c r="Z21" s="195"/>
      <c r="AA21" s="195"/>
      <c r="AB21" s="195"/>
      <c r="AC21" s="152"/>
      <c r="AD21" s="54"/>
      <c r="AE21" s="14"/>
    </row>
    <row r="22" spans="1:192" s="5" customFormat="1" ht="15" customHeight="1">
      <c r="A22" s="1"/>
      <c r="B22" s="74"/>
      <c r="C22" s="70"/>
      <c r="D22" s="70"/>
      <c r="E22" s="70"/>
      <c r="F22" s="74"/>
      <c r="G22" s="70"/>
      <c r="H22" s="70"/>
      <c r="I22" s="95"/>
      <c r="J22" s="70"/>
      <c r="K22" s="70"/>
      <c r="L22" s="70"/>
      <c r="M22" s="70"/>
      <c r="N22" s="70"/>
      <c r="O22" s="70"/>
      <c r="P22" s="71"/>
      <c r="Q22" s="71"/>
      <c r="R22" s="195"/>
      <c r="S22" s="195"/>
      <c r="T22" s="195"/>
      <c r="U22" s="195"/>
      <c r="V22" s="195"/>
      <c r="W22" s="195"/>
      <c r="X22" s="195"/>
      <c r="Y22" s="195"/>
      <c r="Z22" s="195"/>
      <c r="AA22" s="195"/>
      <c r="AB22" s="195"/>
      <c r="AC22" s="152"/>
      <c r="AE22" s="14"/>
    </row>
    <row r="23" spans="1:192" s="5" customFormat="1" ht="15" customHeight="1">
      <c r="A23" s="194"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0"/>
      <c r="P23" s="71"/>
      <c r="Q23" s="71"/>
      <c r="R23" s="195"/>
      <c r="S23" s="195"/>
      <c r="T23" s="195"/>
      <c r="U23" s="195"/>
      <c r="V23" s="195"/>
      <c r="W23" s="195"/>
      <c r="X23" s="195"/>
      <c r="Y23" s="195"/>
      <c r="Z23" s="195"/>
      <c r="AA23" s="195"/>
      <c r="AB23" s="195"/>
      <c r="AC23" s="152"/>
      <c r="AD23" s="54"/>
      <c r="AE23" s="14"/>
    </row>
    <row r="24" spans="1:192" s="5" customFormat="1" ht="15" customHeight="1">
      <c r="A24" s="1"/>
      <c r="B24" s="584" t="str">
        <f>VLOOKUP(1430,Sprachindex!$A:$Z,Info!$O$7,FALSE)</f>
        <v>Beschreibung</v>
      </c>
      <c r="C24" s="585"/>
      <c r="D24" s="586"/>
      <c r="E24" s="587"/>
      <c r="F24" s="70"/>
      <c r="G24" s="88"/>
      <c r="H24" s="74" t="str">
        <f>VLOOKUP(1429,Sprachindex!$A:$Z,Info!$O$7,FALSE)</f>
        <v>Bearbeiter:</v>
      </c>
      <c r="I24" s="450"/>
      <c r="J24" s="70"/>
      <c r="K24" s="70"/>
      <c r="L24" s="70"/>
      <c r="M24" s="70"/>
      <c r="N24" s="70"/>
      <c r="O24" s="70"/>
      <c r="P24" s="71"/>
      <c r="Q24" s="71"/>
      <c r="R24" s="195"/>
      <c r="S24" s="195"/>
      <c r="T24" s="195"/>
      <c r="U24" s="195"/>
      <c r="V24" s="195"/>
      <c r="W24" s="195"/>
      <c r="X24" s="195"/>
      <c r="Y24" s="195"/>
      <c r="Z24" s="195"/>
      <c r="AA24" s="195"/>
      <c r="AB24" s="195"/>
      <c r="AC24" s="152"/>
      <c r="AD24" s="54"/>
      <c r="AE24" s="14"/>
    </row>
    <row r="25" spans="1:192" s="5" customFormat="1" ht="15" customHeight="1">
      <c r="A25" s="1"/>
      <c r="B25" s="584"/>
      <c r="C25" s="585"/>
      <c r="D25" s="586"/>
      <c r="E25" s="587"/>
      <c r="F25" s="70"/>
      <c r="G25" s="88"/>
      <c r="H25" s="74" t="str">
        <f>VLOOKUP(2243,Sprachindex!$A:$Z,Info!$O$7,FALSE)</f>
        <v>Projekt-ID:</v>
      </c>
      <c r="I25" s="450"/>
      <c r="J25" s="70"/>
      <c r="K25" s="70"/>
      <c r="L25" s="70"/>
      <c r="M25" s="70"/>
      <c r="N25" s="70"/>
      <c r="O25" s="70"/>
      <c r="P25" s="71"/>
      <c r="Q25" s="71"/>
      <c r="R25" s="195"/>
      <c r="S25" s="195"/>
      <c r="T25" s="195"/>
      <c r="U25" s="195"/>
      <c r="V25" s="195"/>
      <c r="W25" s="195"/>
      <c r="X25" s="195"/>
      <c r="Y25" s="195"/>
      <c r="Z25" s="195"/>
      <c r="AA25" s="195"/>
      <c r="AB25" s="195"/>
      <c r="AC25" s="152"/>
      <c r="AD25" s="54"/>
      <c r="AE25" s="14"/>
    </row>
    <row r="26" spans="1:192" s="5" customFormat="1" ht="15" customHeight="1">
      <c r="A26" s="1"/>
      <c r="B26" s="584"/>
      <c r="C26" s="585"/>
      <c r="D26" s="586"/>
      <c r="E26" s="587"/>
      <c r="F26" s="70"/>
      <c r="G26" s="88"/>
      <c r="H26" s="74" t="str">
        <f>VLOOKUP(286,Sprachindex!$A:$Z,Info!$O$7,FALSE)</f>
        <v>Datum:</v>
      </c>
      <c r="I26" s="550">
        <f ca="1">TODAY()</f>
        <v>45580</v>
      </c>
      <c r="J26" s="70"/>
      <c r="K26" s="70"/>
      <c r="L26" s="70"/>
      <c r="M26" s="70"/>
      <c r="N26" s="70"/>
      <c r="O26" s="70"/>
      <c r="P26" s="71"/>
      <c r="Q26" s="71"/>
      <c r="R26" s="195"/>
      <c r="S26" s="195"/>
      <c r="T26" s="195"/>
      <c r="U26" s="195"/>
      <c r="V26" s="195"/>
      <c r="W26" s="195"/>
      <c r="X26" s="195"/>
      <c r="Y26" s="195"/>
      <c r="Z26" s="195"/>
      <c r="AA26" s="195"/>
      <c r="AB26" s="195"/>
      <c r="AC26" s="152"/>
      <c r="AD26" s="54"/>
      <c r="AE26" s="14"/>
      <c r="AH26" s="135"/>
    </row>
    <row r="27" spans="1:192" s="5" customFormat="1" ht="15" customHeight="1">
      <c r="A27" s="1"/>
      <c r="B27" s="584"/>
      <c r="C27" s="585"/>
      <c r="D27" s="586"/>
      <c r="E27" s="587"/>
      <c r="F27" s="70"/>
      <c r="L27" s="70"/>
      <c r="M27" s="70"/>
      <c r="N27" s="70"/>
      <c r="O27" s="70"/>
      <c r="P27" s="71"/>
      <c r="Q27" s="71"/>
      <c r="R27" s="195"/>
      <c r="S27" s="195"/>
      <c r="T27" s="195"/>
      <c r="U27" s="195"/>
      <c r="V27" s="195"/>
      <c r="W27" s="195"/>
      <c r="X27" s="195"/>
      <c r="Y27" s="195"/>
      <c r="Z27" s="195"/>
      <c r="AA27" s="195"/>
      <c r="AB27" s="195"/>
      <c r="AC27" s="152"/>
      <c r="AD27" s="54"/>
      <c r="AE27" s="14"/>
      <c r="AH27" s="135"/>
    </row>
    <row r="28" spans="1:192" s="5" customFormat="1" ht="15" customHeight="1">
      <c r="A28" s="1"/>
      <c r="B28" s="74"/>
      <c r="C28" s="70"/>
      <c r="D28" s="70"/>
      <c r="E28" s="70"/>
      <c r="F28" s="70"/>
      <c r="G28" s="70"/>
      <c r="H28" s="70"/>
      <c r="I28" s="95"/>
      <c r="J28" s="70"/>
      <c r="K28" s="70"/>
      <c r="L28" s="70"/>
      <c r="M28" s="70"/>
      <c r="N28" s="70"/>
      <c r="O28" s="70"/>
      <c r="P28" s="71"/>
      <c r="Q28" s="71"/>
      <c r="R28" s="195"/>
      <c r="S28" s="195"/>
      <c r="T28" s="195"/>
      <c r="U28" s="195"/>
      <c r="V28" s="195"/>
      <c r="W28" s="195"/>
      <c r="X28" s="195"/>
      <c r="Y28" s="195"/>
      <c r="Z28" s="195"/>
      <c r="AA28" s="195"/>
      <c r="AB28" s="195"/>
      <c r="AC28" s="152"/>
      <c r="AD28" s="54"/>
      <c r="AE28" s="14"/>
    </row>
    <row r="29" spans="1:192" ht="15" customHeight="1" thickBot="1">
      <c r="A29" s="100" t="str">
        <f>VLOOKUP(392,Sprachindex!$A:$Z,Info!$O$7,FALSE)</f>
        <v>Filter:</v>
      </c>
      <c r="B29" s="598"/>
      <c r="C29" s="598"/>
      <c r="D29" s="598"/>
      <c r="E29" s="598"/>
      <c r="F29" s="70"/>
      <c r="G29" s="70"/>
      <c r="H29" s="70"/>
      <c r="I29" s="70"/>
      <c r="J29" s="70"/>
      <c r="K29" s="70"/>
      <c r="L29" s="70"/>
      <c r="M29" s="70"/>
      <c r="N29" s="70"/>
      <c r="O29" s="70"/>
      <c r="P29" s="71"/>
      <c r="Q29" s="71"/>
      <c r="AD29" s="591" t="s">
        <v>25</v>
      </c>
      <c r="AE29" s="591"/>
      <c r="AH29" s="45" t="s">
        <v>26</v>
      </c>
      <c r="AI29" s="13"/>
      <c r="AJ29" s="13"/>
      <c r="AK29" s="13"/>
      <c r="AL29" s="13"/>
      <c r="AM29" s="13"/>
      <c r="AN29" s="13"/>
      <c r="AO29" s="13"/>
      <c r="AP29" s="13"/>
      <c r="AQ29" s="13"/>
      <c r="AR29" s="45" t="s">
        <v>27</v>
      </c>
      <c r="AS29" s="13"/>
      <c r="AT29" s="13"/>
      <c r="AU29" s="13"/>
      <c r="AV29" s="13"/>
      <c r="AW29" s="13"/>
      <c r="AX29" s="13"/>
      <c r="AY29" s="13"/>
      <c r="AZ29" s="13"/>
      <c r="BA29" s="46"/>
      <c r="BB29" s="277" t="s">
        <v>28</v>
      </c>
      <c r="BC29" s="277" t="s">
        <v>29</v>
      </c>
    </row>
    <row r="30" spans="1:192"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R30" s="78" t="s">
        <v>30</v>
      </c>
      <c r="S30" s="78" t="s">
        <v>30</v>
      </c>
      <c r="AC30" s="135"/>
      <c r="AD30" s="163" t="s">
        <v>31</v>
      </c>
      <c r="AE30" s="163" t="s">
        <v>32</v>
      </c>
      <c r="AF30" s="145"/>
      <c r="AH30" s="47" t="s">
        <v>33</v>
      </c>
      <c r="AI30" s="47" t="s">
        <v>34</v>
      </c>
      <c r="AJ30" s="47" t="s">
        <v>35</v>
      </c>
      <c r="AK30" s="47" t="s">
        <v>36</v>
      </c>
      <c r="AL30" s="47" t="s">
        <v>37</v>
      </c>
      <c r="AM30" s="47" t="s">
        <v>38</v>
      </c>
      <c r="AN30" s="47" t="s">
        <v>39</v>
      </c>
      <c r="AO30" s="47" t="s">
        <v>40</v>
      </c>
      <c r="AP30" s="47" t="s">
        <v>41</v>
      </c>
      <c r="AQ30" s="47" t="s">
        <v>42</v>
      </c>
      <c r="AR30" s="47" t="s">
        <v>33</v>
      </c>
      <c r="AS30" s="47" t="s">
        <v>34</v>
      </c>
      <c r="AT30" s="47" t="s">
        <v>35</v>
      </c>
      <c r="AU30" s="47" t="s">
        <v>36</v>
      </c>
      <c r="AV30" s="47" t="s">
        <v>37</v>
      </c>
      <c r="AW30" s="47" t="s">
        <v>38</v>
      </c>
      <c r="AX30" s="47" t="s">
        <v>39</v>
      </c>
      <c r="AY30" s="47" t="s">
        <v>40</v>
      </c>
      <c r="AZ30" s="47" t="s">
        <v>41</v>
      </c>
      <c r="BA30" s="47" t="s">
        <v>42</v>
      </c>
      <c r="BL30" s="47" t="s">
        <v>43</v>
      </c>
      <c r="BM30" s="47" t="s">
        <v>44</v>
      </c>
      <c r="BN30" s="47" t="s">
        <v>45</v>
      </c>
      <c r="BO30" s="47" t="s">
        <v>46</v>
      </c>
      <c r="BP30" s="47" t="s">
        <v>47</v>
      </c>
      <c r="BQ30" s="47" t="s">
        <v>48</v>
      </c>
      <c r="BR30" s="47" t="s">
        <v>49</v>
      </c>
      <c r="BS30" s="47" t="s">
        <v>50</v>
      </c>
      <c r="BT30" s="47" t="s">
        <v>51</v>
      </c>
      <c r="CF30" s="47" t="s">
        <v>43</v>
      </c>
      <c r="CG30" s="47" t="s">
        <v>44</v>
      </c>
      <c r="CH30" s="47" t="s">
        <v>45</v>
      </c>
      <c r="CI30" s="47" t="s">
        <v>46</v>
      </c>
      <c r="CJ30" s="47" t="s">
        <v>47</v>
      </c>
      <c r="CK30" s="47" t="s">
        <v>48</v>
      </c>
      <c r="CL30" s="47" t="s">
        <v>49</v>
      </c>
      <c r="CM30" s="47" t="s">
        <v>50</v>
      </c>
      <c r="CN30" s="47" t="s">
        <v>51</v>
      </c>
      <c r="CZ30" s="47" t="s">
        <v>43</v>
      </c>
      <c r="DA30" s="47" t="s">
        <v>44</v>
      </c>
      <c r="DB30" s="47" t="s">
        <v>45</v>
      </c>
      <c r="DC30" s="47" t="s">
        <v>46</v>
      </c>
      <c r="DD30" s="47" t="s">
        <v>47</v>
      </c>
      <c r="DE30" s="47" t="s">
        <v>48</v>
      </c>
      <c r="DF30" s="47" t="s">
        <v>49</v>
      </c>
      <c r="DG30" s="47" t="s">
        <v>50</v>
      </c>
      <c r="DH30" s="47" t="s">
        <v>51</v>
      </c>
      <c r="DT30" s="47" t="s">
        <v>43</v>
      </c>
      <c r="DU30" s="47" t="s">
        <v>44</v>
      </c>
      <c r="DV30" s="47" t="s">
        <v>45</v>
      </c>
      <c r="DW30" s="47" t="s">
        <v>46</v>
      </c>
      <c r="DX30" s="47" t="s">
        <v>47</v>
      </c>
      <c r="DY30" s="47" t="s">
        <v>48</v>
      </c>
      <c r="DZ30" s="47" t="s">
        <v>49</v>
      </c>
      <c r="EA30" s="47" t="s">
        <v>50</v>
      </c>
      <c r="EB30" s="47" t="s">
        <v>51</v>
      </c>
      <c r="EN30" s="47" t="s">
        <v>43</v>
      </c>
      <c r="EO30" s="47" t="s">
        <v>44</v>
      </c>
      <c r="EP30" s="47" t="s">
        <v>45</v>
      </c>
      <c r="EQ30" s="47" t="s">
        <v>46</v>
      </c>
      <c r="ER30" s="47" t="s">
        <v>47</v>
      </c>
      <c r="ES30" s="47" t="s">
        <v>48</v>
      </c>
      <c r="ET30" s="47" t="s">
        <v>49</v>
      </c>
      <c r="EU30" s="47" t="s">
        <v>50</v>
      </c>
      <c r="EV30" s="47" t="s">
        <v>51</v>
      </c>
      <c r="FH30" s="47" t="s">
        <v>43</v>
      </c>
      <c r="FI30" s="47" t="s">
        <v>44</v>
      </c>
      <c r="FJ30" s="47" t="s">
        <v>45</v>
      </c>
      <c r="FK30" s="47" t="s">
        <v>46</v>
      </c>
      <c r="FL30" s="47" t="s">
        <v>47</v>
      </c>
      <c r="FM30" s="47" t="s">
        <v>48</v>
      </c>
      <c r="FN30" s="47" t="s">
        <v>49</v>
      </c>
      <c r="FO30" s="47" t="s">
        <v>50</v>
      </c>
      <c r="FP30" s="47" t="s">
        <v>51</v>
      </c>
      <c r="GB30" s="47" t="s">
        <v>43</v>
      </c>
      <c r="GC30" s="47" t="s">
        <v>44</v>
      </c>
      <c r="GD30" s="47" t="s">
        <v>45</v>
      </c>
      <c r="GE30" s="47" t="s">
        <v>46</v>
      </c>
      <c r="GF30" s="47" t="s">
        <v>47</v>
      </c>
      <c r="GG30" s="47" t="s">
        <v>48</v>
      </c>
      <c r="GH30" s="47" t="s">
        <v>49</v>
      </c>
      <c r="GI30" s="47" t="s">
        <v>50</v>
      </c>
      <c r="GJ30" s="47" t="s">
        <v>51</v>
      </c>
    </row>
    <row r="31" spans="1:192" ht="32.1" customHeight="1">
      <c r="A31" s="102"/>
      <c r="B31" s="119" t="str">
        <f>VLOOKUP(588,Sprachindex!$A:$Z,Info!$O$7,FALSE)</f>
        <v>m²</v>
      </c>
      <c r="C31" s="76"/>
      <c r="D31" s="78">
        <f>IF($P$9=1,BC31,BB31)</f>
        <v>0</v>
      </c>
      <c r="E31" s="595" t="str">
        <f>VLOOKUP(262,Sprachindex!$A:$Z,Info!$O$7,FALSE)</f>
        <v>Dachplatte (600 × 420 mm; 40 Stk./Karton); inkl. Rillennägel (28/30) und Patenthafte</v>
      </c>
      <c r="F31" s="596"/>
      <c r="G31" s="596"/>
      <c r="H31" s="596"/>
      <c r="I31" s="596"/>
      <c r="J31" s="596"/>
      <c r="K31" s="597"/>
      <c r="L31" s="77" t="str">
        <f>IF(A31=0,"",IF(P11=1,AD31,AE31))</f>
        <v/>
      </c>
      <c r="M31" s="449" t="str">
        <f>VLOOKUP(588,Sprachindex!$A:$Z,Info!$O$7,FALSE)</f>
        <v>m²</v>
      </c>
      <c r="N31" s="437"/>
      <c r="O31" s="202" t="str">
        <f>IF(ISNUMBER(A31), IF(P21=7, $L31*S31, $L31*R31), "")</f>
        <v/>
      </c>
      <c r="R31" s="200">
        <v>39.020000000000003</v>
      </c>
      <c r="S31" s="200">
        <v>40.03</v>
      </c>
      <c r="AC31" s="135"/>
      <c r="AD31" s="147">
        <f>ROUNDUP($A31/10,0)*10</f>
        <v>0</v>
      </c>
      <c r="AE31" s="146">
        <f>ROUNDUP($A31,0)</f>
        <v>0</v>
      </c>
      <c r="AF31" s="145"/>
      <c r="AH31" s="470">
        <v>110700</v>
      </c>
      <c r="AI31" s="470">
        <v>110701</v>
      </c>
      <c r="AJ31" s="470">
        <v>110702</v>
      </c>
      <c r="AK31" s="470">
        <v>110703</v>
      </c>
      <c r="AL31" s="470">
        <v>110704</v>
      </c>
      <c r="AM31" s="470">
        <v>110705</v>
      </c>
      <c r="AN31" s="470">
        <v>110706</v>
      </c>
      <c r="AO31" s="470">
        <v>110707</v>
      </c>
      <c r="AP31" s="470">
        <v>110708</v>
      </c>
      <c r="AQ31" s="470"/>
      <c r="AR31" s="469">
        <v>110710</v>
      </c>
      <c r="AS31" s="469">
        <v>110711</v>
      </c>
      <c r="AT31" s="469">
        <v>110712</v>
      </c>
      <c r="AU31" s="469">
        <v>110713</v>
      </c>
      <c r="AV31" s="469">
        <v>110714</v>
      </c>
      <c r="AW31" s="469">
        <v>110715</v>
      </c>
      <c r="AX31" s="469">
        <v>110716</v>
      </c>
      <c r="AY31" s="469">
        <v>110717</v>
      </c>
      <c r="AZ31" s="469">
        <v>110718</v>
      </c>
      <c r="BA31" s="469">
        <v>110719</v>
      </c>
      <c r="BB31" s="468">
        <f>IF($P$21=1,AH31,IF($P$21=4,AI31,IF($P$21=5,AJ31,IF($P$21=11,AK31,IF($P$21=7,AL31,IF($P$21=3,AM31,IF($P$21=6,AN31,IF($P$21=9,AO31,IF($P$21=2,AP31,IF($P$21=8,AQ31,0))))))))))</f>
        <v>0</v>
      </c>
      <c r="BC31" s="468">
        <f>IF($P$21=1,AR31,IF($P$21=4,AS31,IF($P$21=5,AT31,IF($P$21=11,AU31,IF($P$21=7,AV31,IF($P$21=3,AW31,IF($P$21=6,AX31,IF($P$21=9,AY31,IF($P$21=2,AZ31,IF($P$21=8,BA31,0))))))))))</f>
        <v>0</v>
      </c>
    </row>
    <row r="32" spans="1:192" ht="32.1" customHeight="1">
      <c r="A32" s="98"/>
      <c r="B32" s="79" t="str">
        <f>VLOOKUP(1512,Sprachindex!$A:$Z,Info!$O$7,FALSE)</f>
        <v>lfm</v>
      </c>
      <c r="C32" s="78"/>
      <c r="D32" s="78">
        <v>561002</v>
      </c>
      <c r="E32" s="561" t="str">
        <f>VLOOKUP(772,Sprachindex!$A:$Z,Info!$O$7,FALSE)</f>
        <v>Saumstreifen für Dachplatte</v>
      </c>
      <c r="F32" s="562"/>
      <c r="G32" s="562"/>
      <c r="H32" s="562"/>
      <c r="I32" s="562"/>
      <c r="J32" s="562"/>
      <c r="K32" s="563"/>
      <c r="L32" s="79" t="str">
        <f>IF(A32=0,"",IF($P$11=1,AD32,AE32))</f>
        <v/>
      </c>
      <c r="M32" s="171" t="str">
        <f>VLOOKUP(1512,Sprachindex!$A:$Z,Info!$O$7,FALSE)</f>
        <v>lfm</v>
      </c>
      <c r="N32" s="80"/>
      <c r="O32" s="202" t="str">
        <f>IF(ISNUMBER(A32),$L32*R32, "")</f>
        <v/>
      </c>
      <c r="R32" s="200">
        <v>6.54</v>
      </c>
      <c r="AC32" s="135"/>
      <c r="AD32" s="147">
        <f>ROUNDUP($A32/1.806,0)*1.806</f>
        <v>0</v>
      </c>
      <c r="AE32" s="147">
        <f>ROUNDUP($A32/1.806,0)*1.806</f>
        <v>0</v>
      </c>
      <c r="AF32" s="145"/>
    </row>
    <row r="33" spans="1:55" ht="32.1" customHeight="1">
      <c r="A33" s="98"/>
      <c r="B33" s="79" t="str">
        <f>VLOOKUP(1512,Sprachindex!$A:$Z,Info!$O$7,FALSE)</f>
        <v>lfm</v>
      </c>
      <c r="C33" s="78"/>
      <c r="D33" s="78">
        <v>561003</v>
      </c>
      <c r="E33" s="561" t="str">
        <f>VLOOKUP(779,Sprachindex!$A:$Z,Info!$O$7,FALSE)</f>
        <v>Saumstreifen gerillt (für Abtreppung; 600 × 150 mm)</v>
      </c>
      <c r="F33" s="562"/>
      <c r="G33" s="562"/>
      <c r="H33" s="562"/>
      <c r="I33" s="562"/>
      <c r="J33" s="562"/>
      <c r="K33" s="563"/>
      <c r="L33" s="79" t="str">
        <f>IF(A33=0,"",IF($P$11=1,AD33,AE33))</f>
        <v/>
      </c>
      <c r="M33" s="171" t="str">
        <f>VLOOKUP(1512,Sprachindex!$A:$Z,Info!$O$7,FALSE)</f>
        <v>lfm</v>
      </c>
      <c r="N33" s="80"/>
      <c r="O33" s="202" t="str">
        <f>IF(ISNUMBER(A33),$L33*R33, "")</f>
        <v/>
      </c>
      <c r="R33" s="200">
        <v>6.54</v>
      </c>
      <c r="AC33" s="135"/>
      <c r="AD33" s="147">
        <f>ROUNDUP($A33/0.6,0)*0.6</f>
        <v>0</v>
      </c>
      <c r="AE33" s="148">
        <f>ROUNDUP($A33/0.6,0)*0.6</f>
        <v>0</v>
      </c>
      <c r="AF33" s="145"/>
    </row>
    <row r="34" spans="1:55" ht="32.1" customHeight="1">
      <c r="A34" s="98"/>
      <c r="B34" s="79" t="str">
        <f>VLOOKUP(878,Sprachindex!$A:$Z,Info!$O$7,FALSE)</f>
        <v>Stk.</v>
      </c>
      <c r="C34" s="78"/>
      <c r="D34" s="78">
        <v>505001</v>
      </c>
      <c r="E34" s="561" t="str">
        <f>VLOOKUP(652,Sprachindex!$A:$Z,Info!$O$7,FALSE)</f>
        <v>Patenthaft für Dachplatte und Dachschindel</v>
      </c>
      <c r="F34" s="562"/>
      <c r="G34" s="562"/>
      <c r="H34" s="562"/>
      <c r="I34" s="562"/>
      <c r="J34" s="562"/>
      <c r="K34" s="563"/>
      <c r="L34" s="79" t="str">
        <f>IF(A34=0,"",IF($P$11=1,AD34,AE34))</f>
        <v/>
      </c>
      <c r="M34" s="171" t="str">
        <f>VLOOKUP(878,Sprachindex!$A:$Z,Info!$O$7,FALSE)</f>
        <v>Stk.</v>
      </c>
      <c r="N34" s="80"/>
      <c r="O34" s="202" t="str">
        <f>IF(ISNUMBER(A34),$L34*R34, "")</f>
        <v/>
      </c>
      <c r="R34" s="200">
        <v>0.03</v>
      </c>
      <c r="AC34" s="135"/>
      <c r="AD34" s="149">
        <f>ROUNDUP($A34/840,0)*840</f>
        <v>0</v>
      </c>
      <c r="AE34" s="149">
        <f>ROUNDUP($A34,0)</f>
        <v>0</v>
      </c>
      <c r="AF34" s="145"/>
    </row>
    <row r="35" spans="1:55" ht="32.1" customHeight="1">
      <c r="A35" s="98"/>
      <c r="B35" s="79" t="str">
        <f>VLOOKUP(1433,Sprachindex!$A:$Z,Info!$O$7,FALSE)</f>
        <v>Magazin</v>
      </c>
      <c r="C35" s="78"/>
      <c r="D35" s="78">
        <v>505004</v>
      </c>
      <c r="E35" s="561" t="str">
        <f>VLOOKUP(449,Sprachindex!$A:$Z,Info!$O$7,FALSE)</f>
        <v>Haftemagazin zum Nachladen für Bull-Tack-Nagler 80 Stk./Haftemagazin; 30 Mag./Karton</v>
      </c>
      <c r="F35" s="562"/>
      <c r="G35" s="562"/>
      <c r="H35" s="562"/>
      <c r="I35" s="562"/>
      <c r="J35" s="562"/>
      <c r="K35" s="563"/>
      <c r="L35" s="79" t="str">
        <f>IF(A35=0,"",IF($P$11=1,AD35, AE35))</f>
        <v/>
      </c>
      <c r="M35" s="171" t="str">
        <f>VLOOKUP(1433,Sprachindex!$A:$Z,Info!$O$7,FALSE)</f>
        <v>Magazin</v>
      </c>
      <c r="N35" s="80"/>
      <c r="O35" s="202" t="str">
        <f>IF(ISNUMBER(A35),$L35*R35, "")</f>
        <v/>
      </c>
      <c r="R35" s="200">
        <v>5.38</v>
      </c>
      <c r="AC35" s="135"/>
      <c r="AD35" s="148">
        <f>ROUNDUP($A35/30,0)*30</f>
        <v>0</v>
      </c>
      <c r="AE35" s="148">
        <f>ROUNDUP($A35,0)</f>
        <v>0</v>
      </c>
      <c r="AF35" s="145" t="str">
        <f>IF(A35&gt;1,Formeln!A120,IF(A35=1,Formeln!A121,""))</f>
        <v/>
      </c>
    </row>
    <row r="36" spans="1:55" ht="32.1" customHeight="1">
      <c r="A36" s="98"/>
      <c r="B36" s="79" t="str">
        <f>VLOOKUP(531,Sprachindex!$A:$Z,Info!$O$7,FALSE)</f>
        <v>kg</v>
      </c>
      <c r="C36" s="78"/>
      <c r="D36" s="78" t="str">
        <f>IF(H36=Formeln!A2,340392,IF(H36=Formeln!A3,340394,IF(H36=Formeln!A4,341392,"")))</f>
        <v/>
      </c>
      <c r="E36" s="561" t="str">
        <f>VLOOKUP(707,Sprachindex!$A:$Z,Info!$O$7,FALSE)</f>
        <v>Rillennagel (verzinkt)</v>
      </c>
      <c r="F36" s="562"/>
      <c r="G36" s="562"/>
      <c r="H36" s="572"/>
      <c r="I36" s="573"/>
      <c r="J36" s="573"/>
      <c r="K36" s="574"/>
      <c r="L36" s="79" t="str">
        <f>IF(A36=0,"",IF(H36=Formeln!$A$1,"",IF($P$11=1,AD36,AE36)))</f>
        <v/>
      </c>
      <c r="M36" s="171" t="str">
        <f>VLOOKUP(531,Sprachindex!$A:$Z,Info!$O$7,FALSE)</f>
        <v>kg</v>
      </c>
      <c r="N36" s="80"/>
      <c r="O36" s="202" t="str">
        <f>IF(ISNUMBER(L36),$L36*R36, "")</f>
        <v/>
      </c>
      <c r="R36" s="200">
        <v>9.35</v>
      </c>
      <c r="AC36" s="135"/>
      <c r="AD36" s="148">
        <f>IF(OR($H36=Formeln!$A$2,$H36=Formeln!$A$3),ROUNDUP($A36/2.5,0)*2.5,ROUNDUP($A36/2,0)*2)</f>
        <v>0</v>
      </c>
      <c r="AE36" s="148">
        <f>ROUNDUP($A36,2)</f>
        <v>0</v>
      </c>
      <c r="AF36" s="150">
        <f>IF(H36=Formeln!A2,570,IF(H36=Formeln!A3,480,IF(H36=Formeln!A4,380,0)))</f>
        <v>0</v>
      </c>
    </row>
    <row r="37" spans="1:55" ht="32.1" customHeight="1">
      <c r="A37" s="98"/>
      <c r="B37" s="79" t="str">
        <f>VLOOKUP(878,Sprachindex!$A:$Z,Info!$O$7,FALSE)</f>
        <v>Stk.</v>
      </c>
      <c r="C37" s="78"/>
      <c r="D37" s="81" t="str">
        <f>IF(H37=Formeln!A6,341395,IF(H37=Formeln!A7,341396,IF(H37=Formeln!A8,341398,"")))</f>
        <v/>
      </c>
      <c r="E37" s="561" t="str">
        <f>VLOOKUP(2186,Sprachindex!$A:$Z,Info!$O$7,FALSE)</f>
        <v>Rillennägel gebunden</v>
      </c>
      <c r="F37" s="562"/>
      <c r="G37" s="562"/>
      <c r="H37" s="572"/>
      <c r="I37" s="573"/>
      <c r="J37" s="573"/>
      <c r="K37" s="574"/>
      <c r="L37" s="141" t="str">
        <f>IF($A37=0,"",IF($H37=Formeln!$A$5,"",IF($P$11=1,AD37,AE37)))</f>
        <v/>
      </c>
      <c r="M37" s="171" t="str">
        <f>VLOOKUP(878,Sprachindex!$A:$Z,Info!$O$7,FALSE)</f>
        <v>Stk.</v>
      </c>
      <c r="N37" s="80"/>
      <c r="O37" s="202" t="str">
        <f>IF(ISNUMBER(A37),IF(H37=Formeln!A7,$L37*S37/1000,IF(H37=Formeln!A6,$L37*R37/1000,L37*T37/1000))," ")</f>
        <v xml:space="preserve"> </v>
      </c>
      <c r="R37" s="200">
        <v>34.4</v>
      </c>
      <c r="S37" s="200">
        <v>51.6</v>
      </c>
      <c r="T37" s="195">
        <v>64.400000000000006</v>
      </c>
      <c r="AC37" s="135"/>
      <c r="AD37" s="148">
        <f>IF(OR($H37=Formeln!$A$6,$H37=Formeln!$A$8),ROUNDUP($A37/3200,0)*3200,ROUNDUP($A37/2400,0)*2400)</f>
        <v>0</v>
      </c>
      <c r="AE37" s="149">
        <f>ROUNDUP($A37/1000,0)*1000</f>
        <v>0</v>
      </c>
      <c r="AF37" s="150">
        <f>IF($H37=Formeln!$A$7,2400,3200)</f>
        <v>3200</v>
      </c>
    </row>
    <row r="38" spans="1:55" ht="32.1" customHeight="1">
      <c r="A38" s="98"/>
      <c r="B38" s="79" t="str">
        <f>VLOOKUP(1512,Sprachindex!$A:$Z,Info!$O$7,FALSE)</f>
        <v>lfm</v>
      </c>
      <c r="C38" s="78"/>
      <c r="D38" s="78">
        <f>IF($P$21=1,AH38,IF($P$21=4,AI38,IF($P$21=5,AJ38,IF($P$21=11,AK38,IF($P$21=7,AL38,IF($P$21=3,AM38,IF($P$21=6,AN38,IF($P$21=9,AO38,IF($P$21=2,AP38,IF($P$21=8,AQ38,0))))))))))</f>
        <v>0</v>
      </c>
      <c r="E38" s="561" t="str">
        <f>VLOOKUP(333,Sprachindex!$A:$Z,Info!$O$7,FALSE)</f>
        <v>Einlaufblech</v>
      </c>
      <c r="F38" s="562"/>
      <c r="G38" s="562"/>
      <c r="H38" s="562"/>
      <c r="I38" s="562"/>
      <c r="J38" s="562"/>
      <c r="K38" s="563"/>
      <c r="L38" s="79" t="str">
        <f>IF(A38=0,"",IF($P$11=1,AD38,AE38))</f>
        <v/>
      </c>
      <c r="M38" s="171" t="str">
        <f>VLOOKUP(1512,Sprachindex!$A:$Z,Info!$O$7,FALSE)</f>
        <v>lfm</v>
      </c>
      <c r="N38" s="80"/>
      <c r="O38" s="202" t="str">
        <f>IF(ISNUMBER(A38),$L38*R38, "")</f>
        <v/>
      </c>
      <c r="R38" s="200">
        <v>8.65</v>
      </c>
      <c r="AC38" s="135"/>
      <c r="AD38" s="149">
        <f>ROUNDUP($A38/2,0)*2</f>
        <v>0</v>
      </c>
      <c r="AE38" s="149">
        <f>ROUNDUP($A38,0)</f>
        <v>0</v>
      </c>
      <c r="AF38" s="145"/>
      <c r="AH38" s="44">
        <v>212100</v>
      </c>
      <c r="AI38" s="44"/>
      <c r="AJ38" s="44">
        <v>212102</v>
      </c>
      <c r="AK38" s="44">
        <v>212101</v>
      </c>
      <c r="AL38" s="44"/>
      <c r="AM38" s="44"/>
      <c r="AN38" s="44">
        <v>212106</v>
      </c>
      <c r="AO38" s="44"/>
      <c r="AP38" s="44">
        <v>212104</v>
      </c>
      <c r="AQ38" s="44">
        <v>212103</v>
      </c>
    </row>
    <row r="39" spans="1:55" ht="32.1" customHeight="1">
      <c r="A39" s="98"/>
      <c r="B39" s="79" t="str">
        <f>VLOOKUP(1512,Sprachindex!$A:$Z,Info!$O$7,FALSE)</f>
        <v>lfm</v>
      </c>
      <c r="C39" s="82"/>
      <c r="D39" s="82" t="str">
        <f>IF(H39=Formeln!A10,507403,IF(H39=Formeln!A11,507404,IF(H39=Formeln!A12,507402,IF(H39=Formeln!A13,507405,IF(H39=Formeln!A14,507412,IF(H39=Formeln!A15,507413,""))))))</f>
        <v/>
      </c>
      <c r="E39" s="561" t="str">
        <f>VLOOKUP(586,Sprachindex!$A:$Z,Info!$O$7,FALSE)</f>
        <v>Lüftungsband</v>
      </c>
      <c r="F39" s="562"/>
      <c r="G39" s="562"/>
      <c r="H39" s="572"/>
      <c r="I39" s="573"/>
      <c r="J39" s="573"/>
      <c r="K39" s="574"/>
      <c r="L39" s="79" t="str">
        <f>IF($H39=Formeln!$A$9," ",IF(A39=0,"",IF($P$11=1,AD39,AE39)))</f>
        <v xml:space="preserve"> </v>
      </c>
      <c r="M39" s="171" t="str">
        <f>VLOOKUP(1512,Sprachindex!$A:$Z,Info!$O$7,FALSE)</f>
        <v>lfm</v>
      </c>
      <c r="N39" s="80"/>
      <c r="O39" s="202" t="str">
        <f>IF(ISNUMBER(L39), IF(H39=Formeln!A12, $L39*S39, $L39*R39), "")</f>
        <v/>
      </c>
      <c r="R39" s="200">
        <v>13.23</v>
      </c>
      <c r="S39" s="200">
        <v>21.27</v>
      </c>
      <c r="AC39" s="135"/>
      <c r="AD39" s="149">
        <f>ROUNDUP($A39/40,0)*40</f>
        <v>0</v>
      </c>
      <c r="AE39" s="149">
        <f>$A39</f>
        <v>0</v>
      </c>
      <c r="AF39" s="145"/>
      <c r="AH39" s="45" t="s">
        <v>26</v>
      </c>
      <c r="AI39" s="13"/>
      <c r="AJ39" s="13"/>
      <c r="AK39" s="13"/>
      <c r="AL39" s="13"/>
      <c r="AM39" s="13"/>
      <c r="AN39" s="13"/>
      <c r="AO39" s="13"/>
      <c r="AP39" s="13"/>
      <c r="AQ39" s="13"/>
      <c r="AR39" s="45" t="s">
        <v>27</v>
      </c>
      <c r="AS39" s="13"/>
      <c r="AT39" s="13"/>
      <c r="AU39" s="13"/>
      <c r="AV39" s="13"/>
      <c r="AW39" s="13"/>
      <c r="AX39" s="13"/>
      <c r="AY39" s="13"/>
      <c r="AZ39" s="13"/>
      <c r="BA39" s="46"/>
      <c r="BB39" s="277" t="s">
        <v>28</v>
      </c>
      <c r="BC39" s="277" t="s">
        <v>29</v>
      </c>
    </row>
    <row r="40" spans="1:55" ht="32.1" customHeight="1">
      <c r="A40" s="98"/>
      <c r="B40" s="79" t="str">
        <f>VLOOKUP(1512,Sprachindex!$A:$Z,Info!$O$7,FALSE)</f>
        <v>lfm</v>
      </c>
      <c r="C40" s="78"/>
      <c r="D40" s="78">
        <v>507300</v>
      </c>
      <c r="E40" s="561" t="str">
        <f>VLOOKUP(986,Sprachindex!$A:$Z,Info!$O$7,FALSE)</f>
        <v>Vogelschutzgitter (Braun/Anthrazit; 125 × 2.000 × 0,7 mm)</v>
      </c>
      <c r="F40" s="562"/>
      <c r="G40" s="562"/>
      <c r="H40" s="562"/>
      <c r="I40" s="562"/>
      <c r="J40" s="562"/>
      <c r="K40" s="563"/>
      <c r="L40" s="79" t="str">
        <f t="shared" ref="L40:L48" si="0">IF(A40=0,"",IF($P$11=1,AD40,AE40))</f>
        <v/>
      </c>
      <c r="M40" s="171" t="str">
        <f>VLOOKUP(1512,Sprachindex!$A:$Z,Info!$O$7,FALSE)</f>
        <v>lfm</v>
      </c>
      <c r="N40" s="80"/>
      <c r="O40" s="202" t="str">
        <f t="shared" ref="O40:O48" si="1">IF(ISNUMBER(A40),$L40*R40, "")</f>
        <v/>
      </c>
      <c r="R40" s="200">
        <v>4.01</v>
      </c>
      <c r="AC40" s="135"/>
      <c r="AD40" s="149">
        <f>ROUNDUP($A40/2,0)*2</f>
        <v>0</v>
      </c>
      <c r="AE40" s="149">
        <f>ROUNDUP($A40/2,0)*2</f>
        <v>0</v>
      </c>
      <c r="AF40" s="145"/>
      <c r="AH40" s="47" t="s">
        <v>33</v>
      </c>
      <c r="AI40" s="47" t="s">
        <v>34</v>
      </c>
      <c r="AJ40" s="47" t="s">
        <v>35</v>
      </c>
      <c r="AK40" s="47" t="s">
        <v>36</v>
      </c>
      <c r="AL40" s="47" t="s">
        <v>37</v>
      </c>
      <c r="AM40" s="47" t="s">
        <v>38</v>
      </c>
      <c r="AN40" s="47" t="s">
        <v>39</v>
      </c>
      <c r="AO40" s="47" t="s">
        <v>40</v>
      </c>
      <c r="AP40" s="47" t="s">
        <v>41</v>
      </c>
      <c r="AQ40" s="47" t="s">
        <v>42</v>
      </c>
      <c r="AR40" s="47" t="s">
        <v>33</v>
      </c>
      <c r="AS40" s="47" t="s">
        <v>34</v>
      </c>
      <c r="AT40" s="47" t="s">
        <v>35</v>
      </c>
      <c r="AU40" s="47" t="s">
        <v>36</v>
      </c>
      <c r="AV40" s="47" t="s">
        <v>37</v>
      </c>
      <c r="AW40" s="47" t="s">
        <v>38</v>
      </c>
      <c r="AX40" s="47" t="s">
        <v>39</v>
      </c>
      <c r="AY40" s="47" t="s">
        <v>40</v>
      </c>
      <c r="AZ40" s="47" t="s">
        <v>41</v>
      </c>
      <c r="BA40" s="47" t="s">
        <v>42</v>
      </c>
    </row>
    <row r="41" spans="1:55" ht="32.1" customHeight="1">
      <c r="A41" s="98"/>
      <c r="B41" s="79" t="str">
        <f>VLOOKUP(1512,Sprachindex!$A:$Z,Info!$O$7,FALSE)</f>
        <v>lfm</v>
      </c>
      <c r="C41" s="78"/>
      <c r="D41" s="78">
        <f t="shared" ref="D41:D47" si="2">IF($P$9=1,BC41,BB41)</f>
        <v>0</v>
      </c>
      <c r="E41" s="561" t="str">
        <f>VLOOKUP(647,Sprachindex!$A:$Z,Info!$O$7,FALSE)</f>
        <v>Ortgangstreifen (95 × 2.000 × 0,70 mm)</v>
      </c>
      <c r="F41" s="562"/>
      <c r="G41" s="562"/>
      <c r="H41" s="562"/>
      <c r="I41" s="562"/>
      <c r="J41" s="562"/>
      <c r="K41" s="563"/>
      <c r="L41" s="79" t="str">
        <f t="shared" si="0"/>
        <v/>
      </c>
      <c r="M41" s="171" t="str">
        <f>VLOOKUP(1512,Sprachindex!$A:$Z,Info!$O$7,FALSE)</f>
        <v>lfm</v>
      </c>
      <c r="N41" s="80"/>
      <c r="O41" s="202" t="str">
        <f t="shared" si="1"/>
        <v/>
      </c>
      <c r="R41" s="200">
        <v>9.57</v>
      </c>
      <c r="AC41" s="135"/>
      <c r="AD41" s="149">
        <f>ROUNDUP($A41/2,0)*2</f>
        <v>0</v>
      </c>
      <c r="AE41" s="149">
        <f>ROUNDUP($A41/2,0)*2</f>
        <v>0</v>
      </c>
      <c r="AF41" s="145"/>
      <c r="AH41" s="470">
        <v>110500</v>
      </c>
      <c r="AI41" s="470">
        <v>110501</v>
      </c>
      <c r="AJ41" s="470">
        <v>110502</v>
      </c>
      <c r="AK41" s="470">
        <v>110503</v>
      </c>
      <c r="AL41" s="470">
        <v>110504</v>
      </c>
      <c r="AM41" s="470">
        <v>110505</v>
      </c>
      <c r="AN41" s="470">
        <v>110506</v>
      </c>
      <c r="AO41" s="470">
        <v>110507</v>
      </c>
      <c r="AP41" s="470">
        <v>110508</v>
      </c>
      <c r="AQ41" s="470"/>
      <c r="AR41" s="469">
        <v>110510</v>
      </c>
      <c r="AS41" s="469">
        <v>110511</v>
      </c>
      <c r="AT41" s="469">
        <v>110512</v>
      </c>
      <c r="AU41" s="469">
        <v>110513</v>
      </c>
      <c r="AV41" s="469">
        <v>110514</v>
      </c>
      <c r="AW41" s="469">
        <v>110515</v>
      </c>
      <c r="AX41" s="469">
        <v>110516</v>
      </c>
      <c r="AY41" s="469">
        <v>110517</v>
      </c>
      <c r="AZ41" s="469">
        <v>110518</v>
      </c>
      <c r="BA41" s="469">
        <v>110519</v>
      </c>
      <c r="BB41" s="468">
        <f>IF($P$21=1,AH41,IF($P$21=4,AI41,IF($P$21=5,AJ41,IF($P$21=11,AK41,IF($P$21=7,AL41,IF($P$21=3,AM41,IF($P$21=6,AN41,IF($P$21=9,AO41,IF($P$21=2,AP41,IF($P$21=8,AQ41,0))))))))))</f>
        <v>0</v>
      </c>
      <c r="BC41" s="468">
        <f>IF($P$21=1,AR41,IF($P$21=4,AS41,IF($P$21=5,AT41,IF($P$21=11,AU41,IF($P$21=7,AV41,IF($P$21=3,AW41,IF($P$21=6,AX41,IF($P$21=9,AY41,IF($P$21=2,AZ41,IF($P$21=8,BA41,0))))))))))</f>
        <v>0</v>
      </c>
    </row>
    <row r="42" spans="1:55" ht="32.1" customHeight="1">
      <c r="A42" s="98"/>
      <c r="B42" s="79" t="str">
        <f>VLOOKUP(1512,Sprachindex!$A:$Z,Info!$O$7,FALSE)</f>
        <v>lfm</v>
      </c>
      <c r="C42" s="78"/>
      <c r="D42" s="78">
        <f t="shared" si="2"/>
        <v>0</v>
      </c>
      <c r="E42" s="561" t="str">
        <f>VLOOKUP(825,Sprachindex!$A:$Z,Info!$O$7,FALSE)</f>
        <v>Sicherheitskehle (stucco; Länge: 3.000 mm)</v>
      </c>
      <c r="F42" s="562"/>
      <c r="G42" s="562"/>
      <c r="H42" s="562"/>
      <c r="I42" s="562"/>
      <c r="J42" s="562"/>
      <c r="K42" s="563"/>
      <c r="L42" s="79" t="str">
        <f t="shared" si="0"/>
        <v/>
      </c>
      <c r="M42" s="171" t="str">
        <f>VLOOKUP(1512,Sprachindex!$A:$Z,Info!$O$7,FALSE)</f>
        <v>lfm</v>
      </c>
      <c r="N42" s="80"/>
      <c r="O42" s="202" t="str">
        <f t="shared" si="1"/>
        <v/>
      </c>
      <c r="R42" s="200">
        <v>32.14</v>
      </c>
      <c r="AC42" s="135"/>
      <c r="AD42" s="149">
        <f>ROUNDUP($A42/3,0)*3</f>
        <v>0</v>
      </c>
      <c r="AE42" s="149">
        <f>ROUNDUP($A42/3,0)*3</f>
        <v>0</v>
      </c>
      <c r="AF42" s="145"/>
      <c r="AH42" s="470">
        <v>110520</v>
      </c>
      <c r="AI42" s="470">
        <v>110521</v>
      </c>
      <c r="AJ42" s="470">
        <v>110522</v>
      </c>
      <c r="AK42" s="470">
        <v>110523</v>
      </c>
      <c r="AL42" s="470">
        <v>110524</v>
      </c>
      <c r="AM42" s="470">
        <v>110525</v>
      </c>
      <c r="AN42" s="470">
        <v>110526</v>
      </c>
      <c r="AO42" s="470">
        <v>110527</v>
      </c>
      <c r="AP42" s="470">
        <v>110528</v>
      </c>
      <c r="AQ42" s="470"/>
      <c r="AR42" s="469">
        <v>110530</v>
      </c>
      <c r="AS42" s="469">
        <v>110531</v>
      </c>
      <c r="AT42" s="469">
        <v>110532</v>
      </c>
      <c r="AU42" s="469">
        <v>110533</v>
      </c>
      <c r="AV42" s="469">
        <v>110534</v>
      </c>
      <c r="AW42" s="469">
        <v>110535</v>
      </c>
      <c r="AX42" s="469">
        <v>110536</v>
      </c>
      <c r="AY42" s="469">
        <v>110537</v>
      </c>
      <c r="AZ42" s="469">
        <v>110538</v>
      </c>
      <c r="BA42" s="469">
        <v>110539</v>
      </c>
      <c r="BB42" s="468">
        <f t="shared" ref="BB42:BB47" si="3">IF($P$21=1,AH42,IF($P$21=4,AI42,IF($P$21=5,AJ42,IF($P$21=11,AK42,IF($P$21=7,AL42,IF($P$21=3,AM42,IF($P$21=6,AN42,IF($P$21=9,AO42,IF($P$21=2,AP42,IF($P$21=8,AQ42,0))))))))))</f>
        <v>0</v>
      </c>
      <c r="BC42" s="468">
        <f t="shared" ref="BC42:BC47" si="4">IF($P$21=1,AR42,IF($P$21=4,AS42,IF($P$21=5,AT42,IF($P$21=11,AU42,IF($P$21=7,AV42,IF($P$21=3,AW42,IF($P$21=6,AX42,IF($P$21=9,AY42,IF($P$21=2,AZ42,IF($P$21=8,BA42,0))))))))))</f>
        <v>0</v>
      </c>
    </row>
    <row r="43" spans="1:55" ht="32.1" customHeight="1">
      <c r="A43" s="98"/>
      <c r="B43" s="79" t="str">
        <f>VLOOKUP(1512,Sprachindex!$A:$Z,Info!$O$7,FALSE)</f>
        <v>lfm</v>
      </c>
      <c r="C43" s="78"/>
      <c r="D43" s="78">
        <f t="shared" si="2"/>
        <v>0</v>
      </c>
      <c r="E43" s="561" t="str">
        <f>VLOOKUP(440,Sprachindex!$A:$Z,Info!$O$7,FALSE)</f>
        <v>Grat- und Firstreiter (500 × 1,00 mm; stucco) inkl. Niro-Schraube 4,5 × 45 mm und Dichtscheibe</v>
      </c>
      <c r="F43" s="562"/>
      <c r="G43" s="562"/>
      <c r="H43" s="562"/>
      <c r="I43" s="562"/>
      <c r="J43" s="562"/>
      <c r="K43" s="563"/>
      <c r="L43" s="79" t="str">
        <f t="shared" si="0"/>
        <v/>
      </c>
      <c r="M43" s="171" t="str">
        <f>VLOOKUP(1512,Sprachindex!$A:$Z,Info!$O$7,FALSE)</f>
        <v>lfm</v>
      </c>
      <c r="N43" s="80"/>
      <c r="O43" s="202" t="str">
        <f t="shared" si="1"/>
        <v/>
      </c>
      <c r="R43" s="200">
        <v>14.77</v>
      </c>
      <c r="AC43" s="135"/>
      <c r="AD43" s="149">
        <f>ROUNDUP($A43/10,0)*10</f>
        <v>0</v>
      </c>
      <c r="AE43" s="149">
        <f>ROUNDUP($A43/0.5,0)*0.5</f>
        <v>0</v>
      </c>
      <c r="AF43" s="145"/>
      <c r="AH43" s="470">
        <v>110340</v>
      </c>
      <c r="AI43" s="470">
        <v>110341</v>
      </c>
      <c r="AJ43" s="470">
        <v>110342</v>
      </c>
      <c r="AK43" s="470">
        <v>110343</v>
      </c>
      <c r="AL43" s="470">
        <v>110344</v>
      </c>
      <c r="AM43" s="470">
        <v>110345</v>
      </c>
      <c r="AN43" s="470">
        <v>110346</v>
      </c>
      <c r="AO43" s="470">
        <v>110347</v>
      </c>
      <c r="AP43" s="470">
        <v>110348</v>
      </c>
      <c r="AQ43" s="470"/>
      <c r="AR43" s="469">
        <v>110350</v>
      </c>
      <c r="AS43" s="469">
        <v>110351</v>
      </c>
      <c r="AT43" s="469">
        <v>110352</v>
      </c>
      <c r="AU43" s="469">
        <v>110353</v>
      </c>
      <c r="AV43" s="469">
        <v>110354</v>
      </c>
      <c r="AW43" s="469">
        <v>110355</v>
      </c>
      <c r="AX43" s="469">
        <v>110356</v>
      </c>
      <c r="AY43" s="469">
        <v>110357</v>
      </c>
      <c r="AZ43" s="469">
        <v>110358</v>
      </c>
      <c r="BA43" s="469">
        <v>110359</v>
      </c>
      <c r="BB43" s="468">
        <f t="shared" si="3"/>
        <v>0</v>
      </c>
      <c r="BC43" s="468">
        <f t="shared" si="4"/>
        <v>0</v>
      </c>
    </row>
    <row r="44" spans="1:55" ht="32.1" customHeight="1">
      <c r="A44" s="98"/>
      <c r="B44" s="79" t="str">
        <f>VLOOKUP(878,Sprachindex!$A:$Z,Info!$O$7,FALSE)</f>
        <v>Stk.</v>
      </c>
      <c r="C44" s="78"/>
      <c r="D44" s="78">
        <f t="shared" si="2"/>
        <v>0</v>
      </c>
      <c r="E44" s="561" t="str">
        <f>VLOOKUP(441,Sprachindex!$A:$Z,Info!$O$7,FALSE)</f>
        <v>Gratreitervorkopf (stucco)</v>
      </c>
      <c r="F44" s="562"/>
      <c r="G44" s="562"/>
      <c r="H44" s="562"/>
      <c r="I44" s="562"/>
      <c r="J44" s="562"/>
      <c r="K44" s="563"/>
      <c r="L44" s="79" t="str">
        <f t="shared" si="0"/>
        <v/>
      </c>
      <c r="M44" s="171" t="str">
        <f>VLOOKUP(878,Sprachindex!$A:$Z,Info!$O$7,FALSE)</f>
        <v>Stk.</v>
      </c>
      <c r="N44" s="80"/>
      <c r="O44" s="202" t="str">
        <f t="shared" si="1"/>
        <v/>
      </c>
      <c r="R44" s="200">
        <v>8.02</v>
      </c>
      <c r="AC44" s="135"/>
      <c r="AD44" s="149">
        <f>ROUNDUP($A44/10,0)*10</f>
        <v>0</v>
      </c>
      <c r="AE44" s="149">
        <f>ROUNDUP($A44/1,0)*1</f>
        <v>0</v>
      </c>
      <c r="AF44" s="145"/>
      <c r="AH44" s="470">
        <v>110320</v>
      </c>
      <c r="AI44" s="470">
        <v>110321</v>
      </c>
      <c r="AJ44" s="470">
        <v>110322</v>
      </c>
      <c r="AK44" s="470">
        <v>110323</v>
      </c>
      <c r="AL44" s="470">
        <v>110324</v>
      </c>
      <c r="AM44" s="470">
        <v>110325</v>
      </c>
      <c r="AN44" s="470">
        <v>110326</v>
      </c>
      <c r="AO44" s="470">
        <v>110327</v>
      </c>
      <c r="AP44" s="470">
        <v>110328</v>
      </c>
      <c r="AQ44" s="470"/>
      <c r="AR44" s="469">
        <v>110330</v>
      </c>
      <c r="AS44" s="469">
        <v>110331</v>
      </c>
      <c r="AT44" s="469">
        <v>110332</v>
      </c>
      <c r="AU44" s="469">
        <v>110333</v>
      </c>
      <c r="AV44" s="469">
        <v>110334</v>
      </c>
      <c r="AW44" s="469">
        <v>110335</v>
      </c>
      <c r="AX44" s="469">
        <v>110336</v>
      </c>
      <c r="AY44" s="469">
        <v>110337</v>
      </c>
      <c r="AZ44" s="469">
        <v>110338</v>
      </c>
      <c r="BA44" s="469">
        <v>110339</v>
      </c>
      <c r="BB44" s="468">
        <f t="shared" si="3"/>
        <v>0</v>
      </c>
      <c r="BC44" s="468">
        <f t="shared" si="4"/>
        <v>0</v>
      </c>
    </row>
    <row r="45" spans="1:55" ht="32.1" customHeight="1">
      <c r="A45" s="98"/>
      <c r="B45" s="79" t="str">
        <f>VLOOKUP(1512,Sprachindex!$A:$Z,Info!$O$7,FALSE)</f>
        <v>lfm</v>
      </c>
      <c r="C45" s="78"/>
      <c r="D45" s="78">
        <f t="shared" si="2"/>
        <v>0</v>
      </c>
      <c r="E45" s="561" t="str">
        <f>VLOOKUP(501,Sprachindex!$A:$Z,Info!$O$7,FALSE)</f>
        <v>Jet-Lüfter (stucco; 1.200 mm); inkl. Niro-Schraube und Dichtscheibe</v>
      </c>
      <c r="F45" s="562"/>
      <c r="G45" s="562"/>
      <c r="H45" s="562"/>
      <c r="I45" s="562"/>
      <c r="J45" s="562"/>
      <c r="K45" s="563"/>
      <c r="L45" s="79" t="str">
        <f t="shared" si="0"/>
        <v/>
      </c>
      <c r="M45" s="171" t="str">
        <f>VLOOKUP(1512,Sprachindex!$A:$Z,Info!$O$7,FALSE)</f>
        <v>lfm</v>
      </c>
      <c r="N45" s="80"/>
      <c r="O45" s="202" t="str">
        <f t="shared" si="1"/>
        <v/>
      </c>
      <c r="R45" s="200">
        <v>67.2</v>
      </c>
      <c r="AC45" s="135"/>
      <c r="AD45" s="149">
        <f>ROUNDUP($A45/1.2,0)*1.2</f>
        <v>0</v>
      </c>
      <c r="AE45" s="149">
        <f>ROUNDUP($A45/1.2,0)*1.2</f>
        <v>0</v>
      </c>
      <c r="AF45" s="145"/>
      <c r="AH45" s="470">
        <v>110640</v>
      </c>
      <c r="AI45" s="470">
        <v>110641</v>
      </c>
      <c r="AJ45" s="470">
        <v>110642</v>
      </c>
      <c r="AK45" s="470">
        <v>110643</v>
      </c>
      <c r="AL45" s="470">
        <v>110644</v>
      </c>
      <c r="AM45" s="470">
        <v>110645</v>
      </c>
      <c r="AN45" s="470">
        <v>110646</v>
      </c>
      <c r="AO45" s="470">
        <v>110647</v>
      </c>
      <c r="AP45" s="470">
        <v>110648</v>
      </c>
      <c r="AQ45" s="470"/>
      <c r="AR45" s="469">
        <v>110650</v>
      </c>
      <c r="AS45" s="469">
        <v>110651</v>
      </c>
      <c r="AT45" s="469">
        <v>110652</v>
      </c>
      <c r="AU45" s="469">
        <v>110653</v>
      </c>
      <c r="AV45" s="469">
        <v>110654</v>
      </c>
      <c r="AW45" s="469">
        <v>110655</v>
      </c>
      <c r="AX45" s="469">
        <v>110656</v>
      </c>
      <c r="AY45" s="469">
        <v>110657</v>
      </c>
      <c r="AZ45" s="469">
        <v>110658</v>
      </c>
      <c r="BA45" s="469">
        <v>110659</v>
      </c>
      <c r="BB45" s="468">
        <f t="shared" si="3"/>
        <v>0</v>
      </c>
      <c r="BC45" s="468">
        <f t="shared" si="4"/>
        <v>0</v>
      </c>
    </row>
    <row r="46" spans="1:55" ht="32.1" customHeight="1">
      <c r="A46" s="98"/>
      <c r="B46" s="79" t="str">
        <f>VLOOKUP(1512,Sprachindex!$A:$Z,Info!$O$7,FALSE)</f>
        <v>lfm</v>
      </c>
      <c r="C46" s="78"/>
      <c r="D46" s="78">
        <f t="shared" si="2"/>
        <v>0</v>
      </c>
      <c r="E46" s="561" t="str">
        <f>VLOOKUP(502,Sprachindex!$A:$Z,Info!$O$7,FALSE)</f>
        <v>Jet-Lüfter (stucco; 3.000 mm); inkl. Niro-Schraube und Dichtscheibe</v>
      </c>
      <c r="F46" s="562"/>
      <c r="G46" s="562"/>
      <c r="H46" s="562"/>
      <c r="I46" s="562"/>
      <c r="J46" s="562"/>
      <c r="K46" s="563"/>
      <c r="L46" s="79" t="str">
        <f t="shared" si="0"/>
        <v/>
      </c>
      <c r="M46" s="171" t="str">
        <f>VLOOKUP(1512,Sprachindex!$A:$Z,Info!$O$7,FALSE)</f>
        <v>lfm</v>
      </c>
      <c r="N46" s="80"/>
      <c r="O46" s="202" t="str">
        <f t="shared" si="1"/>
        <v/>
      </c>
      <c r="R46" s="200">
        <v>60.69</v>
      </c>
      <c r="AC46" s="135"/>
      <c r="AD46" s="149">
        <f>ROUNDUP($A46/9,0)*9</f>
        <v>0</v>
      </c>
      <c r="AE46" s="149">
        <f>ROUNDUP($A46/3,0)*3</f>
        <v>0</v>
      </c>
      <c r="AF46" s="145"/>
      <c r="AH46" s="470">
        <v>110620</v>
      </c>
      <c r="AI46" s="470">
        <v>110621</v>
      </c>
      <c r="AJ46" s="470">
        <v>110622</v>
      </c>
      <c r="AK46" s="470">
        <v>110623</v>
      </c>
      <c r="AL46" s="470">
        <v>110624</v>
      </c>
      <c r="AM46" s="470">
        <v>110625</v>
      </c>
      <c r="AN46" s="470">
        <v>110626</v>
      </c>
      <c r="AO46" s="470">
        <v>110627</v>
      </c>
      <c r="AP46" s="470">
        <v>110628</v>
      </c>
      <c r="AQ46" s="470"/>
      <c r="AR46" s="469">
        <v>110630</v>
      </c>
      <c r="AS46" s="469">
        <v>110631</v>
      </c>
      <c r="AT46" s="469">
        <v>110632</v>
      </c>
      <c r="AU46" s="469">
        <v>110633</v>
      </c>
      <c r="AV46" s="469">
        <v>110634</v>
      </c>
      <c r="AW46" s="469">
        <v>110635</v>
      </c>
      <c r="AX46" s="469">
        <v>110636</v>
      </c>
      <c r="AY46" s="469">
        <v>110637</v>
      </c>
      <c r="AZ46" s="469">
        <v>110638</v>
      </c>
      <c r="BA46" s="469">
        <v>110639</v>
      </c>
      <c r="BB46" s="468">
        <f t="shared" si="3"/>
        <v>0</v>
      </c>
      <c r="BC46" s="468">
        <f t="shared" si="4"/>
        <v>0</v>
      </c>
    </row>
    <row r="47" spans="1:55" ht="32.1" customHeight="1">
      <c r="A47" s="98"/>
      <c r="B47" s="79" t="str">
        <f>VLOOKUP(878,Sprachindex!$A:$Z,Info!$O$7,FALSE)</f>
        <v>Stk.</v>
      </c>
      <c r="C47" s="78"/>
      <c r="D47" s="78">
        <f t="shared" si="2"/>
        <v>0</v>
      </c>
      <c r="E47" s="561" t="str">
        <f>VLOOKUP(503,Sprachindex!$A:$Z,Info!$O$7,FALSE)</f>
        <v>Jet-Lüfter-Vorkopf (stucco)</v>
      </c>
      <c r="F47" s="562"/>
      <c r="G47" s="562"/>
      <c r="H47" s="562"/>
      <c r="I47" s="562"/>
      <c r="J47" s="562"/>
      <c r="K47" s="563"/>
      <c r="L47" s="79" t="str">
        <f t="shared" si="0"/>
        <v/>
      </c>
      <c r="M47" s="171" t="str">
        <f>VLOOKUP(878,Sprachindex!$A:$Z,Info!$O$7,FALSE)</f>
        <v>Stk.</v>
      </c>
      <c r="N47" s="80"/>
      <c r="O47" s="202" t="str">
        <f t="shared" si="1"/>
        <v/>
      </c>
      <c r="R47" s="200">
        <v>8.7100000000000009</v>
      </c>
      <c r="AC47" s="135"/>
      <c r="AD47" s="149">
        <f>ROUNDUP($A47/2,0)*2</f>
        <v>0</v>
      </c>
      <c r="AE47" s="149">
        <f>ROUNDUP($A47/1,0)*1</f>
        <v>0</v>
      </c>
      <c r="AF47" s="145"/>
      <c r="AH47" s="470">
        <v>110600</v>
      </c>
      <c r="AI47" s="470">
        <v>110601</v>
      </c>
      <c r="AJ47" s="470">
        <v>110602</v>
      </c>
      <c r="AK47" s="470">
        <v>110603</v>
      </c>
      <c r="AL47" s="470">
        <v>110604</v>
      </c>
      <c r="AM47" s="470">
        <v>110605</v>
      </c>
      <c r="AN47" s="470">
        <v>110606</v>
      </c>
      <c r="AO47" s="470">
        <v>110607</v>
      </c>
      <c r="AP47" s="470">
        <v>110608</v>
      </c>
      <c r="AQ47" s="470"/>
      <c r="AR47" s="475">
        <v>110610</v>
      </c>
      <c r="AS47" s="475">
        <v>110611</v>
      </c>
      <c r="AT47" s="475">
        <v>110612</v>
      </c>
      <c r="AU47" s="475">
        <v>110613</v>
      </c>
      <c r="AV47" s="475">
        <v>110614</v>
      </c>
      <c r="AW47" s="469">
        <v>110615</v>
      </c>
      <c r="AX47" s="469">
        <v>110616</v>
      </c>
      <c r="AY47" s="469">
        <v>110617</v>
      </c>
      <c r="AZ47" s="469">
        <v>110618</v>
      </c>
      <c r="BA47" s="469">
        <v>110619</v>
      </c>
      <c r="BB47" s="468">
        <f t="shared" si="3"/>
        <v>0</v>
      </c>
      <c r="BC47" s="468">
        <f t="shared" si="4"/>
        <v>0</v>
      </c>
    </row>
    <row r="48" spans="1:55" ht="32.1" customHeight="1">
      <c r="A48" s="98"/>
      <c r="B48" s="79" t="str">
        <f>VLOOKUP(878,Sprachindex!$A:$Z,Info!$O$7,FALSE)</f>
        <v>Stk.</v>
      </c>
      <c r="C48" s="78"/>
      <c r="D48" s="78">
        <f>IF($P$21=1,AH48,IF($P$21=4,AI48,IF($P$21=5,AJ48,IF($P$21=11,AK48,IF($P$21=7,AL48,IF($P$21=3,AM48,IF($P$21=6,AN48,IF($P$21=9,AO48,IF($P$21=2,AP48,IF($P$21=8,AQ48,0))))))))))</f>
        <v>0</v>
      </c>
      <c r="E48" s="561" t="str">
        <f>VLOOKUP(2187,Sprachindex!$A:$Z,Info!$O$7,FALSE)</f>
        <v>Dichtschraube NIRO, 4,5x25</v>
      </c>
      <c r="F48" s="562"/>
      <c r="G48" s="562"/>
      <c r="H48" s="562"/>
      <c r="I48" s="562"/>
      <c r="J48" s="562"/>
      <c r="K48" s="563"/>
      <c r="L48" s="79" t="str">
        <f t="shared" si="0"/>
        <v/>
      </c>
      <c r="M48" s="171" t="str">
        <f>VLOOKUP(878,Sprachindex!$A:$Z,Info!$O$7,FALSE)</f>
        <v>Stk.</v>
      </c>
      <c r="N48" s="80"/>
      <c r="O48" s="202" t="str">
        <f t="shared" si="1"/>
        <v/>
      </c>
      <c r="R48" s="200">
        <v>0.46</v>
      </c>
      <c r="AC48" s="135"/>
      <c r="AD48" s="149">
        <f>ROUNDUP($A48/200,0)*200</f>
        <v>0</v>
      </c>
      <c r="AE48" s="149">
        <f t="shared" ref="AE48:AE82" si="5">ROUNDUP($A48,0)</f>
        <v>0</v>
      </c>
      <c r="AF48" s="145"/>
      <c r="AH48" s="44">
        <v>340041</v>
      </c>
      <c r="AI48" s="44">
        <v>340042</v>
      </c>
      <c r="AJ48" s="44">
        <v>340043</v>
      </c>
      <c r="AK48" s="44">
        <v>340044</v>
      </c>
      <c r="AL48" s="138"/>
      <c r="AM48" s="44">
        <v>340045</v>
      </c>
      <c r="AN48" s="44">
        <v>340046</v>
      </c>
      <c r="AO48" s="44">
        <v>340047</v>
      </c>
      <c r="AP48" s="44">
        <v>340048</v>
      </c>
      <c r="AQ48" s="175">
        <v>340049</v>
      </c>
      <c r="AR48" s="476">
        <v>340040</v>
      </c>
      <c r="AS48" s="125"/>
      <c r="AT48" s="125"/>
      <c r="AU48" s="125"/>
      <c r="AV48" s="125"/>
    </row>
    <row r="49" spans="1:474" ht="32.1" customHeight="1">
      <c r="A49" s="98"/>
      <c r="B49" s="79" t="str">
        <f>VLOOKUP(878,Sprachindex!$A:$Z,Info!$O$7,FALSE)</f>
        <v>Stk.</v>
      </c>
      <c r="C49" s="78"/>
      <c r="D49" s="78" t="str">
        <f>IF(H49=Formeln!A18,IF($P$21=1,AH49,IF($P$21=4,AI49,IF($P$21=5,AJ49,IF($P$21=11,AK49,IF($P$21=7,AL49,IF($P$21=3,AM49,IF($P$21=6,AN49,IF($P$21=9,AO49,IF($P$21=2,AP49,IF($P$21=8,AQ49,0)))))))))),IF(H49=Formeln!A19,AR49,""))</f>
        <v/>
      </c>
      <c r="E49" s="561" t="str">
        <f>VLOOKUP(2188,Sprachindex!$A:$Z,Info!$O$7,FALSE)</f>
        <v>Dichtschraube NIRO 4,5 x 45 mm, für Grat- und Firstreiter</v>
      </c>
      <c r="F49" s="562"/>
      <c r="G49" s="562"/>
      <c r="H49" s="572"/>
      <c r="I49" s="573"/>
      <c r="J49" s="573"/>
      <c r="K49" s="574"/>
      <c r="L49" s="79" t="str">
        <f>IF(A49=0,"",IF(H49=Formeln!$A$17," ",IF($P$11=1,AD49,AE49)))</f>
        <v/>
      </c>
      <c r="M49" s="171" t="str">
        <f>VLOOKUP(878,Sprachindex!$A:$Z,Info!$O$7,FALSE)</f>
        <v>Stk.</v>
      </c>
      <c r="N49" s="80"/>
      <c r="O49" s="226" t="str">
        <f>IF(ISNUMBER(L49),IF(H49=Formeln!A19,L49*S49,$L49*R49), "")</f>
        <v/>
      </c>
      <c r="R49" s="200">
        <v>0.68</v>
      </c>
      <c r="S49" s="195">
        <v>0.6</v>
      </c>
      <c r="AC49" s="135"/>
      <c r="AD49" s="149">
        <f>ROUNDUP($A49/250,0)*250</f>
        <v>0</v>
      </c>
      <c r="AE49" s="149">
        <f t="shared" si="5"/>
        <v>0</v>
      </c>
      <c r="AF49" s="145"/>
      <c r="AH49" s="44">
        <v>340001</v>
      </c>
      <c r="AI49" s="44">
        <v>340004</v>
      </c>
      <c r="AJ49" s="44">
        <v>340003</v>
      </c>
      <c r="AK49" s="44">
        <v>340104</v>
      </c>
      <c r="AM49" s="44">
        <v>340002</v>
      </c>
      <c r="AN49" s="44">
        <v>340016</v>
      </c>
      <c r="AO49" s="44">
        <v>340011</v>
      </c>
      <c r="AP49" s="44">
        <v>340014</v>
      </c>
      <c r="AQ49" s="175">
        <v>340013</v>
      </c>
      <c r="AR49" s="476">
        <v>340103</v>
      </c>
      <c r="AS49" s="125">
        <v>340017</v>
      </c>
      <c r="AT49" s="125">
        <v>340010</v>
      </c>
      <c r="AU49" s="125">
        <v>340012</v>
      </c>
      <c r="AV49" s="125"/>
    </row>
    <row r="50" spans="1:474" ht="32.1" customHeight="1">
      <c r="A50" s="98"/>
      <c r="B50" s="79" t="str">
        <f>VLOOKUP(878,Sprachindex!$A:$Z,Info!$O$7,FALSE)</f>
        <v>Stk.</v>
      </c>
      <c r="C50" s="78"/>
      <c r="D50" s="78" t="str">
        <f>IF(H50=Formeln!A21,IF($P$21=1,AH50,IF($P$21=4,AI50,IF($P$21=5,AJ50,IF($P$21=11,AK50,IF($P$21=7,AL50,IF($P$21=3,AM50,IF($P$21=6,AN50,IF($P$21=9,AO50,IF($P$21=2,AP50,IF($P$21=8,AQ50,0)))))))))),IF(H50=Formeln!A22,AR50,""))</f>
        <v/>
      </c>
      <c r="E50" s="561" t="str">
        <f>VLOOKUP(2189,Sprachindex!$A:$Z,Info!$O$7,FALSE)</f>
        <v>Dichtschraube NIRO 4,5 x 60 mm, für Jet-Lüfter</v>
      </c>
      <c r="F50" s="562"/>
      <c r="G50" s="562"/>
      <c r="H50" s="572"/>
      <c r="I50" s="573"/>
      <c r="J50" s="573"/>
      <c r="K50" s="574"/>
      <c r="L50" s="79" t="str">
        <f>IF(A50=0,"",IF(H50=Formeln!$A$17," ",IF($P$11=1,AD50,AE50)))</f>
        <v/>
      </c>
      <c r="M50" s="171" t="str">
        <f>VLOOKUP(878,Sprachindex!$A:$Z,Info!$O$7,FALSE)</f>
        <v>Stk.</v>
      </c>
      <c r="N50" s="80"/>
      <c r="O50" s="226" t="str">
        <f>IF(ISNUMBER(L50),IF(H50=Formeln!A22,L50*S50,$L50*R50), "")</f>
        <v/>
      </c>
      <c r="R50" s="200">
        <v>0.86</v>
      </c>
      <c r="S50" s="195">
        <v>0.68</v>
      </c>
      <c r="AC50" s="135"/>
      <c r="AD50" s="149">
        <f>ROUNDUP($A50/100,0)*100</f>
        <v>0</v>
      </c>
      <c r="AE50" s="149">
        <f t="shared" si="5"/>
        <v>0</v>
      </c>
      <c r="AF50" s="145"/>
      <c r="AH50" s="44">
        <v>340020</v>
      </c>
      <c r="AI50" s="44">
        <v>340024</v>
      </c>
      <c r="AJ50" s="44">
        <v>340022</v>
      </c>
      <c r="AK50" s="44">
        <v>340021</v>
      </c>
      <c r="AM50" s="44">
        <v>340025</v>
      </c>
      <c r="AN50" s="44">
        <v>340032</v>
      </c>
      <c r="AO50" s="44">
        <v>340027</v>
      </c>
      <c r="AP50" s="44">
        <v>340030</v>
      </c>
      <c r="AQ50" s="175">
        <v>340036</v>
      </c>
      <c r="AR50" s="476">
        <v>340106</v>
      </c>
      <c r="AS50" s="125">
        <v>340037</v>
      </c>
      <c r="AT50" s="125">
        <v>340034</v>
      </c>
      <c r="AU50" s="125">
        <v>340035</v>
      </c>
      <c r="AV50" s="125"/>
    </row>
    <row r="51" spans="1:474" ht="32.1" customHeight="1">
      <c r="A51" s="98"/>
      <c r="B51" s="79" t="str">
        <f>VLOOKUP(878,Sprachindex!$A:$Z,Info!$O$7,FALSE)</f>
        <v>Stk.</v>
      </c>
      <c r="C51" s="78"/>
      <c r="D51" s="78">
        <f>IF($P$21=1,AH51,IF($P$21=4,AI51,IF($P$21=5,AJ51,IF($P$21=11,AK51,IF($P$21=7,AL51,IF($P$21=3,AM51,IF($P$21=6,AN51,IF($P$21=9,AO51,IF($P$21=2,AP51,IF($P$21=8,AQ51,0))))))))))</f>
        <v>0</v>
      </c>
      <c r="E51" s="561" t="str">
        <f>VLOOKUP(409,Sprachindex!$A:$Z,Info!$O$7,FALSE)</f>
        <v>Froschmaullukenhaube</v>
      </c>
      <c r="F51" s="562"/>
      <c r="G51" s="562"/>
      <c r="H51" s="562"/>
      <c r="I51" s="562"/>
      <c r="J51" s="562"/>
      <c r="K51" s="563"/>
      <c r="L51" s="79" t="str">
        <f>IF(A51=0,"",IF($P$11=1,AD51,AE51))</f>
        <v/>
      </c>
      <c r="M51" s="171" t="str">
        <f>VLOOKUP(878,Sprachindex!$A:$Z,Info!$O$7,FALSE)</f>
        <v>Stk.</v>
      </c>
      <c r="N51" s="80"/>
      <c r="O51" s="202" t="str">
        <f>IF(ISNUMBER(A51),$L51*R51, "")</f>
        <v/>
      </c>
      <c r="R51" s="200">
        <v>24.65</v>
      </c>
      <c r="AC51" s="135"/>
      <c r="AD51" s="149">
        <f>ROUNDUP($A51/20,0)*20</f>
        <v>0</v>
      </c>
      <c r="AE51" s="149">
        <f t="shared" si="5"/>
        <v>0</v>
      </c>
      <c r="AF51" s="145"/>
      <c r="AH51" s="44">
        <v>110100</v>
      </c>
      <c r="AI51" s="44">
        <v>110101</v>
      </c>
      <c r="AJ51" s="44">
        <v>110102</v>
      </c>
      <c r="AK51" s="44">
        <v>110103</v>
      </c>
      <c r="AL51" s="44">
        <v>110104</v>
      </c>
      <c r="AM51" s="44">
        <v>110105</v>
      </c>
      <c r="AN51" s="44">
        <v>110106</v>
      </c>
      <c r="AO51" s="44">
        <v>110107</v>
      </c>
      <c r="AP51" s="44">
        <v>110108</v>
      </c>
      <c r="AQ51" s="175">
        <v>121005</v>
      </c>
      <c r="AR51" s="476" t="s">
        <v>52</v>
      </c>
      <c r="AS51" s="125" t="s">
        <v>53</v>
      </c>
      <c r="AT51" s="125" t="s">
        <v>54</v>
      </c>
      <c r="AU51" s="125" t="s">
        <v>55</v>
      </c>
      <c r="AV51" s="125"/>
    </row>
    <row r="52" spans="1:474" ht="32.1" customHeight="1">
      <c r="A52" s="98"/>
      <c r="B52" s="79" t="str">
        <f>VLOOKUP(878,Sprachindex!$A:$Z,Info!$O$7,FALSE)</f>
        <v>Stk.</v>
      </c>
      <c r="C52" s="78"/>
      <c r="D52" s="78">
        <f>IF($P$9=1,BC52,BB52)</f>
        <v>0</v>
      </c>
      <c r="E52" s="561" t="str">
        <f>VLOOKUP(407,Sprachindex!$A:$Z,Info!$O$7,FALSE)</f>
        <v>Froschmaulluke für Dachplatte 300 × 420 mm Lüftungsquerschnitt: ca. 30 cm²</v>
      </c>
      <c r="F52" s="562"/>
      <c r="G52" s="562"/>
      <c r="H52" s="562"/>
      <c r="I52" s="562"/>
      <c r="J52" s="562"/>
      <c r="K52" s="563"/>
      <c r="L52" s="79" t="str">
        <f>IF(A52=0,"",IF($P$11=1,AD52,AE52))</f>
        <v/>
      </c>
      <c r="M52" s="171" t="str">
        <f>VLOOKUP(878,Sprachindex!$A:$Z,Info!$O$7,FALSE)</f>
        <v>Stk.</v>
      </c>
      <c r="N52" s="80"/>
      <c r="O52" s="202" t="str">
        <f>IF(ISNUMBER(A52),$L52*R52, "")</f>
        <v/>
      </c>
      <c r="R52" s="200">
        <v>43.71</v>
      </c>
      <c r="AC52" s="135"/>
      <c r="AD52" s="149">
        <f>ROUNDUP($A52/15,0)*15</f>
        <v>0</v>
      </c>
      <c r="AE52" s="149">
        <f t="shared" si="5"/>
        <v>0</v>
      </c>
      <c r="AF52" s="145"/>
      <c r="AH52" s="44">
        <v>110110</v>
      </c>
      <c r="AI52" s="44">
        <v>110111</v>
      </c>
      <c r="AJ52" s="44">
        <v>110112</v>
      </c>
      <c r="AK52" s="44">
        <v>110113</v>
      </c>
      <c r="AL52" s="44">
        <v>110114</v>
      </c>
      <c r="AM52" s="44">
        <v>110115</v>
      </c>
      <c r="AN52" s="44">
        <v>110116</v>
      </c>
      <c r="AO52" s="44">
        <v>110117</v>
      </c>
      <c r="AP52" s="44">
        <v>110118</v>
      </c>
      <c r="AQ52" s="44"/>
      <c r="AR52" s="44">
        <v>110120</v>
      </c>
      <c r="AS52" s="44">
        <v>110121</v>
      </c>
      <c r="AT52" s="44">
        <v>110122</v>
      </c>
      <c r="AU52" s="44">
        <v>110123</v>
      </c>
      <c r="AV52" s="44">
        <v>110124</v>
      </c>
      <c r="AW52" s="44">
        <v>110125</v>
      </c>
      <c r="AX52" s="44">
        <v>110126</v>
      </c>
      <c r="AY52" s="44">
        <v>110127</v>
      </c>
      <c r="AZ52" s="44">
        <v>110128</v>
      </c>
      <c r="BA52" s="44">
        <v>110129</v>
      </c>
      <c r="BB52" s="468">
        <f t="shared" ref="BB52" si="6">IF($P$21=1,AH52,IF($P$21=4,AI52,IF($P$21=5,AJ52,IF($P$21=11,AK52,IF($P$21=7,AL52,IF($P$21=3,AM52,IF($P$21=6,AN52,IF($P$21=9,AO52,IF($P$21=2,AP52,IF($P$21=8,AQ52,0))))))))))</f>
        <v>0</v>
      </c>
      <c r="BC52" s="468">
        <f t="shared" ref="BC52" si="7">IF($P$21=1,AR52,IF($P$21=4,AS52,IF($P$21=5,AT52,IF($P$21=11,AU52,IF($P$21=7,AV52,IF($P$21=3,AW52,IF($P$21=6,AX52,IF($P$21=9,AY52,IF($P$21=2,AZ52,IF($P$21=8,BA52,0))))))))))</f>
        <v>0</v>
      </c>
    </row>
    <row r="53" spans="1:474" ht="32.1" customHeight="1">
      <c r="A53" s="98"/>
      <c r="B53" s="79" t="str">
        <f>VLOOKUP(878,Sprachindex!$A:$Z,Info!$O$7,FALSE)</f>
        <v>Stk.</v>
      </c>
      <c r="C53" s="78"/>
      <c r="D53" s="78">
        <v>545106</v>
      </c>
      <c r="E53" s="588" t="str">
        <f>VLOOKUP(1874,Sprachindex!$A:$Z,Info!$O$7,FALSE)</f>
        <v>Einfassung Vario, 120-600 mm, stucco</v>
      </c>
      <c r="F53" s="589"/>
      <c r="G53" s="589"/>
      <c r="H53" s="589"/>
      <c r="I53" s="589"/>
      <c r="J53" s="589"/>
      <c r="K53" s="590"/>
      <c r="L53" s="79" t="str">
        <f>IF(A53=0,"",IF($P$11=1,AD53,AE53))</f>
        <v/>
      </c>
      <c r="M53" s="171" t="str">
        <f>VLOOKUP(878,Sprachindex!$A:$Z,Info!$O$7,FALSE)</f>
        <v>Stk.</v>
      </c>
      <c r="N53" s="80"/>
      <c r="O53" s="202" t="str">
        <f>IF(ISNUMBER(A53),$L53*R53, "")</f>
        <v/>
      </c>
      <c r="R53" s="200">
        <v>0</v>
      </c>
      <c r="AC53" s="135"/>
      <c r="AD53" s="149">
        <f t="shared" ref="AD53:AD64" si="8">ROUNDUP($A53,0)</f>
        <v>0</v>
      </c>
      <c r="AE53" s="149">
        <f t="shared" si="5"/>
        <v>0</v>
      </c>
      <c r="AF53" s="145"/>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c r="MO53" s="51"/>
      <c r="MP53" s="51"/>
      <c r="MQ53" s="51"/>
      <c r="MR53" s="51"/>
      <c r="MS53" s="51"/>
      <c r="MT53" s="51"/>
      <c r="MU53" s="51"/>
      <c r="MV53" s="51"/>
      <c r="MW53" s="51"/>
      <c r="MX53" s="51"/>
      <c r="MY53" s="51"/>
      <c r="MZ53" s="51"/>
      <c r="NA53" s="51"/>
      <c r="NB53" s="51"/>
      <c r="NC53" s="51"/>
      <c r="ND53" s="51"/>
      <c r="NE53" s="51"/>
      <c r="NF53" s="51"/>
      <c r="NG53" s="51"/>
      <c r="NH53" s="51"/>
      <c r="NI53" s="51"/>
      <c r="NJ53" s="51"/>
      <c r="NK53" s="51"/>
      <c r="NL53" s="51"/>
      <c r="NM53" s="51"/>
      <c r="NN53" s="51"/>
      <c r="NO53" s="51"/>
      <c r="NP53" s="51"/>
      <c r="NQ53" s="51"/>
      <c r="NR53" s="51"/>
      <c r="NS53" s="51"/>
      <c r="NT53" s="51"/>
      <c r="NU53" s="51"/>
      <c r="NV53" s="51"/>
      <c r="NW53" s="51"/>
      <c r="NX53" s="51"/>
      <c r="NY53" s="51"/>
      <c r="NZ53" s="51"/>
      <c r="OA53" s="51"/>
      <c r="OB53" s="51"/>
      <c r="OC53" s="51"/>
      <c r="OD53" s="51"/>
      <c r="OE53" s="51"/>
      <c r="OF53" s="51"/>
      <c r="OG53" s="51"/>
      <c r="OH53" s="51"/>
      <c r="OI53" s="51"/>
      <c r="OJ53" s="51"/>
      <c r="OK53" s="51"/>
      <c r="OL53" s="51"/>
      <c r="OM53" s="51"/>
      <c r="ON53" s="51"/>
      <c r="OO53" s="51"/>
      <c r="OP53" s="51"/>
      <c r="OQ53" s="51"/>
      <c r="OR53" s="51"/>
      <c r="OS53" s="51"/>
      <c r="OT53" s="51"/>
      <c r="OU53" s="51"/>
      <c r="OV53" s="51"/>
      <c r="OW53" s="51"/>
      <c r="OX53" s="51"/>
      <c r="OY53" s="51"/>
      <c r="OZ53" s="51"/>
      <c r="PA53" s="51"/>
      <c r="PB53" s="51"/>
      <c r="PC53" s="51"/>
      <c r="PD53" s="51"/>
      <c r="PE53" s="51"/>
      <c r="PF53" s="51"/>
      <c r="PG53" s="51"/>
      <c r="PH53" s="51"/>
      <c r="PI53" s="51"/>
      <c r="PJ53" s="51"/>
      <c r="PK53" s="51"/>
      <c r="PL53" s="51"/>
      <c r="PM53" s="51"/>
      <c r="PN53" s="51"/>
      <c r="PO53" s="51"/>
      <c r="PP53" s="51"/>
      <c r="PQ53" s="51"/>
      <c r="PR53" s="51"/>
      <c r="PS53" s="51"/>
      <c r="PT53" s="51"/>
      <c r="PU53" s="51"/>
      <c r="PV53" s="51"/>
      <c r="PW53" s="51"/>
      <c r="PX53" s="51"/>
      <c r="PY53" s="51"/>
      <c r="PZ53" s="51"/>
      <c r="QA53" s="51"/>
      <c r="QB53" s="51"/>
      <c r="QC53" s="51"/>
      <c r="QD53" s="51"/>
      <c r="QE53" s="51"/>
      <c r="QF53" s="51"/>
      <c r="QG53" s="51"/>
      <c r="QH53" s="51"/>
      <c r="QI53" s="51"/>
      <c r="QJ53" s="51"/>
      <c r="QK53" s="51"/>
      <c r="QL53" s="51"/>
      <c r="QM53" s="51"/>
      <c r="QN53" s="51"/>
      <c r="QO53" s="51"/>
      <c r="QP53" s="51"/>
      <c r="QQ53" s="51"/>
      <c r="QR53" s="51"/>
      <c r="QS53" s="51"/>
      <c r="QT53" s="51"/>
      <c r="QU53" s="51"/>
      <c r="QV53" s="51"/>
      <c r="QW53" s="51"/>
    </row>
    <row r="54" spans="1:474" ht="32.1" customHeight="1">
      <c r="A54" s="98"/>
      <c r="B54" s="79" t="str">
        <f>VLOOKUP(878,Sprachindex!$A:$Z,Info!$O$7,FALSE)</f>
        <v>Stk.</v>
      </c>
      <c r="C54" s="78"/>
      <c r="D54" s="78">
        <v>545106</v>
      </c>
      <c r="E54" s="588" t="str">
        <f>VLOOKUP(1875,Sprachindex!$A:$Z,Info!$O$7,FALSE)</f>
        <v>Einfassung Vario, 600-1.020 mm, stucco</v>
      </c>
      <c r="F54" s="589"/>
      <c r="G54" s="589"/>
      <c r="H54" s="589"/>
      <c r="I54" s="589"/>
      <c r="J54" s="589"/>
      <c r="K54" s="590"/>
      <c r="L54" s="79" t="str">
        <f>IF(A54=0,"",IF($P$11=1,AD54,AE54))</f>
        <v/>
      </c>
      <c r="M54" s="171" t="str">
        <f>VLOOKUP(878,Sprachindex!$A:$Z,Info!$O$7,FALSE)</f>
        <v>Stk.</v>
      </c>
      <c r="N54" s="80"/>
      <c r="O54" s="202" t="str">
        <f>IF(ISNUMBER(A54),$L54*R54, "")</f>
        <v/>
      </c>
      <c r="R54" s="200">
        <v>0</v>
      </c>
      <c r="AC54" s="135"/>
      <c r="AD54" s="149">
        <f t="shared" si="8"/>
        <v>0</v>
      </c>
      <c r="AE54" s="149">
        <f t="shared" si="5"/>
        <v>0</v>
      </c>
      <c r="AF54" s="145"/>
      <c r="AH54" s="47" t="s">
        <v>33</v>
      </c>
      <c r="AI54" s="47" t="s">
        <v>34</v>
      </c>
      <c r="AJ54" s="47" t="s">
        <v>35</v>
      </c>
      <c r="AK54" s="47" t="s">
        <v>36</v>
      </c>
      <c r="AL54" s="47" t="s">
        <v>37</v>
      </c>
      <c r="AM54" s="47" t="s">
        <v>38</v>
      </c>
      <c r="AN54" s="47" t="s">
        <v>39</v>
      </c>
      <c r="AO54" s="47" t="s">
        <v>40</v>
      </c>
      <c r="AP54" s="47" t="s">
        <v>41</v>
      </c>
      <c r="AQ54" s="47" t="s">
        <v>42</v>
      </c>
      <c r="AR54" s="47" t="s">
        <v>33</v>
      </c>
      <c r="AS54" s="47" t="s">
        <v>34</v>
      </c>
      <c r="AT54" s="47" t="s">
        <v>35</v>
      </c>
      <c r="AU54" s="47" t="s">
        <v>36</v>
      </c>
      <c r="AV54" s="47" t="s">
        <v>37</v>
      </c>
      <c r="AW54" s="47" t="s">
        <v>38</v>
      </c>
      <c r="AX54" s="47" t="s">
        <v>39</v>
      </c>
      <c r="AY54" s="47" t="s">
        <v>40</v>
      </c>
      <c r="AZ54" s="47" t="s">
        <v>41</v>
      </c>
      <c r="BA54" s="47" t="s">
        <v>42</v>
      </c>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98"/>
      <c r="B55" s="79" t="str">
        <f>VLOOKUP(878,Sprachindex!$A:$Z,Info!$O$7,FALSE)</f>
        <v>Stk.</v>
      </c>
      <c r="C55" s="78"/>
      <c r="D55" s="78">
        <f>IF($P$9=1,BC55,BB55)</f>
        <v>0</v>
      </c>
      <c r="E55" s="588" t="str">
        <f>VLOOKUP(254,Sprachindex!$A:$Z,Info!$O$7,FALSE)</f>
        <v>Dachluke (600 × 600 mm); komplett mit Holzrahmen</v>
      </c>
      <c r="F55" s="589"/>
      <c r="G55" s="589"/>
      <c r="H55" s="589"/>
      <c r="I55" s="589"/>
      <c r="J55" s="589"/>
      <c r="K55" s="590"/>
      <c r="L55" s="79" t="str">
        <f>IF(A55=0,"",IF($P$11=1,AD55,AE55))</f>
        <v/>
      </c>
      <c r="M55" s="171" t="str">
        <f>VLOOKUP(878,Sprachindex!$A:$Z,Info!$O$7,FALSE)</f>
        <v>Stk.</v>
      </c>
      <c r="N55" s="80"/>
      <c r="O55" s="202" t="str">
        <f>IF(ISNUMBER(A55),$L55*R55, "")</f>
        <v/>
      </c>
      <c r="R55" s="200">
        <v>247.5</v>
      </c>
      <c r="AC55" s="135"/>
      <c r="AD55" s="149">
        <f t="shared" si="8"/>
        <v>0</v>
      </c>
      <c r="AE55" s="149">
        <f t="shared" si="5"/>
        <v>0</v>
      </c>
      <c r="AF55" s="145"/>
      <c r="AH55" s="44">
        <v>110020</v>
      </c>
      <c r="AI55" s="44">
        <v>110021</v>
      </c>
      <c r="AJ55" s="44">
        <v>110022</v>
      </c>
      <c r="AK55" s="44">
        <v>110023</v>
      </c>
      <c r="AL55" s="44">
        <v>110024</v>
      </c>
      <c r="AM55" s="44">
        <v>110025</v>
      </c>
      <c r="AN55" s="44">
        <v>110026</v>
      </c>
      <c r="AO55" s="44">
        <v>110027</v>
      </c>
      <c r="AP55" s="44">
        <v>110028</v>
      </c>
      <c r="AQ55" s="44"/>
      <c r="AR55" s="44">
        <v>110030</v>
      </c>
      <c r="AS55" s="44">
        <v>110031</v>
      </c>
      <c r="AT55" s="44">
        <v>110032</v>
      </c>
      <c r="AU55" s="44">
        <v>110033</v>
      </c>
      <c r="AV55" s="44">
        <v>110034</v>
      </c>
      <c r="AW55" s="44">
        <v>110035</v>
      </c>
      <c r="AX55" s="44">
        <v>110036</v>
      </c>
      <c r="AY55" s="44">
        <v>110037</v>
      </c>
      <c r="AZ55" s="44">
        <v>110038</v>
      </c>
      <c r="BA55" s="44">
        <v>110039</v>
      </c>
      <c r="BB55" s="468">
        <f t="shared" ref="BB55" si="9">IF($P$21=1,AH55,IF($P$21=4,AI55,IF($P$21=5,AJ55,IF($P$21=11,AK55,IF($P$21=7,AL55,IF($P$21=3,AM55,IF($P$21=6,AN55,IF($P$21=9,AO55,IF($P$21=2,AP55,IF($P$21=8,AQ55,0))))))))))</f>
        <v>0</v>
      </c>
      <c r="BC55" s="468">
        <f t="shared" ref="BC55" si="10">IF($P$21=1,AR55,IF($P$21=4,AS55,IF($P$21=5,AT55,IF($P$21=11,AU55,IF($P$21=7,AV55,IF($P$21=3,AW55,IF($P$21=6,AX55,IF($P$21=9,AY55,IF($P$21=2,AZ55,IF($P$21=8,BA55,0))))))))))</f>
        <v>0</v>
      </c>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47" t="s">
        <v>33</v>
      </c>
      <c r="DD55" s="47" t="s">
        <v>34</v>
      </c>
      <c r="DE55" s="47" t="s">
        <v>35</v>
      </c>
      <c r="DF55" s="47" t="s">
        <v>36</v>
      </c>
      <c r="DG55" s="47" t="s">
        <v>37</v>
      </c>
      <c r="DH55" s="47" t="s">
        <v>38</v>
      </c>
      <c r="DI55" s="47" t="s">
        <v>39</v>
      </c>
      <c r="DJ55" s="47" t="s">
        <v>40</v>
      </c>
      <c r="DK55" s="47" t="s">
        <v>41</v>
      </c>
      <c r="DL55" s="47" t="s">
        <v>42</v>
      </c>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c r="MO55" s="51"/>
      <c r="MP55" s="51"/>
      <c r="MQ55" s="51"/>
      <c r="MR55" s="51"/>
      <c r="MS55" s="51"/>
      <c r="MT55" s="51"/>
      <c r="MU55" s="51"/>
      <c r="MV55" s="51"/>
      <c r="MW55" s="51"/>
      <c r="MX55" s="51"/>
      <c r="MY55" s="51"/>
      <c r="MZ55" s="51"/>
      <c r="NA55" s="51"/>
      <c r="NB55" s="51"/>
      <c r="NC55" s="51"/>
      <c r="ND55" s="51"/>
      <c r="NE55" s="51"/>
      <c r="NF55" s="51"/>
      <c r="NG55" s="51"/>
      <c r="NH55" s="51"/>
      <c r="NI55" s="51"/>
      <c r="NJ55" s="51"/>
      <c r="NK55" s="51"/>
      <c r="NL55" s="51"/>
      <c r="NM55" s="51"/>
      <c r="NN55" s="51"/>
      <c r="NO55" s="51"/>
      <c r="NP55" s="51"/>
      <c r="NQ55" s="51"/>
      <c r="NR55" s="51"/>
      <c r="NS55" s="51"/>
      <c r="NT55" s="51"/>
      <c r="NU55" s="51"/>
      <c r="NV55" s="51"/>
      <c r="NW55" s="51"/>
      <c r="NX55" s="51"/>
      <c r="NY55" s="51"/>
      <c r="NZ55" s="51"/>
      <c r="OA55" s="51"/>
      <c r="OB55" s="51"/>
      <c r="OC55" s="51"/>
      <c r="OD55" s="51"/>
      <c r="OE55" s="51"/>
      <c r="OF55" s="51"/>
      <c r="OG55" s="51"/>
      <c r="OH55" s="51"/>
      <c r="OI55" s="51"/>
      <c r="OJ55" s="51"/>
      <c r="OK55" s="51"/>
      <c r="OL55" s="51"/>
      <c r="OM55" s="51"/>
      <c r="ON55" s="51"/>
      <c r="OO55" s="51"/>
      <c r="OP55" s="51"/>
      <c r="OQ55" s="51"/>
      <c r="OR55" s="51"/>
      <c r="OS55" s="51"/>
      <c r="OT55" s="51"/>
      <c r="OU55" s="51"/>
      <c r="OV55" s="51"/>
      <c r="OW55" s="51"/>
      <c r="OX55" s="51"/>
      <c r="OY55" s="51"/>
      <c r="OZ55" s="51"/>
      <c r="PA55" s="51"/>
      <c r="PB55" s="51"/>
      <c r="PC55" s="51"/>
      <c r="PD55" s="51"/>
      <c r="PE55" s="51"/>
      <c r="PF55" s="51"/>
      <c r="PG55" s="51"/>
      <c r="PH55" s="51"/>
      <c r="PI55" s="51"/>
      <c r="PJ55" s="51"/>
      <c r="PK55" s="51"/>
      <c r="PL55" s="51"/>
      <c r="PM55" s="51"/>
      <c r="PN55" s="51"/>
      <c r="PO55" s="51"/>
      <c r="PP55" s="51"/>
      <c r="PQ55" s="51"/>
      <c r="PR55" s="51"/>
      <c r="PS55" s="51"/>
      <c r="PT55" s="51"/>
      <c r="PU55" s="51"/>
      <c r="PV55" s="51"/>
      <c r="PW55" s="51"/>
      <c r="PX55" s="51"/>
      <c r="PY55" s="51"/>
      <c r="PZ55" s="51"/>
      <c r="QA55" s="51"/>
      <c r="QB55" s="51"/>
      <c r="QC55" s="51"/>
      <c r="QD55" s="51"/>
      <c r="QE55" s="51"/>
      <c r="QF55" s="51"/>
      <c r="QG55" s="51"/>
      <c r="QH55" s="51"/>
      <c r="QI55" s="51"/>
      <c r="QJ55" s="51"/>
      <c r="QK55" s="51"/>
      <c r="QL55" s="51"/>
      <c r="QM55" s="51"/>
      <c r="QN55" s="51"/>
      <c r="QO55" s="51"/>
      <c r="QP55" s="51"/>
      <c r="QQ55" s="51"/>
      <c r="QR55" s="51"/>
      <c r="QS55" s="51"/>
      <c r="QT55" s="51"/>
      <c r="QU55" s="51"/>
      <c r="QV55" s="51"/>
      <c r="QW55" s="51"/>
    </row>
    <row r="56" spans="1:474" ht="32.1" customHeight="1">
      <c r="A56" s="98"/>
      <c r="B56" s="79" t="str">
        <f>VLOOKUP(878,Sprachindex!$A:$Z,Info!$O$7,FALSE)</f>
        <v>Stk.</v>
      </c>
      <c r="C56" s="78"/>
      <c r="D56" s="78">
        <f>IF(Info!V7=2,'Velux DE Artikelnummern'!C28,Q56)</f>
        <v>0</v>
      </c>
      <c r="E56" s="561" t="str">
        <f>VLOOKUP(324,Sprachindex!$A:$Z,Info!$O$7,FALSE)</f>
        <v>Einfassung für Velux-Dachflächenfenster (stucco)</v>
      </c>
      <c r="F56" s="562"/>
      <c r="G56" s="562"/>
      <c r="H56" s="562"/>
      <c r="I56" s="84" t="str">
        <f>VLOOKUP(591,Sprachindex!$A:$Z,Info!$O$7,FALSE)</f>
        <v>Maße:</v>
      </c>
      <c r="J56" s="572"/>
      <c r="K56" s="574"/>
      <c r="L56" s="79" t="str">
        <f>IF($A56=0,"",IF($J56=Formeln!$A$30," ",IF($P$11=1,AD56,AE56)))</f>
        <v/>
      </c>
      <c r="M56" s="171" t="str">
        <f>VLOOKUP(878,Sprachindex!$A:$Z,Info!$O$7,FALSE)</f>
        <v>Stk.</v>
      </c>
      <c r="N56" s="80"/>
      <c r="O56" s="202" t="str">
        <f>IF(ISNUMBER(L56),IF(OR(J56=Formeln!A31,J56=Formeln!A32,J56=Formeln!A33),R56,IF(OR(J56=Formeln!A34,J56=Formeln!A35,J56=Formeln!A36),S56,IF(OR(J56=Formeln!A37,J56=Formeln!A38,J56=Formeln!A39),T56,IF(OR(J56=Formeln!A40,J56=Formeln!A41),U56,IF(OR(J56=Formeln!A42,J56=Formeln!A43,J56=Formeln!A44),V56,IF(OR(J56=Formeln!A45),W56,IF(OR(J56=Formeln!A46,J56=Formeln!A47),X56,IF(OR(J56=Formeln!A48),Y56,IF(OR(J56=Formeln!A49,J56=Formeln!A50),Z56,IF(OR(J56=Formeln!A51),AA56,0)))))))))), "")</f>
        <v/>
      </c>
      <c r="Q56" s="1">
        <f>IF(J56=Formeln!$A$31,BB56,IF(J56=Formeln!$A$32,BW56,IF(J56=Formeln!$A$33,CR56,IF(J56=Formeln!$A$34,DM56,IF(J56=Formeln!$A$35,EH56,IF(J56=Formeln!$A$36,FC56,IF(J56=Formeln!$A$37,FX56,IF(J56=Formeln!$A$38,GS56,IF(J56=Formeln!$A$39,HN56,IF(J56=Formeln!$A$40,II56,IF(J56=Formeln!$A$41,JD56,IF(J56=Formeln!$A$42,JY56,IF(J56=Formeln!$A$43,KT56,IF(J56=Formeln!$A$44,LO56,IF(J56=Formeln!$A$45,MJ56,IF(J56=Formeln!$A$46,NE56,IF(J56=Formeln!$A$47,NZ56,IF(J56=Formeln!$A$48,OU56,IF(J56=Formeln!$A$49,PP56,IF(J56=Formeln!$A$50,QK56,IF(J56=Formeln!$A$51,RF56,0)))))))))))))))))))))</f>
        <v>0</v>
      </c>
      <c r="R56" s="200">
        <v>264.7</v>
      </c>
      <c r="S56" s="200">
        <v>271.8</v>
      </c>
      <c r="T56" s="200">
        <v>272.3</v>
      </c>
      <c r="U56" s="200">
        <v>285.8</v>
      </c>
      <c r="V56" s="200">
        <v>328.1</v>
      </c>
      <c r="W56" s="200">
        <v>335.1</v>
      </c>
      <c r="X56" s="200">
        <v>335.1</v>
      </c>
      <c r="Y56" s="200">
        <v>335.1</v>
      </c>
      <c r="Z56" s="200">
        <v>337.4</v>
      </c>
      <c r="AA56" s="200">
        <v>337.4</v>
      </c>
      <c r="AC56" s="135"/>
      <c r="AD56" s="149">
        <f t="shared" si="8"/>
        <v>0</v>
      </c>
      <c r="AE56" s="149">
        <f t="shared" si="5"/>
        <v>0</v>
      </c>
      <c r="AF56" s="145"/>
      <c r="AH56" s="44"/>
      <c r="AI56" s="48"/>
      <c r="AJ56" s="48"/>
      <c r="AK56" s="48"/>
      <c r="AL56" s="48"/>
      <c r="AM56" s="48"/>
      <c r="AN56" s="48"/>
      <c r="AO56" s="48"/>
      <c r="AP56" s="48"/>
      <c r="AQ56" s="480" t="s">
        <v>56</v>
      </c>
      <c r="AR56" s="484">
        <v>111100</v>
      </c>
      <c r="AS56" s="484">
        <v>111101</v>
      </c>
      <c r="AT56" s="484">
        <v>111102</v>
      </c>
      <c r="AU56" s="484">
        <v>111103</v>
      </c>
      <c r="AV56" s="484">
        <v>111104</v>
      </c>
      <c r="AW56" s="484">
        <v>111105</v>
      </c>
      <c r="AX56" s="484">
        <v>111106</v>
      </c>
      <c r="AY56" s="484">
        <v>111107</v>
      </c>
      <c r="AZ56" s="484">
        <v>111108</v>
      </c>
      <c r="BA56" s="481">
        <v>111109</v>
      </c>
      <c r="BB56" s="468">
        <f>IF(AND($P$9=2,$P$21=1),AH56,IF(AND($P$9=2,$P$21=4),AI56,IF(AND($P$9=2,$P$21=5),AJ56,IF(AND($P$9=2,$P$21=11),AK56,IF(AND($P$9=2,$P$21=7),AL56,IF(AND($P$9=2,$P$21=3),AM56,IF(AND($P$9=2,$P$21=6),AN56,IF(AND($P$9=2,$P$21=9),AO56,IF(AND($P$9=2,$P$21=2),AP56,IF(AND($P$9=2,$P$21=8),AQ56,IF(AND($P$9=1,$P$21=1),AR56,IF(AND($P$9=1,$P$21=1),AR56,IF(AND($P$9=1,$P$21=4),AS56,IF(AND($P$9=1,$P$21=5),AT56,IF(AND($P$9=1,$P$21=11),AU56,IF(AND($P$9=1,$P$21=7),AV56,IF(AND($P$9=1,$P$21=3),AW56,IF(AND($P$9=1,$P$21=6),AX56,IF(AND($P$9=1,$P$21=9),AY56,IF(AND($P$9=1,$P$21=2),AZ56,IF(AND($P$9=1,$P$21=8),BA56,0)))))))))))))))))))))</f>
        <v>0</v>
      </c>
      <c r="BC56" s="49"/>
      <c r="BD56" s="48"/>
      <c r="BE56" s="48"/>
      <c r="BF56" s="48"/>
      <c r="BG56" s="48"/>
      <c r="BH56" s="48"/>
      <c r="BI56" s="48"/>
      <c r="BJ56" s="48"/>
      <c r="BK56" s="48"/>
      <c r="BM56" s="484">
        <v>111100</v>
      </c>
      <c r="BN56" s="484">
        <v>111101</v>
      </c>
      <c r="BO56" s="484">
        <v>111102</v>
      </c>
      <c r="BP56" s="484">
        <v>111103</v>
      </c>
      <c r="BQ56" s="484">
        <v>111104</v>
      </c>
      <c r="BR56" s="484">
        <v>111105</v>
      </c>
      <c r="BS56" s="484">
        <v>111106</v>
      </c>
      <c r="BT56" s="484">
        <v>111107</v>
      </c>
      <c r="BU56" s="484">
        <v>111108</v>
      </c>
      <c r="BV56" s="481">
        <v>111109</v>
      </c>
      <c r="BW56" s="50">
        <f>IF(AND($P$9=2,$P$21=1),BC56,IF(AND($P$9=2,$P$21=4),BD56,IF(AND($P$9=2,$P$21=5),BE56,IF(AND($P$9=2,$P$21=11),BF56,IF(AND($P$9=2,$P$21=7),BG56,IF(AND($P$9=2,$P$21=3),BH56,IF(AND($P$9=2,$P$21=6),BI56,IF(AND($P$9=2,$P$21=9),BJ56,IF(AND($P$9=2,$P$21=2),BK56,IF(AND($P$9=2,$P$21=8),BL56,IF(AND($P$9=1,$P$21=1),BM56,IF(AND($P$9=1,$P$21=1),BM56,IF(AND($P$9=1,$P$21=4),BN56,IF(AND($P$9=1,$P$21=5),BO56,IF(AND($P$9=1,$P$21=11),BP56,IF(AND($P$9=1,$P$21=7),BQ56,IF(AND($P$9=1,$P$21=3),BR56,IF(AND($P$9=1,$P$21=6),BS56,IF(AND($P$9=1,$P$21=9),BT56,IF(AND($P$9=1,$P$21=2),BU56,IF(AND($P$9=1,$P$21=8),BV56,0)))))))))))))))))))))</f>
        <v>0</v>
      </c>
      <c r="BX56" s="49"/>
      <c r="BY56" s="48"/>
      <c r="BZ56" s="48"/>
      <c r="CA56" s="48"/>
      <c r="CB56" s="48"/>
      <c r="CC56" s="48"/>
      <c r="CD56" s="48"/>
      <c r="CE56" s="48"/>
      <c r="CF56" s="48"/>
      <c r="CH56" s="484">
        <v>111100</v>
      </c>
      <c r="CI56" s="484">
        <v>111101</v>
      </c>
      <c r="CJ56" s="484">
        <v>111102</v>
      </c>
      <c r="CK56" s="484">
        <v>111103</v>
      </c>
      <c r="CL56" s="484">
        <v>111104</v>
      </c>
      <c r="CM56" s="484">
        <v>111105</v>
      </c>
      <c r="CN56" s="484">
        <v>111106</v>
      </c>
      <c r="CO56" s="484">
        <v>111107</v>
      </c>
      <c r="CP56" s="484">
        <v>111108</v>
      </c>
      <c r="CQ56" s="481">
        <v>111109</v>
      </c>
      <c r="CR56" s="50">
        <f>IF(AND($P$9=2,$P$21=1),BX56,IF(AND($P$9=2,$P$21=4),BY56,IF(AND($P$9=2,$P$21=5),BZ56,IF(AND($P$9=2,$P$21=11),CA56,IF(AND($P$9=2,$P$21=7),CB56,IF(AND($P$9=2,$P$21=3),CC56,IF(AND($P$9=2,$P$21=6),CD56,IF(AND($P$9=2,$P$21=9),CE56,IF(AND($P$9=2,$P$21=2),CF56,IF(AND($P$9=2,$P$21=8),CG56,IF(AND($P$9=1,$P$21=1),CH56,IF(AND($P$9=1,$P$21=1),CH56,IF(AND($P$9=1,$P$21=4),CI56,IF(AND($P$9=1,$P$21=5),CJ56,IF(AND($P$9=1,$P$21=11),CK56,IF(AND($P$9=1,$P$21=7),CL56,IF(AND($P$9=1,$P$21=3),CM56,IF(AND($P$9=1,$P$21=6),CN56,IF(AND($P$9=1,$P$21=9),CO56,IF(AND($P$9=1,$P$21=2),CP56,IF(AND($P$9=1,$P$21=8),CQ56,0)))))))))))))))))))))</f>
        <v>0</v>
      </c>
      <c r="CS56" s="49"/>
      <c r="CT56" s="44"/>
      <c r="CU56" s="44"/>
      <c r="CV56" s="44"/>
      <c r="CW56" s="44"/>
      <c r="CX56" s="44"/>
      <c r="CY56" s="44"/>
      <c r="CZ56" s="44"/>
      <c r="DA56" s="44"/>
      <c r="DB56" s="427" t="s">
        <v>57</v>
      </c>
      <c r="DC56" s="482">
        <v>111120</v>
      </c>
      <c r="DD56" s="482">
        <v>111121</v>
      </c>
      <c r="DE56" s="482">
        <v>111122</v>
      </c>
      <c r="DF56" s="482">
        <v>111123</v>
      </c>
      <c r="DG56" s="482">
        <v>111124</v>
      </c>
      <c r="DH56" s="482">
        <v>111125</v>
      </c>
      <c r="DI56" s="482">
        <v>111126</v>
      </c>
      <c r="DJ56" s="482">
        <v>111127</v>
      </c>
      <c r="DK56" s="482">
        <v>111128</v>
      </c>
      <c r="DL56" s="483">
        <v>111129</v>
      </c>
      <c r="DM56" s="50">
        <f>IF(AND($P$9=2,$P$21=1),CS56,IF(AND($P$9=2,$P$21=4),CT56,IF(AND($P$9=2,$P$21=5),CU56,IF(AND($P$9=2,$P$21=11),CV56,IF(AND($P$9=2,$P$21=7),CW56,IF(AND($P$9=2,$P$21=3),CX56,IF(AND($P$9=2,$P$21=6),CY56,IF(AND($P$9=2,$P$21=9),CZ56,IF(AND($P$9=2,$P$21=2),DA56,IF(AND($P$9=2,$P$21=8),DB56,IF(AND($P$9=1,$P$21=1),DC56,IF(AND($P$9=1,$P$21=1),DC56,IF(AND($P$9=1,$P$21=4),DD56,IF(AND($P$9=1,$P$21=5),DE56,IF(AND($P$9=1,$P$21=11),DF56,IF(AND($P$9=1,$P$21=7),DG56,IF(AND($P$9=1,$P$21=3),DH56,IF(AND($P$9=1,$P$21=6),DI56,IF(AND($P$9=1,$P$21=9),DJ56,IF(AND($P$9=1,$P$21=2),DK56,IF(AND($P$9=1,$P$21=8),DL56,0)))))))))))))))))))))</f>
        <v>0</v>
      </c>
      <c r="DN56" s="49"/>
      <c r="DO56" s="44"/>
      <c r="DP56" s="44"/>
      <c r="DQ56" s="44"/>
      <c r="DR56" s="44"/>
      <c r="DS56" s="44"/>
      <c r="DT56" s="44"/>
      <c r="DU56" s="44"/>
      <c r="DV56" s="44"/>
      <c r="DX56" s="482">
        <v>111120</v>
      </c>
      <c r="DY56" s="482">
        <v>111121</v>
      </c>
      <c r="DZ56" s="482">
        <v>111122</v>
      </c>
      <c r="EA56" s="482">
        <v>111123</v>
      </c>
      <c r="EB56" s="482">
        <v>111124</v>
      </c>
      <c r="EC56" s="482">
        <v>111125</v>
      </c>
      <c r="ED56" s="482">
        <v>111126</v>
      </c>
      <c r="EE56" s="482">
        <v>111127</v>
      </c>
      <c r="EF56" s="482">
        <v>111128</v>
      </c>
      <c r="EG56" s="483">
        <v>111129</v>
      </c>
      <c r="EH56" s="50">
        <f>IF(AND($P$9=2,$P$21=1),DN56,IF(AND($P$9=2,$P$21=4),DO56,IF(AND($P$9=2,$P$21=5),DP56,IF(AND($P$9=2,$P$21=11),DQ56,IF(AND($P$9=2,$P$21=7),DR56,IF(AND($P$9=2,$P$21=3),DS56,IF(AND($P$9=2,$P$21=6),DT56,IF(AND($P$9=2,$P$21=9),DU56,IF(AND($P$9=2,$P$21=2),DV56,IF(AND($P$9=2,$P$21=8),DW56,IF(AND($P$9=1,$P$21=1),DX56,IF(AND($P$9=1,$P$21=1),DX56,IF(AND($P$9=1,$P$21=4),DY56,IF(AND($P$9=1,$P$21=5),DZ56,IF(AND($P$9=1,$P$21=11),EA56,IF(AND($P$9=1,$P$21=7),EB56,IF(AND($P$9=1,$P$21=3),EC56,IF(AND($P$9=1,$P$21=6),ED56,IF(AND($P$9=1,$P$21=9),EE56,IF(AND($P$9=1,$P$21=2),EF56,IF(AND($P$9=1,$P$21=8),EG56,0)))))))))))))))))))))</f>
        <v>0</v>
      </c>
      <c r="EI56" s="49"/>
      <c r="EJ56" s="44"/>
      <c r="EK56" s="44"/>
      <c r="EL56" s="44"/>
      <c r="EM56" s="44"/>
      <c r="EN56" s="44"/>
      <c r="EO56" s="44"/>
      <c r="EP56" s="44"/>
      <c r="EQ56" s="44"/>
      <c r="ES56" s="482">
        <v>111120</v>
      </c>
      <c r="ET56" s="482">
        <v>111121</v>
      </c>
      <c r="EU56" s="482">
        <v>111122</v>
      </c>
      <c r="EV56" s="482">
        <v>111123</v>
      </c>
      <c r="EW56" s="482">
        <v>111124</v>
      </c>
      <c r="EX56" s="482">
        <v>111125</v>
      </c>
      <c r="EY56" s="482">
        <v>111126</v>
      </c>
      <c r="EZ56" s="482">
        <v>111127</v>
      </c>
      <c r="FA56" s="482">
        <v>111128</v>
      </c>
      <c r="FB56" s="483">
        <v>111129</v>
      </c>
      <c r="FC56" s="50">
        <f>IF(AND($P$9=2,$P$21=1),EI56,IF(AND($P$9=2,$P$21=4),EJ56,IF(AND($P$9=2,$P$21=5),EK56,IF(AND($P$9=2,$P$21=11),EL56,IF(AND($P$9=2,$P$21=7),EM56,IF(AND($P$9=2,$P$21=3),EN56,IF(AND($P$9=2,$P$21=6),EO56,IF(AND($P$9=2,$P$21=9),EP56,IF(AND($P$9=2,$P$21=2),EQ56,IF(AND($P$9=2,$P$21=8),ER56,IF(AND($P$9=1,$P$21=1),ES56,IF(AND($P$9=1,$P$21=1),ES56,IF(AND($P$9=1,$P$21=4),ET56,IF(AND($P$9=1,$P$21=5),EU56,IF(AND($P$9=1,$P$21=11),EV56,IF(AND($P$9=1,$P$21=7),EW56,IF(AND($P$9=1,$P$21=3),EX56,IF(AND($P$9=1,$P$21=6),EY56,IF(AND($P$9=1,$P$21=9),EZ56,IF(AND($P$9=1,$P$21=2),FA56,IF(AND($P$9=1,$P$21=8),FB56,0)))))))))))))))))))))</f>
        <v>0</v>
      </c>
      <c r="FD56" s="49">
        <v>111170</v>
      </c>
      <c r="FE56" s="44"/>
      <c r="FF56" s="44"/>
      <c r="FG56" s="44"/>
      <c r="FH56" s="44"/>
      <c r="FI56" s="44"/>
      <c r="FJ56" s="44"/>
      <c r="FK56" s="44"/>
      <c r="FL56" s="44"/>
      <c r="FM56" s="487" t="s">
        <v>58</v>
      </c>
      <c r="FN56" s="488">
        <v>111160</v>
      </c>
      <c r="FO56" s="488">
        <v>111161</v>
      </c>
      <c r="FP56" s="488">
        <v>111162</v>
      </c>
      <c r="FQ56" s="488">
        <v>111163</v>
      </c>
      <c r="FR56" s="488">
        <v>111164</v>
      </c>
      <c r="FS56" s="488">
        <v>111165</v>
      </c>
      <c r="FT56" s="488">
        <v>111166</v>
      </c>
      <c r="FU56" s="488">
        <v>111167</v>
      </c>
      <c r="FV56" s="488">
        <v>111168</v>
      </c>
      <c r="FW56" s="489">
        <v>111169</v>
      </c>
      <c r="FX56" s="50">
        <f>IF(AND($P$9=2,$P$21=1),FD56,IF(AND($P$9=2,$P$21=4),FE56,IF(AND($P$9=2,$P$21=5),FF56,IF(AND($P$9=2,$P$21=11),FG56,IF(AND($P$9=2,$P$21=7),FH56,IF(AND($P$9=2,$P$21=3),FI56,IF(AND($P$9=2,$P$21=6),FJ56,IF(AND($P$9=2,$P$21=9),FK56,IF(AND($P$9=2,$P$21=2),FL56,IF(AND($P$9=2,$P$21=8),FM56,IF(AND($P$9=1,$P$21=1),FN56,IF(AND($P$9=1,$P$21=1),FN56,IF(AND($P$9=1,$P$21=4),FO56,IF(AND($P$9=1,$P$21=5),FP56,IF(AND($P$9=1,$P$21=11),FQ56,IF(AND($P$9=1,$P$21=7),FR56,IF(AND($P$9=1,$P$21=3),FS56,IF(AND($P$9=1,$P$21=6),FT56,IF(AND($P$9=1,$P$21=9),FU56,IF(AND($P$9=1,$P$21=2),FV56,IF(AND($P$9=1,$P$21=8),FW56,0)))))))))))))))))))))</f>
        <v>0</v>
      </c>
      <c r="FY56" s="49"/>
      <c r="FZ56" s="44"/>
      <c r="GA56" s="44"/>
      <c r="GB56" s="44"/>
      <c r="GC56" s="44"/>
      <c r="GD56" s="44"/>
      <c r="GE56" s="44"/>
      <c r="GF56" s="44"/>
      <c r="GG56" s="44"/>
      <c r="GI56" s="488">
        <v>111160</v>
      </c>
      <c r="GJ56" s="488">
        <v>111161</v>
      </c>
      <c r="GK56" s="488">
        <v>111162</v>
      </c>
      <c r="GL56" s="488">
        <v>111163</v>
      </c>
      <c r="GM56" s="488">
        <v>111164</v>
      </c>
      <c r="GN56" s="488">
        <v>111165</v>
      </c>
      <c r="GO56" s="488">
        <v>111166</v>
      </c>
      <c r="GP56" s="488">
        <v>111167</v>
      </c>
      <c r="GQ56" s="488">
        <v>111168</v>
      </c>
      <c r="GR56" s="489">
        <v>111169</v>
      </c>
      <c r="GS56" s="50">
        <f>IF(AND($P$9=2,$P$21=1),FY56,IF(AND($P$9=2,$P$21=4),FZ56,IF(AND($P$9=2,$P$21=5),GA56,IF(AND($P$9=2,$P$21=11),GB56,IF(AND($P$9=2,$P$21=7),GC56,IF(AND($P$9=2,$P$21=3),GD56,IF(AND($P$9=2,$P$21=6),GE56,IF(AND($P$9=2,$P$21=9),GF56,IF(AND($P$9=2,$P$21=2),GG56,IF(AND($P$9=2,$P$21=8),GH56,IF(AND($P$9=1,$P$21=1),GI56,IF(AND($P$9=1,$P$21=1),GI56,IF(AND($P$9=1,$P$21=4),GJ56,IF(AND($P$9=1,$P$21=5),GK56,IF(AND($P$9=1,$P$21=11),GL56,IF(AND($P$9=1,$P$21=7),GM56,IF(AND($P$9=1,$P$21=3),GN56,IF(AND($P$9=1,$P$21=6),GO56,IF(AND($P$9=1,$P$21=9),GP56,IF(AND($P$9=1,$P$21=2),GQ56,IF(AND($P$9=1,$P$21=8),GR56,0)))))))))))))))))))))</f>
        <v>0</v>
      </c>
      <c r="GT56" s="49"/>
      <c r="GU56" s="44"/>
      <c r="GV56" s="44"/>
      <c r="GW56" s="44"/>
      <c r="GX56" s="44"/>
      <c r="GY56" s="44"/>
      <c r="GZ56" s="44"/>
      <c r="HA56" s="44"/>
      <c r="HB56" s="44"/>
      <c r="HD56" s="488">
        <v>111160</v>
      </c>
      <c r="HE56" s="488">
        <v>111161</v>
      </c>
      <c r="HF56" s="488">
        <v>111162</v>
      </c>
      <c r="HG56" s="488">
        <v>111163</v>
      </c>
      <c r="HH56" s="488">
        <v>111164</v>
      </c>
      <c r="HI56" s="488">
        <v>111165</v>
      </c>
      <c r="HJ56" s="488">
        <v>111166</v>
      </c>
      <c r="HK56" s="488">
        <v>111167</v>
      </c>
      <c r="HL56" s="488">
        <v>111168</v>
      </c>
      <c r="HM56" s="490">
        <v>111169</v>
      </c>
      <c r="HN56" s="50">
        <f>IF(AND($P$9=2,$P$21=1),GT56,IF(AND($P$9=2,$P$21=4),GU56,IF(AND($P$9=2,$P$21=5),GV56,IF(AND($P$9=2,$P$21=11),GW56,IF(AND($P$9=2,$P$21=7),GX56,IF(AND($P$9=2,$P$21=3),GY56,IF(AND($P$9=2,$P$21=6),GZ56,IF(AND($P$9=2,$P$21=9),HA56,IF(AND($P$9=2,$P$21=2),HB56,IF(AND($P$9=2,$P$21=8),HC56,IF(AND($P$9=1,$P$21=1),HD56,IF(AND($P$9=1,$P$21=1),HD56,IF(AND($P$9=1,$P$21=4),HE56,IF(AND($P$9=1,$P$21=5),HF56,IF(AND($P$9=1,$P$21=11),HG56,IF(AND($P$9=1,$P$21=7),HH56,IF(AND($P$9=1,$P$21=3),HI56,IF(AND($P$9=1,$P$21=6),HJ56,IF(AND($P$9=1,$P$21=9),HK56,IF(AND($P$9=1,$P$21=2),HL56,IF(AND($P$9=1,$P$21=8),HM56,0)))))))))))))))))))))</f>
        <v>0</v>
      </c>
      <c r="HO56" s="49"/>
      <c r="HP56" s="44"/>
      <c r="HQ56" s="44"/>
      <c r="HR56" s="44"/>
      <c r="HS56" s="44"/>
      <c r="HT56" s="44"/>
      <c r="HU56" s="44"/>
      <c r="HV56" s="44"/>
      <c r="HW56" s="44"/>
      <c r="HX56" s="485" t="s">
        <v>59</v>
      </c>
      <c r="HY56" s="486">
        <v>111280</v>
      </c>
      <c r="HZ56" s="486">
        <v>111281</v>
      </c>
      <c r="IA56" s="486">
        <v>111282</v>
      </c>
      <c r="IB56" s="486">
        <v>111283</v>
      </c>
      <c r="IC56" s="486">
        <v>111284</v>
      </c>
      <c r="ID56" s="486">
        <v>111285</v>
      </c>
      <c r="IE56" s="486">
        <v>111286</v>
      </c>
      <c r="IF56" s="486">
        <v>111287</v>
      </c>
      <c r="IG56" s="486">
        <v>111288</v>
      </c>
      <c r="IH56" s="491">
        <v>111289</v>
      </c>
      <c r="II56" s="50">
        <f>IF(AND($P$9=2,$P$21=1),HO56,IF(AND($P$9=2,$P$21=4),HP56,IF(AND($P$9=2,$P$21=5),HQ56,IF(AND($P$9=2,$P$21=11),HR56,IF(AND($P$9=2,$P$21=7),HS56,IF(AND($P$9=2,$P$21=3),HT56,IF(AND($P$9=2,$P$21=6),HU56,IF(AND($P$9=2,$P$21=9),HV56,IF(AND($P$9=2,$P$21=2),HW56,IF(AND($P$9=2,$P$21=8),HX56,IF(AND($P$9=1,$P$21=1),HY56,IF(AND($P$9=1,$P$21=1),HY56,IF(AND($P$9=1,$P$21=4),HZ56,IF(AND($P$9=1,$P$21=5),IA56,IF(AND($P$9=1,$P$21=11),IB56,IF(AND($P$9=1,$P$21=7),IC56,IF(AND($P$9=1,$P$21=3),ID56,IF(AND($P$9=1,$P$21=6),IE56,IF(AND($P$9=1,$P$21=9),IF56,IF(AND($P$9=1,$P$21=2),IG56,IF(AND($P$9=1,$P$21=8),IH56,0)))))))))))))))))))))</f>
        <v>0</v>
      </c>
      <c r="IJ56" s="49"/>
      <c r="IK56" s="44"/>
      <c r="IL56" s="44"/>
      <c r="IM56" s="44"/>
      <c r="IN56" s="44"/>
      <c r="IO56" s="44"/>
      <c r="IP56" s="44"/>
      <c r="IQ56" s="44"/>
      <c r="IR56" s="44"/>
      <c r="IT56" s="486">
        <v>111280</v>
      </c>
      <c r="IU56" s="486">
        <v>111281</v>
      </c>
      <c r="IV56" s="486">
        <v>111282</v>
      </c>
      <c r="IW56" s="486">
        <v>111283</v>
      </c>
      <c r="IX56" s="486">
        <v>111284</v>
      </c>
      <c r="IY56" s="486">
        <v>111285</v>
      </c>
      <c r="IZ56" s="486">
        <v>111286</v>
      </c>
      <c r="JA56" s="486">
        <v>111287</v>
      </c>
      <c r="JB56" s="486">
        <v>111288</v>
      </c>
      <c r="JC56" s="491">
        <v>111289</v>
      </c>
      <c r="JD56" s="50">
        <f>IF(AND($P$9=2,$P$21=1),IJ56,IF(AND($P$9=2,$P$21=4),IK56,IF(AND($P$9=2,$P$21=5),IL56,IF(AND($P$9=2,$P$21=11),IM56,IF(AND($P$9=2,$P$21=7),IN56,IF(AND($P$9=2,$P$21=3),IO56,IF(AND($P$9=2,$P$21=6),IP56,IF(AND($P$9=2,$P$21=9),IQ56,IF(AND($P$9=2,$P$21=2),IR56,IF(AND($P$9=2,$P$21=8),IS56,IF(AND($P$9=1,$P$21=1),IT56,IF(AND($P$9=1,$P$21=1),IT56,IF(AND($P$9=1,$P$21=4),IU56,IF(AND($P$9=1,$P$21=5),IV56,IF(AND($P$9=1,$P$21=11),IW56,IF(AND($P$9=1,$P$21=7),IX56,IF(AND($P$9=1,$P$21=3),IY56,IF(AND($P$9=1,$P$21=6),IZ56,IF(AND($P$9=1,$P$21=9),JA56,IF(AND($P$9=1,$P$21=2),JB56,IF(AND($P$9=1,$P$21=8),JC56,0)))))))))))))))))))))</f>
        <v>0</v>
      </c>
      <c r="JE56" s="49"/>
      <c r="JF56" s="44"/>
      <c r="JG56" s="44"/>
      <c r="JH56" s="44"/>
      <c r="JI56" s="44"/>
      <c r="JJ56" s="44"/>
      <c r="JK56" s="44"/>
      <c r="JL56" s="44"/>
      <c r="JM56" s="44"/>
      <c r="JN56" s="423" t="s">
        <v>60</v>
      </c>
      <c r="JO56" s="492">
        <v>111180</v>
      </c>
      <c r="JP56" s="492">
        <v>111181</v>
      </c>
      <c r="JQ56" s="492">
        <v>111182</v>
      </c>
      <c r="JR56" s="492">
        <v>111183</v>
      </c>
      <c r="JS56" s="492">
        <v>111184</v>
      </c>
      <c r="JT56" s="492">
        <v>111185</v>
      </c>
      <c r="JU56" s="492">
        <v>111186</v>
      </c>
      <c r="JV56" s="492">
        <v>111187</v>
      </c>
      <c r="JW56" s="492">
        <v>111188</v>
      </c>
      <c r="JX56" s="493">
        <v>111189</v>
      </c>
      <c r="JY56" s="50">
        <f>IF(AND($P$9=2,$P$21=1),JE56,IF(AND($P$9=2,$P$21=4),JF56,IF(AND($P$9=2,$P$21=5),JG56,IF(AND($P$9=2,$P$21=11),JH56,IF(AND($P$9=2,$P$21=7),JI56,IF(AND($P$9=2,$P$21=3),JJ56,IF(AND($P$9=2,$P$21=6),JK56,IF(AND($P$9=2,$P$21=9),JL56,IF(AND($P$9=2,$P$21=2),JM56,IF(AND($P$9=2,$P$21=8),JN56,IF(AND($P$9=1,$P$21=1),JO56,IF(AND($P$9=1,$P$21=1),JO56,IF(AND($P$9=1,$P$21=4),JP56,IF(AND($P$9=1,$P$21=5),JQ56,IF(AND($P$9=1,$P$21=11),JR56,IF(AND($P$9=1,$P$21=7),JS56,IF(AND($P$9=1,$P$21=3),JT56,IF(AND($P$9=1,$P$21=6),JU56,IF(AND($P$9=1,$P$21=9),JV56,IF(AND($P$9=1,$P$21=2),JW56,IF(AND($P$9=1,$P$21=8),JX56,0)))))))))))))))))))))</f>
        <v>0</v>
      </c>
      <c r="JZ56" s="49"/>
      <c r="KA56" s="44"/>
      <c r="KB56" s="44"/>
      <c r="KC56" s="44"/>
      <c r="KD56" s="44"/>
      <c r="KE56" s="44"/>
      <c r="KF56" s="44"/>
      <c r="KG56" s="44"/>
      <c r="KH56" s="44"/>
      <c r="KJ56" s="492">
        <v>111180</v>
      </c>
      <c r="KK56" s="492">
        <v>111181</v>
      </c>
      <c r="KL56" s="492">
        <v>111182</v>
      </c>
      <c r="KM56" s="492">
        <v>111183</v>
      </c>
      <c r="KN56" s="492">
        <v>111184</v>
      </c>
      <c r="KO56" s="492">
        <v>111185</v>
      </c>
      <c r="KP56" s="492">
        <v>111186</v>
      </c>
      <c r="KQ56" s="492">
        <v>111187</v>
      </c>
      <c r="KR56" s="492">
        <v>111188</v>
      </c>
      <c r="KS56" s="493">
        <v>111189</v>
      </c>
      <c r="KT56" s="50">
        <f>IF(AND($P$9=2,$P$21=1),JZ56,IF(AND($P$9=2,$P$21=4),KA56,IF(AND($P$9=2,$P$21=5),KB56,IF(AND($P$9=2,$P$21=11),KC56,IF(AND($P$9=2,$P$21=7),KD56,IF(AND($P$9=2,$P$21=3),KE56,IF(AND($P$9=2,$P$21=6),KF56,IF(AND($P$9=2,$P$21=9),KG56,IF(AND($P$9=2,$P$21=2),KH56,IF(AND($P$9=2,$P$21=8),KI56,IF(AND($P$9=1,$P$21=1),KJ56,IF(AND($P$9=1,$P$21=1),KJ56,IF(AND($P$9=1,$P$21=4),KK56,IF(AND($P$9=1,$P$21=5),KL56,IF(AND($P$9=1,$P$21=11),KM56,IF(AND($P$9=1,$P$21=7),KN56,IF(AND($P$9=1,$P$21=3),KO56,IF(AND($P$9=1,$P$21=6),KP56,IF(AND($P$9=1,$P$21=9),KQ56,IF(AND($P$9=1,$P$21=2),KR56,IF(AND($P$9=1,$P$21=8),KS56,0)))))))))))))))))))))</f>
        <v>0</v>
      </c>
      <c r="KU56" s="49"/>
      <c r="KV56" s="44"/>
      <c r="KW56" s="44"/>
      <c r="KX56" s="44"/>
      <c r="KY56" s="44"/>
      <c r="KZ56" s="44"/>
      <c r="LA56" s="44"/>
      <c r="LB56" s="44"/>
      <c r="LC56" s="44"/>
      <c r="LE56" s="492">
        <v>111180</v>
      </c>
      <c r="LF56" s="492">
        <v>111181</v>
      </c>
      <c r="LG56" s="492">
        <v>111182</v>
      </c>
      <c r="LH56" s="492">
        <v>111183</v>
      </c>
      <c r="LI56" s="492">
        <v>111184</v>
      </c>
      <c r="LJ56" s="492">
        <v>111185</v>
      </c>
      <c r="LK56" s="492">
        <v>111186</v>
      </c>
      <c r="LL56" s="492">
        <v>111187</v>
      </c>
      <c r="LM56" s="492">
        <v>111188</v>
      </c>
      <c r="LN56" s="493">
        <v>111189</v>
      </c>
      <c r="LO56" s="50">
        <f>IF(AND($P$9=2,$P$21=1),KU56,IF(AND($P$9=2,$P$21=4),KV56,IF(AND($P$9=2,$P$21=5),KW56,IF(AND($P$9=2,$P$21=11),KX56,IF(AND($P$9=2,$P$21=7),KY56,IF(AND($P$9=2,$P$21=3),KZ56,IF(AND($P$9=2,$P$21=6),LA56,IF(AND($P$9=2,$P$21=9),LB56,IF(AND($P$9=2,$P$21=2),LC56,IF(AND($P$9=2,$P$21=8),LD56,IF(AND($P$9=1,$P$21=1),LE56,IF(AND($P$9=1,$P$21=1),LE56,IF(AND($P$9=1,$P$21=4),LF56,IF(AND($P$9=1,$P$21=5),LG56,IF(AND($P$9=1,$P$21=11),LH56,IF(AND($P$9=1,$P$21=7),LI56,IF(AND($P$9=1,$P$21=3),LJ56,IF(AND($P$9=1,$P$21=6),LK56,IF(AND($P$9=1,$P$21=9),LL56,IF(AND($P$9=1,$P$21=2),LM56,IF(AND($P$9=1,$P$21=8),LN56,0)))))))))))))))))))))</f>
        <v>0</v>
      </c>
      <c r="LP56" s="49"/>
      <c r="LQ56" s="44"/>
      <c r="LR56" s="44"/>
      <c r="LS56" s="44"/>
      <c r="LT56" s="44"/>
      <c r="LU56" s="44"/>
      <c r="LV56" s="44"/>
      <c r="LW56" s="44"/>
      <c r="LX56" s="44"/>
      <c r="LY56" s="1" t="s">
        <v>61</v>
      </c>
      <c r="LZ56" s="44">
        <v>111200</v>
      </c>
      <c r="MA56" s="44">
        <v>111201</v>
      </c>
      <c r="MB56" s="44">
        <v>111202</v>
      </c>
      <c r="MC56" s="44">
        <v>111203</v>
      </c>
      <c r="MD56" s="44">
        <v>111204</v>
      </c>
      <c r="ME56" s="44">
        <v>111205</v>
      </c>
      <c r="MF56" s="44">
        <v>111206</v>
      </c>
      <c r="MG56" s="44">
        <v>111207</v>
      </c>
      <c r="MH56" s="44">
        <v>111208</v>
      </c>
      <c r="MI56" s="175">
        <v>111209</v>
      </c>
      <c r="MJ56" s="50">
        <f>IF(AND($P$9=2,$P$21=1),LP56,IF(AND($P$9=2,$P$21=4),LQ56,IF(AND($P$9=2,$P$21=5),LR56,IF(AND($P$9=2,$P$21=11),LS56,IF(AND($P$9=2,$P$21=7),LT56,IF(AND($P$9=2,$P$21=3),LU56,IF(AND($P$9=2,$P$21=6),LV56,IF(AND($P$9=2,$P$21=9),LW56,IF(AND($P$9=2,$P$21=2),LX56,IF(AND($P$9=2,$P$21=8),LY56,IF(AND($P$9=1,$P$21=1),LZ56,IF(AND($P$9=1,$P$21=1),LZ56,IF(AND($P$9=1,$P$21=4),MA56,IF(AND($P$9=1,$P$21=5),MB56,IF(AND($P$9=1,$P$21=11),MC56,IF(AND($P$9=1,$P$21=7),MD56,IF(AND($P$9=1,$P$21=3),ME56,IF(AND($P$9=1,$P$21=6),MF56,IF(AND($P$9=1,$P$21=9),MG56,IF(AND($P$9=1,$P$21=2),MH56,IF(AND($P$9=1,$P$21=8),MI56,0)))))))))))))))))))))</f>
        <v>0</v>
      </c>
      <c r="MK56" s="49"/>
      <c r="ML56" s="44"/>
      <c r="MM56" s="44"/>
      <c r="MN56" s="44"/>
      <c r="MO56" s="44"/>
      <c r="MP56" s="44"/>
      <c r="MQ56" s="44"/>
      <c r="MR56" s="44"/>
      <c r="MS56" s="44"/>
      <c r="MT56" s="319" t="s">
        <v>62</v>
      </c>
      <c r="MU56" s="494">
        <v>111220</v>
      </c>
      <c r="MV56" s="494">
        <v>111221</v>
      </c>
      <c r="MW56" s="494">
        <v>111222</v>
      </c>
      <c r="MX56" s="494">
        <v>111223</v>
      </c>
      <c r="MY56" s="494">
        <v>111224</v>
      </c>
      <c r="MZ56" s="494">
        <v>111225</v>
      </c>
      <c r="NA56" s="494">
        <v>111226</v>
      </c>
      <c r="NB56" s="494">
        <v>111227</v>
      </c>
      <c r="NC56" s="494">
        <v>111228</v>
      </c>
      <c r="ND56" s="495">
        <v>111229</v>
      </c>
      <c r="NE56" s="50">
        <f>IF(AND($P$9=2,$P$21=1),MK56,IF(AND($P$9=2,$P$21=4),ML56,IF(AND($P$9=2,$P$21=5),MM56,IF(AND($P$9=2,$P$21=11),MN56,IF(AND($P$9=2,$P$21=7),MO56,IF(AND($P$9=2,$P$21=3),MP56,IF(AND($P$9=2,$P$21=6),MQ56,IF(AND($P$9=2,$P$21=9),MR56,IF(AND($P$9=2,$P$21=2),MS56,IF(AND($P$9=2,$P$21=8),MT56,IF(AND($P$9=1,$P$21=1),MU56,IF(AND($P$9=1,$P$21=1),MU56,IF(AND($P$9=1,$P$21=4),MV56,IF(AND($P$9=1,$P$21=5),MW56,IF(AND($P$9=1,$P$21=11),MX56,IF(AND($P$9=1,$P$21=7),MY56,IF(AND($P$9=1,$P$21=3),MZ56,IF(AND($P$9=1,$P$21=6),NA56,IF(AND($P$9=1,$P$21=9),NB56,IF(AND($P$9=1,$P$21=2),NC56,IF(AND($P$9=1,$P$21=8),ND56,0)))))))))))))))))))))</f>
        <v>0</v>
      </c>
      <c r="NF56" s="49"/>
      <c r="NG56" s="44"/>
      <c r="NH56" s="44"/>
      <c r="NI56" s="44"/>
      <c r="NJ56" s="44"/>
      <c r="NK56" s="44"/>
      <c r="NL56" s="44"/>
      <c r="NM56" s="44"/>
      <c r="NN56" s="44"/>
      <c r="NP56" s="494">
        <v>111220</v>
      </c>
      <c r="NQ56" s="494">
        <v>111221</v>
      </c>
      <c r="NR56" s="494">
        <v>111222</v>
      </c>
      <c r="NS56" s="494">
        <v>111223</v>
      </c>
      <c r="NT56" s="494">
        <v>111224</v>
      </c>
      <c r="NU56" s="494">
        <v>111225</v>
      </c>
      <c r="NV56" s="494">
        <v>111226</v>
      </c>
      <c r="NW56" s="494">
        <v>111227</v>
      </c>
      <c r="NX56" s="494">
        <v>111228</v>
      </c>
      <c r="NY56" s="495">
        <v>111229</v>
      </c>
      <c r="NZ56" s="50">
        <f>IF(AND($P$9=2,$P$21=1),NF56,IF(AND($P$9=2,$P$21=4),NG56,IF(AND($P$9=2,$P$21=5),NH56,IF(AND($P$9=2,$P$21=11),NI56,IF(AND($P$9=2,$P$21=7),NJ56,IF(AND($P$9=2,$P$21=3),NK56,IF(AND($P$9=2,$P$21=6),NL56,IF(AND($P$9=2,$P$21=9),NM56,IF(AND($P$9=2,$P$21=2),NN56,IF(AND($P$9=2,$P$21=8),NO56,IF(AND($P$9=1,$P$21=1),NP56,IF(AND($P$9=1,$P$21=1),NP56,IF(AND($P$9=1,$P$21=4),NQ56,IF(AND($P$9=1,$P$21=5),NR56,IF(AND($P$9=1,$P$21=11),NS56,IF(AND($P$9=1,$P$21=7),NT56,IF(AND($P$9=1,$P$21=3),NU56,IF(AND($P$9=1,$P$21=6),NV56,IF(AND($P$9=1,$P$21=9),NW56,IF(AND($P$9=1,$P$21=2),NX56,IF(AND($P$9=1,$P$21=8),NY56,0)))))))))))))))))))))</f>
        <v>0</v>
      </c>
      <c r="OA56" s="49"/>
      <c r="OB56" s="44"/>
      <c r="OC56" s="44"/>
      <c r="OD56" s="44"/>
      <c r="OE56" s="44"/>
      <c r="OF56" s="44"/>
      <c r="OG56" s="44"/>
      <c r="OH56" s="44"/>
      <c r="OI56" s="44"/>
      <c r="OJ56" s="1" t="s">
        <v>63</v>
      </c>
      <c r="OK56" s="44">
        <v>111600</v>
      </c>
      <c r="OL56" s="44">
        <v>111601</v>
      </c>
      <c r="OM56" s="44">
        <v>111602</v>
      </c>
      <c r="ON56" s="44">
        <v>111603</v>
      </c>
      <c r="OO56" s="44">
        <v>111604</v>
      </c>
      <c r="OP56" s="44">
        <v>111605</v>
      </c>
      <c r="OQ56" s="44">
        <v>111606</v>
      </c>
      <c r="OR56" s="44">
        <v>111607</v>
      </c>
      <c r="OS56" s="44">
        <v>111608</v>
      </c>
      <c r="OT56" s="175">
        <v>111609</v>
      </c>
      <c r="OU56" s="50">
        <f>IF(AND($P$9=2,$P$21=1),OA56,IF(AND($P$9=2,$P$21=4),OB56,IF(AND($P$9=2,$P$21=5),OC56,IF(AND($P$9=2,$P$21=11),OD56,IF(AND($P$9=2,$P$21=7),OE56,IF(AND($P$9=2,$P$21=3),OF56,IF(AND($P$9=2,$P$21=6),OG56,IF(AND($P$9=2,$P$21=9),OH56,IF(AND($P$9=2,$P$21=2),OI56,IF(AND($P$9=2,$P$21=8),OJ56,IF(AND($P$9=1,$P$21=1),OK56,IF(AND($P$9=1,$P$21=1),OK56,IF(AND($P$9=1,$P$21=4),OL56,IF(AND($P$9=1,$P$21=5),OM56,IF(AND($P$9=1,$P$21=11),ON56,IF(AND($P$9=1,$P$21=7),OO56,IF(AND($P$9=1,$P$21=3),OP56,IF(AND($P$9=1,$P$21=6),OQ56,IF(AND($P$9=1,$P$21=9),OR56,IF(AND($P$9=1,$P$21=2),OS56,IF(AND($P$9=1,$P$21=8),OT56,0)))))))))))))))))))))</f>
        <v>0</v>
      </c>
      <c r="OV56" s="49"/>
      <c r="OW56" s="44"/>
      <c r="OX56" s="44"/>
      <c r="OY56" s="44"/>
      <c r="OZ56" s="44"/>
      <c r="PA56" s="44"/>
      <c r="PB56" s="44"/>
      <c r="PC56" s="44"/>
      <c r="PD56" s="44"/>
      <c r="PE56" s="319" t="s">
        <v>64</v>
      </c>
      <c r="PF56" s="494">
        <v>111240</v>
      </c>
      <c r="PG56" s="494">
        <v>111241</v>
      </c>
      <c r="PH56" s="494">
        <v>111242</v>
      </c>
      <c r="PI56" s="494">
        <v>111243</v>
      </c>
      <c r="PJ56" s="494">
        <v>111244</v>
      </c>
      <c r="PK56" s="494">
        <v>111245</v>
      </c>
      <c r="PL56" s="494">
        <v>111246</v>
      </c>
      <c r="PM56" s="494">
        <v>111247</v>
      </c>
      <c r="PN56" s="494">
        <v>111248</v>
      </c>
      <c r="PO56" s="495">
        <v>111249</v>
      </c>
      <c r="PP56" s="50">
        <f>IF(AND($P$9=2,$P$21=1),OV56,IF(AND($P$9=2,$P$21=4),OW56,IF(AND($P$9=2,$P$21=5),OX56,IF(AND($P$9=2,$P$21=11),OY56,IF(AND($P$9=2,$P$21=7),OZ56,IF(AND($P$9=2,$P$21=3),PA56,IF(AND($P$9=2,$P$21=6),PB56,IF(AND($P$9=2,$P$21=9),PC56,IF(AND($P$9=2,$P$21=2),PD56,IF(AND($P$9=2,$P$21=8),PE56,IF(AND($P$9=1,$P$21=1),PF56,IF(AND($P$9=1,$P$21=1),PF56,IF(AND($P$9=1,$P$21=4),PG56,IF(AND($P$9=1,$P$21=5),PH56,IF(AND($P$9=1,$P$21=11),PI56,IF(AND($P$9=1,$P$21=7),PJ56,IF(AND($P$9=1,$P$21=3),PK56,IF(AND($P$9=1,$P$21=6),PL56,IF(AND($P$9=1,$P$21=9),PM56,IF(AND($P$9=1,$P$21=2),PN56,IF(AND($P$9=1,$P$21=8),PO56,0)))))))))))))))))))))</f>
        <v>0</v>
      </c>
      <c r="PQ56" s="49"/>
      <c r="PR56" s="44"/>
      <c r="PS56" s="44"/>
      <c r="PT56" s="44"/>
      <c r="PU56" s="44"/>
      <c r="PV56" s="44"/>
      <c r="PW56" s="44"/>
      <c r="PX56" s="44"/>
      <c r="PY56" s="44"/>
      <c r="QA56" s="494">
        <v>111240</v>
      </c>
      <c r="QB56" s="494">
        <v>111241</v>
      </c>
      <c r="QC56" s="494">
        <v>111242</v>
      </c>
      <c r="QD56" s="494">
        <v>111243</v>
      </c>
      <c r="QE56" s="494">
        <v>111244</v>
      </c>
      <c r="QF56" s="494">
        <v>111245</v>
      </c>
      <c r="QG56" s="494">
        <v>111246</v>
      </c>
      <c r="QH56" s="494">
        <v>111247</v>
      </c>
      <c r="QI56" s="494">
        <v>111248</v>
      </c>
      <c r="QJ56" s="495">
        <v>111249</v>
      </c>
      <c r="QK56" s="50">
        <f>IF(AND($P$9=2,$P$21=1),PQ56,IF(AND($P$9=2,$P$21=4),PR56,IF(AND($P$9=2,$P$21=5),PS56,IF(AND($P$9=2,$P$21=11),PT56,IF(AND($P$9=2,$P$21=7),PU56,IF(AND($P$9=2,$P$21=3),PV56,IF(AND($P$9=2,$P$21=6),PW56,IF(AND($P$9=2,$P$21=9),PX56,IF(AND($P$9=2,$P$21=2),PY56,IF(AND($P$9=2,$P$21=8),PZ56,IF(AND($P$9=1,$P$21=1),QA56,IF(AND($P$9=1,$P$21=1),QA56,IF(AND($P$9=1,$P$21=4),QB56,IF(AND($P$9=1,$P$21=5),QC56,IF(AND($P$9=1,$P$21=11),QD56,IF(AND($P$9=1,$P$21=7),QE56,IF(AND($P$9=1,$P$21=3),QF56,IF(AND($P$9=1,$P$21=6),QG56,IF(AND($P$9=1,$P$21=9),QH56,IF(AND($P$9=1,$P$21=2),QI56,IF(AND($P$9=1,$P$21=8),QJ56,0)))))))))))))))))))))</f>
        <v>0</v>
      </c>
      <c r="QL56" s="49"/>
      <c r="QM56" s="44"/>
      <c r="QN56" s="44"/>
      <c r="QO56" s="44"/>
      <c r="QP56" s="44"/>
      <c r="QQ56" s="44"/>
      <c r="QR56" s="44"/>
      <c r="QS56" s="44"/>
      <c r="QT56" s="44"/>
      <c r="QU56" s="1" t="s">
        <v>65</v>
      </c>
      <c r="QV56" s="44">
        <v>111620</v>
      </c>
      <c r="QW56" s="44">
        <v>111621</v>
      </c>
      <c r="QX56" s="44">
        <v>111622</v>
      </c>
      <c r="QY56" s="44">
        <v>111623</v>
      </c>
      <c r="QZ56" s="44">
        <v>111624</v>
      </c>
      <c r="RA56" s="44">
        <v>111625</v>
      </c>
      <c r="RB56" s="44">
        <v>111626</v>
      </c>
      <c r="RC56" s="44">
        <v>111627</v>
      </c>
      <c r="RD56" s="44">
        <v>111628</v>
      </c>
      <c r="RE56" s="175">
        <v>111629</v>
      </c>
      <c r="RF56" s="50">
        <f>IF(AND($P$9=2,$P$21=1),QL56,IF(AND($P$9=2,$P$21=4),QM56,IF(AND($P$9=2,$P$21=5),QN56,IF(AND($P$9=2,$P$21=11),QO56,IF(AND($P$9=2,$P$21=7),QP56,IF(AND($P$9=2,$P$21=3),QQ56,IF(AND($P$9=2,$P$21=6),QR56,IF(AND($P$9=2,$P$21=9),QS56,IF(AND($P$9=2,$P$21=2),QT56,IF(AND($P$9=2,$P$21=8),QU56,IF(AND($P$9=1,$P$21=1),QV56,IF(AND($P$9=1,$P$21=1),QV56,IF(AND($P$9=1,$P$21=4),QW56,IF(AND($P$9=1,$P$21=5),QX56,IF(AND($P$9=1,$P$21=11),QY56,IF(AND($P$9=1,$P$21=7),QZ56,IF(AND($P$9=1,$P$21=3),RA56,IF(AND($P$9=1,$P$21=6),RB56,IF(AND($P$9=1,$P$21=9),RC56,IF(AND($P$9=1,$P$21=2),RD56,IF(AND($P$9=1,$P$21=8),RE56,0)))))))))))))))))))))</f>
        <v>0</v>
      </c>
    </row>
    <row r="57" spans="1:474" ht="32.1" customHeight="1">
      <c r="A57" s="98"/>
      <c r="B57" s="79" t="str">
        <f>VLOOKUP(878,Sprachindex!$A:$Z,Info!$O$7,FALSE)</f>
        <v>Stk.</v>
      </c>
      <c r="C57" s="78"/>
      <c r="D57" s="78" t="str">
        <f>IF(OR(J57=Formeln!$A$54,J57=Formeln!$A$55,J57=Formeln!$A$56,J57=Formeln!$A$80,J57=Formeln!$A$81,J57=Formeln!$A$82),BB57,IF(OR(J57=Formeln!$A$57,J57=Formeln!$A$58,J57=Formeln!$A$59,J57=Formeln!$A$83,J57=Formeln!$A$84,J57=Formeln!$A$85),BW57,IF(OR(J57=Formeln!$A$60,J57=Formeln!$A$61,J57=Formeln!$A$62,J57=Formeln!$A$86,J57=Formeln!$A$87,J57=Formeln!$A$88),CR57,IF(OR(J57=Formeln!$A$63,J57=Formeln!$A$64,J57=Formeln!$A$89,J57=Formeln!$A$90),DM57,IF(OR(J57=Formeln!$A$65,J57=Formeln!$A$66,J57=Formeln!$A$67,J57=Formeln!$A$91,J57=Formeln!$A$92,J57=Formeln!$A$93),EH57,IF(OR(J57=Formeln!$A$68,J57=Formeln!$A$69,J57=Formeln!$A$94,J57=Formeln!$A$95),FC57,IF(OR(J57=Formeln!$A$70,J57=Formeln!$A$71,J57=Formeln!$A$72,J57=Formeln!$A$73,J57=Formeln!$A$74,J57=Formeln!$A$96,J57=Formeln!$A$97,J57=Formeln!$A$98,J57=Formeln!$A$99,J57=Formeln!$A$100),FX57,IF(OR(J57=Formeln!$A$75,J57=Formeln!$A$76,J57=Formeln!$A$77,J57=Formeln!$A$101,J57=Formeln!$A$102,J57=Formeln!$A$103),GS57,""))))))))</f>
        <v/>
      </c>
      <c r="E57" s="561" t="str">
        <f>VLOOKUP(321,Sprachindex!$A:$Z,Info!$O$7,FALSE)</f>
        <v>Einfassung für Roto-Dachflächenfenster (stucco)</v>
      </c>
      <c r="F57" s="562"/>
      <c r="G57" s="562"/>
      <c r="H57" s="562"/>
      <c r="I57" s="84" t="str">
        <f>VLOOKUP(591,Sprachindex!$A:$Z,Info!$O$7,FALSE)</f>
        <v>Maße:</v>
      </c>
      <c r="J57" s="572"/>
      <c r="K57" s="574"/>
      <c r="L57" s="79" t="str">
        <f>IF($A57=0,"",IF($J57=Formeln!$A$52," ",IF($P$11=1,AD57,AE57)))</f>
        <v/>
      </c>
      <c r="M57" s="171" t="str">
        <f>VLOOKUP(878,Sprachindex!$A:$Z,Info!$O$7,FALSE)</f>
        <v>Stk.</v>
      </c>
      <c r="N57" s="80"/>
      <c r="O57" s="202" t="str">
        <f>IF(ISNUMBER(L57),IF(OR(J57=Formeln!A54,J57=Formeln!A55,J57=Formeln!A56,J57=Formeln!A80,J57=Formeln!A81,J57=Formeln!A82),R57,IF(OR(J57=Formeln!A57,J57=Formeln!A58,J57=Formeln!A59,J57=Formeln!A83,J57=Formeln!A84,J57=Formeln!A85),S57,IF(OR(J57=Formeln!A60,J57=Formeln!A61,J57=Formeln!A62,J57=Formeln!A86,J57=Formeln!A87,J57=Formeln!A88),T57,IF(OR(J57=Formeln!A63,J57=Formeln!A64,J57=Formeln!A89,J57=Formeln!A90),U57,IF(OR(J57=Formeln!A65,J57=Formeln!A66,J57=Formeln!A67,J57=Formeln!A91,J57=Formeln!A92,J57=Formeln!A93),V57,IF(OR(J57=Formeln!A68,J57=Formeln!A69,J57=Formeln!A94,J57=Formeln!A95),W57,IF(OR(J57=Formeln!A70,J57=Formeln!A71,J57=Formeln!A72,J57=Formeln!A73,J57=Formeln!A74,J57=Formeln!A96,J57=Formeln!A97,J57=Formeln!A98,J57=Formeln!A99,J57=Formeln!A100),X57,IF(OR(J57=Formeln!A75,J57=Formeln!A76,J57=Formeln!A77,J57=Formeln!A101,J57=Formeln!A102,J57=Formeln!A103),Y57,0)))))))), "")</f>
        <v/>
      </c>
      <c r="R57" s="200">
        <v>264.7</v>
      </c>
      <c r="S57" s="200">
        <v>271.8</v>
      </c>
      <c r="T57" s="200">
        <v>271.8</v>
      </c>
      <c r="U57" s="200">
        <v>285.8</v>
      </c>
      <c r="V57" s="200">
        <v>328.1</v>
      </c>
      <c r="W57" s="200">
        <v>335.1</v>
      </c>
      <c r="X57" s="200">
        <v>335.1</v>
      </c>
      <c r="Y57" s="200">
        <v>337.4</v>
      </c>
      <c r="AC57" s="135"/>
      <c r="AD57" s="149">
        <f t="shared" si="8"/>
        <v>0</v>
      </c>
      <c r="AE57" s="149">
        <f t="shared" si="5"/>
        <v>0</v>
      </c>
      <c r="AF57" s="145"/>
      <c r="AH57" s="44"/>
      <c r="AI57" s="44"/>
      <c r="AJ57" s="44"/>
      <c r="AK57" s="44"/>
      <c r="AL57" s="44"/>
      <c r="AM57" s="44"/>
      <c r="AN57" s="44"/>
      <c r="AO57" s="44"/>
      <c r="AP57" s="44"/>
      <c r="AQ57" s="477" t="s">
        <v>66</v>
      </c>
      <c r="AR57" s="478">
        <v>111300</v>
      </c>
      <c r="AS57" s="478">
        <v>111301</v>
      </c>
      <c r="AT57" s="478">
        <v>111302</v>
      </c>
      <c r="AU57" s="478">
        <v>111303</v>
      </c>
      <c r="AV57" s="478">
        <v>111304</v>
      </c>
      <c r="AW57" s="478">
        <v>111305</v>
      </c>
      <c r="AX57" s="478">
        <v>111306</v>
      </c>
      <c r="AY57" s="478">
        <v>111307</v>
      </c>
      <c r="AZ57" s="478">
        <v>111308</v>
      </c>
      <c r="BA57" s="479">
        <v>111309</v>
      </c>
      <c r="BB57" s="468">
        <f>IF(AND($P$9=2,$P$21=1),AH57,IF(AND($P$9=2,$P$21=4),AI57,IF(AND($P$9=2,$P$21=5),AJ57,IF(AND($P$9=2,$P$21=11),AK57,IF(AND($P$9=2,$P$21=7),AL57,IF(AND($P$9=2,$P$21=3),AM57,IF(AND($P$9=2,$P$21=6),AN57,IF(AND($P$9=2,$P$21=9),AO57,IF(AND($P$9=2,$P$21=2),AP57,IF(AND($P$9=2,$P$21=8),AQ57,IF(AND($P$9=1,$P$21=1),AR57,IF(AND($P$9=1,$P$21=1),AR57,IF(AND($P$9=1,$P$21=4),AS57,IF(AND($P$9=1,$P$21=5),AT57,IF(AND($P$9=1,$P$21=11),AU57,IF(AND($P$9=1,$P$21=7),AV57,IF(AND($P$9=1,$P$21=3),AW57,IF(AND($P$9=1,$P$21=6),AX57,IF(AND($P$9=1,$P$21=9),AY57,IF(AND($P$9=1,$P$21=2),AZ57,IF(AND($P$9=1,$P$21=8),BA57,0)))))))))))))))))))))</f>
        <v>0</v>
      </c>
      <c r="BC57" s="44"/>
      <c r="BD57" s="44"/>
      <c r="BE57" s="44"/>
      <c r="BF57" s="44"/>
      <c r="BG57" s="44"/>
      <c r="BH57" s="44"/>
      <c r="BI57" s="44"/>
      <c r="BJ57" s="44"/>
      <c r="BK57" s="44"/>
      <c r="BL57" s="496" t="s">
        <v>67</v>
      </c>
      <c r="BM57" s="44">
        <v>111320</v>
      </c>
      <c r="BN57" s="44">
        <v>111321</v>
      </c>
      <c r="BO57" s="44">
        <v>111322</v>
      </c>
      <c r="BP57" s="44">
        <v>111323</v>
      </c>
      <c r="BQ57" s="44">
        <v>111324</v>
      </c>
      <c r="BR57" s="44">
        <v>111325</v>
      </c>
      <c r="BS57" s="44">
        <v>111326</v>
      </c>
      <c r="BT57" s="44">
        <v>111327</v>
      </c>
      <c r="BU57" s="44">
        <v>111328</v>
      </c>
      <c r="BV57" s="174">
        <v>111329</v>
      </c>
      <c r="BW57" s="50">
        <f>IF(AND($P$9=2,$P$21=1),BC57,IF(AND($P$9=2,$P$21=4),BD57,IF(AND($P$9=2,$P$21=5),BE57,IF(AND($P$9=2,$P$21=11),BF57,IF(AND($P$9=2,$P$21=7),BG57,IF(AND($P$9=2,$P$21=3),BH57,IF(AND($P$9=2,$P$21=6),BI57,IF(AND($P$9=2,$P$21=9),BJ57,IF(AND($P$9=2,$P$21=2),BK57,IF(AND($P$9=2,$P$21=8),BL57,IF(AND($P$9=1,$P$21=1),BM57,IF(AND($P$9=1,$P$21=1),BM57,IF(AND($P$9=1,$P$21=4),BN57,IF(AND($P$9=1,$P$21=5),BO57,IF(AND($P$9=1,$P$21=11),BP57,IF(AND($P$9=1,$P$21=7),BQ57,IF(AND($P$9=1,$P$21=3),BR57,IF(AND($P$9=1,$P$21=6),BS57,IF(AND($P$9=1,$P$21=9),BT57,IF(AND($P$9=1,$P$21=2),BU57,IF(AND($P$9=1,$P$21=8),BV57,0)))))))))))))))))))))</f>
        <v>0</v>
      </c>
      <c r="BX57" s="44"/>
      <c r="BY57" s="44"/>
      <c r="BZ57" s="44"/>
      <c r="CA57" s="44"/>
      <c r="CB57" s="44"/>
      <c r="CC57" s="44"/>
      <c r="CD57" s="44"/>
      <c r="CE57" s="44"/>
      <c r="CF57" s="44"/>
      <c r="CG57" s="1" t="s">
        <v>68</v>
      </c>
      <c r="CH57" s="44">
        <v>111340</v>
      </c>
      <c r="CI57" s="44">
        <v>111341</v>
      </c>
      <c r="CJ57" s="44">
        <v>111342</v>
      </c>
      <c r="CK57" s="44">
        <v>111343</v>
      </c>
      <c r="CL57" s="44">
        <v>111344</v>
      </c>
      <c r="CM57" s="44">
        <v>111345</v>
      </c>
      <c r="CN57" s="44">
        <v>111346</v>
      </c>
      <c r="CO57" s="44">
        <v>111347</v>
      </c>
      <c r="CP57" s="44">
        <v>111348</v>
      </c>
      <c r="CQ57" s="174">
        <v>111349</v>
      </c>
      <c r="CR57" s="50">
        <f>IF(AND($P$9=2,$P$21=1),BX57,IF(AND($P$9=2,$P$21=4),BY57,IF(AND($P$9=2,$P$21=5),BZ57,IF(AND($P$9=2,$P$21=11),CA57,IF(AND($P$9=2,$P$21=7),CB57,IF(AND($P$9=2,$P$21=3),CC57,IF(AND($P$9=2,$P$21=6),CD57,IF(AND($P$9=2,$P$21=9),CE57,IF(AND($P$9=2,$P$21=2),CF57,IF(AND($P$9=2,$P$21=8),CG57,IF(AND($P$9=1,$P$21=1),CH57,IF(AND($P$9=1,$P$21=1),CH57,IF(AND($P$9=1,$P$21=4),CI57,IF(AND($P$9=1,$P$21=5),CJ57,IF(AND($P$9=1,$P$21=11),CK57,IF(AND($P$9=1,$P$21=7),CL57,IF(AND($P$9=1,$P$21=3),CM57,IF(AND($P$9=1,$P$21=6),CN57,IF(AND($P$9=1,$P$21=9),CO57,IF(AND($P$9=1,$P$21=2),CP57,IF(AND($P$9=1,$P$21=8),CQ57,0)))))))))))))))))))))</f>
        <v>0</v>
      </c>
      <c r="CS57" s="44"/>
      <c r="CT57" s="44"/>
      <c r="CU57" s="44"/>
      <c r="CV57" s="44"/>
      <c r="CW57" s="44"/>
      <c r="CX57" s="44"/>
      <c r="CY57" s="44"/>
      <c r="CZ57" s="44"/>
      <c r="DA57" s="44"/>
      <c r="DB57" s="1" t="s">
        <v>69</v>
      </c>
      <c r="DC57" s="44">
        <v>111360</v>
      </c>
      <c r="DD57" s="44">
        <v>111361</v>
      </c>
      <c r="DE57" s="44">
        <v>111362</v>
      </c>
      <c r="DF57" s="44">
        <v>111363</v>
      </c>
      <c r="DG57" s="44">
        <v>111364</v>
      </c>
      <c r="DH57" s="44">
        <v>111365</v>
      </c>
      <c r="DI57" s="44">
        <v>111366</v>
      </c>
      <c r="DJ57" s="44">
        <v>111367</v>
      </c>
      <c r="DK57" s="44">
        <v>111368</v>
      </c>
      <c r="DL57" s="174">
        <v>111369</v>
      </c>
      <c r="DM57" s="50">
        <f>IF(AND($P$9=2,$P$21=1),BX57,IF(AND($P$9=2,$P$21=4),BY57,IF(AND($P$9=2,$P$21=5),BZ57,IF(AND($P$9=2,$P$21=11),CA57,IF(AND($P$9=2,$P$21=7),CB57,IF(AND($P$9=2,$P$21=3),CC57,IF(AND($P$9=2,$P$21=6),CD57,IF(AND($P$9=2,$P$21=9),CE57,IF(AND($P$9=2,$P$21=2),CF57,IF(AND($P$9=2,$P$21=8),CG57,IF(AND($P$9=1,$P$21=1),DC57,IF(AND($P$9=1,$P$21=1),DC57,IF(AND($P$9=1,$P$21=4),DD57,IF(AND($P$9=1,$P$21=5),DE57,IF(AND($P$9=1,$P$21=11),DF57,IF(AND($P$9=1,$P$21=7),DG57,IF(AND($P$9=1,$P$21=3),DH57,IF(AND($P$9=1,$P$21=6),DI57,IF(AND($P$9=1,$P$21=9),DJ57,IF(AND($P$9=1,$P$21=2),DK57,IF(AND($P$9=1,$P$21=8),DL57,0)))))))))))))))))))))</f>
        <v>0</v>
      </c>
      <c r="DW57" s="1" t="s">
        <v>70</v>
      </c>
      <c r="DX57" s="44">
        <v>111380</v>
      </c>
      <c r="DY57" s="44">
        <v>111381</v>
      </c>
      <c r="DZ57" s="44">
        <v>111382</v>
      </c>
      <c r="EA57" s="44">
        <v>111383</v>
      </c>
      <c r="EB57" s="44">
        <v>111384</v>
      </c>
      <c r="EC57" s="44">
        <v>111385</v>
      </c>
      <c r="ED57" s="44">
        <v>111386</v>
      </c>
      <c r="EE57" s="44">
        <v>111387</v>
      </c>
      <c r="EF57" s="44">
        <v>111388</v>
      </c>
      <c r="EG57" s="174">
        <v>111389</v>
      </c>
      <c r="EH57" s="50">
        <f>IF(AND($P$9=2,$P$21=1),CS57,IF(AND($P$9=2,$P$21=4),CT57,IF(AND($P$9=2,$P$21=5),CU57,IF(AND($P$9=2,$P$21=11),CV57,IF(AND($P$9=2,$P$21=7),CW57,IF(AND($P$9=2,$P$21=3),CX57,IF(AND($P$9=2,$P$21=6),CY57,IF(AND($P$9=2,$P$21=9),CZ57,IF(AND($P$9=2,$P$21=2),DA57,IF(AND($P$9=2,$P$21=8),DB57,IF(AND($P$9=1,$P$21=1),DX57,IF(AND($P$9=1,$P$21=1),DX57,IF(AND($P$9=1,$P$21=4),DY57,IF(AND($P$9=1,$P$21=5),DZ57,IF(AND($P$9=1,$P$21=11),EA57,IF(AND($P$9=1,$P$21=7),EB57,IF(AND($P$9=1,$P$21=3),EC57,IF(AND($P$9=1,$P$21=6),ED57,IF(AND($P$9=1,$P$21=9),EE57,IF(AND($P$9=1,$P$21=2),EF57,IF(AND($P$9=1,$P$21=8),EG57,0)))))))))))))))))))))</f>
        <v>0</v>
      </c>
      <c r="EI57" s="44"/>
      <c r="EJ57" s="44"/>
      <c r="EK57" s="44"/>
      <c r="EL57" s="44"/>
      <c r="EM57" s="44"/>
      <c r="EN57" s="44"/>
      <c r="EO57" s="44"/>
      <c r="EP57" s="44"/>
      <c r="EQ57" s="44"/>
      <c r="ER57" s="1" t="s">
        <v>71</v>
      </c>
      <c r="ES57" s="44">
        <v>111400</v>
      </c>
      <c r="ET57" s="44">
        <v>111401</v>
      </c>
      <c r="EU57" s="44">
        <v>111402</v>
      </c>
      <c r="EV57" s="44">
        <v>111403</v>
      </c>
      <c r="EW57" s="44">
        <v>111404</v>
      </c>
      <c r="EX57" s="44">
        <v>111405</v>
      </c>
      <c r="EY57" s="44">
        <v>111406</v>
      </c>
      <c r="EZ57" s="44">
        <v>111407</v>
      </c>
      <c r="FA57" s="44">
        <v>111408</v>
      </c>
      <c r="FB57" s="174">
        <v>111409</v>
      </c>
      <c r="FC57" s="50">
        <f>IF(AND($P$9=2,$P$21=1),EI57,IF(AND($P$9=2,$P$21=4),EJ57,IF(AND($P$9=2,$P$21=5),EK57,IF(AND($P$9=2,$P$21=11),EL57,IF(AND($P$9=2,$P$21=7),EM57,IF(AND($P$9=2,$P$21=3),EN57,IF(AND($P$9=2,$P$21=6),EO57,IF(AND($P$9=2,$P$21=9),EP57,IF(AND($P$9=2,$P$21=2),EQ57,IF(AND($P$9=2,$P$21=8),ER57,IF(AND($P$9=1,$P$21=1),ES57,IF(AND($P$9=1,$P$21=1),ES57,IF(AND($P$9=1,$P$21=4),ET57,IF(AND($P$9=1,$P$21=5),EU57,IF(AND($P$9=1,$P$21=11),EV57,IF(AND($P$9=1,$P$21=7),EW57,IF(AND($P$9=1,$P$21=3),EX57,IF(AND($P$9=1,$P$21=6),EY57,IF(AND($P$9=1,$P$21=9),EZ57,IF(AND($P$9=1,$P$21=2),FA57,IF(AND($P$9=1,$P$21=8),FB57,0)))))))))))))))))))))</f>
        <v>0</v>
      </c>
      <c r="FD57" s="44"/>
      <c r="FE57" s="44"/>
      <c r="FF57" s="44"/>
      <c r="FG57" s="44"/>
      <c r="FH57" s="44"/>
      <c r="FI57" s="44"/>
      <c r="FJ57" s="44"/>
      <c r="FK57" s="44"/>
      <c r="FL57" s="44"/>
      <c r="FM57" s="1" t="s">
        <v>72</v>
      </c>
      <c r="FN57" s="44">
        <v>111420</v>
      </c>
      <c r="FO57" s="44">
        <v>111421</v>
      </c>
      <c r="FP57" s="44">
        <v>111422</v>
      </c>
      <c r="FQ57" s="44">
        <v>111423</v>
      </c>
      <c r="FR57" s="44">
        <v>111424</v>
      </c>
      <c r="FS57" s="44">
        <v>111425</v>
      </c>
      <c r="FT57" s="44">
        <v>111426</v>
      </c>
      <c r="FU57" s="44">
        <v>111427</v>
      </c>
      <c r="FV57" s="44">
        <v>111428</v>
      </c>
      <c r="FW57" s="174">
        <v>111429</v>
      </c>
      <c r="FX57" s="50">
        <f>IF(AND($P$9=2,$P$21=1),FD57,IF(AND($P$9=2,$P$21=4),FE57,IF(AND($P$9=2,$P$21=5),FF57,IF(AND($P$9=2,$P$21=11),FG57,IF(AND($P$9=2,$P$21=7),FH57,IF(AND($P$9=2,$P$21=3),FI57,IF(AND($P$9=2,$P$21=6),FJ57,IF(AND($P$9=2,$P$21=9),FK57,IF(AND($P$9=2,$P$21=2),FL57,IF(AND($P$9=2,$P$21=8),FM57,IF(AND($P$9=1,$P$21=1),FN57,IF(AND($P$9=1,$P$21=1),FN57,IF(AND($P$9=1,$P$21=4),FO57,IF(AND($P$9=1,$P$21=5),FP57,IF(AND($P$9=1,$P$21=11),FQ57,IF(AND($P$9=1,$P$21=7),FR57,IF(AND($P$9=1,$P$21=3),FS57,IF(AND($P$9=1,$P$21=6),FT57,IF(AND($P$9=1,$P$21=9),FU57,IF(AND($P$9=1,$P$21=2),FV57,IF(AND($P$9=1,$P$21=8),FW57,0)))))))))))))))))))))</f>
        <v>0</v>
      </c>
      <c r="FY57" s="44"/>
      <c r="FZ57" s="44"/>
      <c r="GA57" s="44"/>
      <c r="GB57" s="44"/>
      <c r="GC57" s="44"/>
      <c r="GD57" s="44"/>
      <c r="GE57" s="44"/>
      <c r="GF57" s="44"/>
      <c r="GG57" s="44"/>
      <c r="GH57" s="1" t="s">
        <v>73</v>
      </c>
      <c r="GI57" s="44">
        <v>111440</v>
      </c>
      <c r="GJ57" s="44">
        <v>111441</v>
      </c>
      <c r="GK57" s="44">
        <v>111442</v>
      </c>
      <c r="GL57" s="44">
        <v>111443</v>
      </c>
      <c r="GM57" s="44">
        <v>111444</v>
      </c>
      <c r="GN57" s="44">
        <v>111445</v>
      </c>
      <c r="GO57" s="44">
        <v>111446</v>
      </c>
      <c r="GP57" s="44">
        <v>111447</v>
      </c>
      <c r="GQ57" s="44">
        <v>111448</v>
      </c>
      <c r="GR57" s="174">
        <v>111449</v>
      </c>
      <c r="GS57" s="50">
        <f>IF(AND($P$9=2,$P$21=1),FY57,IF(AND($P$9=2,$P$21=4),FZ57,IF(AND($P$9=2,$P$21=5),GA57,IF(AND($P$9=2,$P$21=11),GB57,IF(AND($P$9=2,$P$21=7),GC57,IF(AND($P$9=2,$P$21=3),GD57,IF(AND($P$9=2,$P$21=6),GE57,IF(AND($P$9=2,$P$21=9),GF57,IF(AND($P$9=2,$P$21=2),GG57,IF(AND($P$9=2,$P$21=8),GH57,IF(AND($P$9=1,$P$21=1),GI57,IF(AND($P$9=1,$P$21=1),GI57,IF(AND($P$9=1,$P$21=4),GJ57,IF(AND($P$9=1,$P$21=5),GK57,IF(AND($P$9=1,$P$21=11),GL57,IF(AND($P$9=1,$P$21=7),GM57,IF(AND($P$9=1,$P$21=3),GN57,IF(AND($P$9=1,$P$21=6),GO57,IF(AND($P$9=1,$P$21=9),GP57,IF(AND($P$9=1,$P$21=2),GQ57,IF(AND($P$9=1,$P$21=8),GR57,0)))))))))))))))))))))</f>
        <v>0</v>
      </c>
      <c r="HN57" s="50"/>
      <c r="II57" s="50"/>
      <c r="JD57" s="50"/>
      <c r="JY57" s="50"/>
      <c r="KT57" s="50"/>
      <c r="LO57" s="50"/>
      <c r="MJ57" s="50"/>
      <c r="NE57" s="50"/>
      <c r="NZ57" s="50"/>
      <c r="OU57" s="50"/>
      <c r="PP57" s="50"/>
      <c r="QK57" s="50"/>
      <c r="RF57" s="50"/>
    </row>
    <row r="58" spans="1:474" ht="32.1" customHeight="1">
      <c r="A58" s="98"/>
      <c r="B58" s="79" t="str">
        <f>VLOOKUP(878,Sprachindex!$A:$Z,Info!$O$7,FALSE)</f>
        <v>Stk.</v>
      </c>
      <c r="C58" s="78"/>
      <c r="D58" s="78">
        <v>111700</v>
      </c>
      <c r="E58" s="561" t="str">
        <f>VLOOKUP(322,Sprachindex!$A:$Z,Info!$O$7,FALSE)</f>
        <v>Einfassung für Roto-Q-Serie (stucco)</v>
      </c>
      <c r="F58" s="562"/>
      <c r="G58" s="562"/>
      <c r="H58" s="562"/>
      <c r="I58" s="84" t="str">
        <f>VLOOKUP(591,Sprachindex!$A:$Z,Info!$O$7,FALSE)</f>
        <v>Maße:</v>
      </c>
      <c r="J58" s="572"/>
      <c r="K58" s="574"/>
      <c r="L58" s="79" t="str">
        <f>IF($A58=0,"",IF($J58=Formeln!$A$52," ",IF($P$11=1,AD58,AE58)))</f>
        <v/>
      </c>
      <c r="M58" s="171" t="str">
        <f>VLOOKUP(878,Sprachindex!$A:$Z,Info!$O$7,FALSE)</f>
        <v>Stk.</v>
      </c>
      <c r="N58" s="80"/>
      <c r="O58" s="202" t="str">
        <f>IF(ISNUMBER(L58),IF(OR(J58=Formeln!C54,J58=Formeln!C55,J58=Formeln!C56,J58=Formeln!C84,J58=Formeln!C85,J58=Formeln!C86),R58,IF(OR(J58=Formeln!C57,J58=Formeln!C58,J58=Formeln!C59,J58=Formeln!C87,J58=Formeln!C88,J58=Formeln!C89),S58,IF(OR(J58=Formeln!C60,J58=Formeln!C61,J58=Formeln!C62,J58=Formeln!C63,J58=Formeln!C64,J58=Formeln!C90,J58=Formeln!C91,J58=Formeln!C92,J58=Formeln!C93,J58=Formeln!C94),T58,IF(OR(J58=Formeln!C65,J58=Formeln!C66,J58=Formeln!C67,J58=Formeln!C68,J58=Formeln!C69,J58=Formeln!C70,J58=Formeln!C95,J58=Formeln!C96,J58=Formeln!C97,J58=Formeln!C98,J58=Formeln!C99,J58=Formeln!C100),U58,IF(OR(J58=Formeln!C71,J58=Formeln!C72,J58=Formeln!C73,J58=Formeln!C74,J58=Formeln!C75,J58=Formeln!C76,J58=Formeln!C101,J58=Formeln!C102,J58=Formeln!C103,J58=Formeln!C104,J58=Formeln!C105,J58=Formeln!C106),V58,IF(OR(J58=Formeln!C77,J58=Formeln!C78,J58=Formeln!C79,J58=Formeln!C80,J58=Formeln!C81,J58=Formeln!C107,J58=Formeln!C108,J58=Formeln!C109,J58=Formeln!C110,J58=Formeln!C111),W58,0)))))), "")</f>
        <v/>
      </c>
      <c r="R58" s="200">
        <v>291.25</v>
      </c>
      <c r="S58" s="200">
        <v>298.98</v>
      </c>
      <c r="T58" s="200">
        <v>298.98</v>
      </c>
      <c r="U58" s="200">
        <v>360.78</v>
      </c>
      <c r="V58" s="200">
        <v>368.64</v>
      </c>
      <c r="W58" s="200">
        <v>371.17</v>
      </c>
      <c r="AC58" s="135"/>
      <c r="AD58" s="149">
        <f t="shared" si="8"/>
        <v>0</v>
      </c>
      <c r="AE58" s="149">
        <f t="shared" si="5"/>
        <v>0</v>
      </c>
      <c r="AF58" s="145"/>
      <c r="AH58" s="44"/>
      <c r="AI58" s="44"/>
      <c r="AJ58" s="44"/>
      <c r="AK58" s="44"/>
      <c r="AL58" s="44"/>
      <c r="AM58" s="44"/>
      <c r="AN58" s="44"/>
      <c r="AO58" s="44"/>
      <c r="AP58" s="44"/>
      <c r="BC58" s="44"/>
      <c r="BD58" s="44"/>
      <c r="BE58" s="44"/>
      <c r="BF58" s="44"/>
      <c r="BG58" s="44"/>
      <c r="BH58" s="44"/>
      <c r="BI58" s="44"/>
      <c r="BJ58" s="44"/>
      <c r="BK58" s="44"/>
      <c r="BM58" s="127"/>
      <c r="BN58" s="127"/>
      <c r="BO58" s="127"/>
      <c r="BP58" s="127"/>
      <c r="BQ58" s="127"/>
      <c r="BR58" s="127"/>
      <c r="BS58" s="127"/>
      <c r="BT58" s="127"/>
      <c r="BU58" s="127"/>
      <c r="BV58" s="176"/>
      <c r="BW58" s="50">
        <f>IF(AND($P$9=2,$P$21=1),BC58,IF(AND($P$9=2,$P$21=4),BD58,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7"/>
      <c r="CI58" s="127"/>
      <c r="CJ58" s="127"/>
      <c r="CK58" s="127"/>
      <c r="CL58" s="127"/>
      <c r="CM58" s="127"/>
      <c r="CN58" s="127"/>
      <c r="CO58" s="127"/>
      <c r="CP58" s="127"/>
      <c r="CQ58" s="176"/>
      <c r="CR58" s="50">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7"/>
      <c r="DD58" s="127"/>
      <c r="DE58" s="127"/>
      <c r="DF58" s="127"/>
      <c r="DG58" s="127"/>
      <c r="DH58" s="127"/>
      <c r="DI58" s="127"/>
      <c r="DJ58" s="127"/>
      <c r="DK58" s="127"/>
      <c r="DL58" s="176"/>
      <c r="DM58" s="50">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7"/>
      <c r="DY58" s="127"/>
      <c r="DZ58" s="127"/>
      <c r="EA58" s="127"/>
      <c r="EB58" s="127"/>
      <c r="EC58" s="127"/>
      <c r="ED58" s="127"/>
      <c r="EE58" s="127"/>
      <c r="EF58" s="127"/>
      <c r="EG58" s="176"/>
      <c r="EH58" s="50">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7"/>
      <c r="ET58" s="127"/>
      <c r="EU58" s="127"/>
      <c r="EV58" s="127"/>
      <c r="EW58" s="127"/>
      <c r="EX58" s="127"/>
      <c r="EY58" s="127"/>
      <c r="EZ58" s="127"/>
      <c r="FA58" s="127"/>
      <c r="FB58" s="176"/>
      <c r="FC58" s="50">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c r="HK58" s="126"/>
      <c r="IF58" s="126"/>
      <c r="JA58" s="126"/>
      <c r="JV58" s="126"/>
      <c r="KQ58" s="126"/>
      <c r="LL58" s="126"/>
      <c r="MG58" s="126"/>
      <c r="NB58" s="126"/>
      <c r="NW58" s="126"/>
      <c r="OR58" s="126"/>
      <c r="PM58" s="126"/>
      <c r="QH58" s="126"/>
      <c r="RC58" s="126"/>
    </row>
    <row r="59" spans="1:474" ht="32.1" customHeight="1">
      <c r="A59" s="98"/>
      <c r="B59" s="79" t="str">
        <f>VLOOKUP(878,Sprachindex!$A:$Z,Info!$O$7,FALSE)</f>
        <v>Stk.</v>
      </c>
      <c r="C59" s="78"/>
      <c r="D59" s="78">
        <f>IF($P$21=1,AH59,IF($P$21=4,AI59,IF($P$21=5,AJ59,IF($P$21=11,AK59,IF($P$21=7,AL59,IF($P$21=3,AM59,IF($P$21=6,AN59,IF($P$21=9,AO59,IF($P$21=2,AP59,IF($P$21=8,AQ59,0))))))))))</f>
        <v>0</v>
      </c>
      <c r="E59" s="561" t="str">
        <f>VLOOKUP(345,Sprachindex!$A:$Z,Info!$O$7,FALSE)</f>
        <v>Einzeltritt (inkl. zwei Fußteile)</v>
      </c>
      <c r="F59" s="562"/>
      <c r="G59" s="562"/>
      <c r="H59" s="562"/>
      <c r="I59" s="562"/>
      <c r="J59" s="562"/>
      <c r="K59" s="563"/>
      <c r="L59" s="79" t="str">
        <f t="shared" ref="L59:L100" si="11">IF(A59=0,"",IF($P$11=1,AD59,AE59))</f>
        <v/>
      </c>
      <c r="M59" s="171" t="str">
        <f>VLOOKUP(878,Sprachindex!$A:$Z,Info!$O$7,FALSE)</f>
        <v>Stk.</v>
      </c>
      <c r="N59" s="80"/>
      <c r="O59" s="202" t="str">
        <f t="shared" ref="O59:O106" si="12">IF(ISNUMBER(A59),$L59*R59, "")</f>
        <v/>
      </c>
      <c r="R59" s="200">
        <v>70.75</v>
      </c>
      <c r="AC59" s="135"/>
      <c r="AD59" s="149">
        <f t="shared" si="8"/>
        <v>0</v>
      </c>
      <c r="AE59" s="149">
        <f t="shared" si="5"/>
        <v>0</v>
      </c>
      <c r="AF59" s="145"/>
      <c r="AH59" s="44">
        <v>120070</v>
      </c>
      <c r="AI59" s="44">
        <v>120071</v>
      </c>
      <c r="AJ59" s="44">
        <v>120072</v>
      </c>
      <c r="AK59" s="44">
        <v>120073</v>
      </c>
      <c r="AL59" s="44">
        <v>120074</v>
      </c>
      <c r="AM59" s="44">
        <v>120075</v>
      </c>
      <c r="AN59" s="44">
        <v>120076</v>
      </c>
      <c r="AO59" s="44">
        <v>120077</v>
      </c>
      <c r="AP59" s="44">
        <v>120078</v>
      </c>
      <c r="AQ59" s="44">
        <v>120079</v>
      </c>
    </row>
    <row r="60" spans="1:474" ht="32.1" customHeight="1">
      <c r="A60" s="98"/>
      <c r="B60" s="79" t="str">
        <f>VLOOKUP(878,Sprachindex!$A:$Z,Info!$O$7,FALSE)</f>
        <v>Stk.</v>
      </c>
      <c r="C60" s="78"/>
      <c r="D60" s="78">
        <f>IF($P$21=1,AH60,IF($P$21=4,AI60,IF($P$21=5,AJ60,IF($P$21=11,AK60,IF($P$21=7,AL60,IF($P$21=3,AM60,IF($P$21=6,AN60,IF($P$21=9,AO60,IF($P$21=2,AP60,IF($P$21=8,AQ60,0))))))))))</f>
        <v>0</v>
      </c>
      <c r="E60" s="561" t="str">
        <f>VLOOKUP(567,Sprachindex!$A:$Z,Info!$O$7,FALSE)</f>
        <v>Laufstegstütze auf einem Fußteil</v>
      </c>
      <c r="F60" s="562"/>
      <c r="G60" s="562"/>
      <c r="H60" s="562"/>
      <c r="I60" s="562"/>
      <c r="J60" s="562"/>
      <c r="K60" s="563"/>
      <c r="L60" s="79" t="str">
        <f t="shared" si="11"/>
        <v/>
      </c>
      <c r="M60" s="171" t="str">
        <f>VLOOKUP(878,Sprachindex!$A:$Z,Info!$O$7,FALSE)</f>
        <v>Stk.</v>
      </c>
      <c r="N60" s="80"/>
      <c r="O60" s="202" t="str">
        <f t="shared" si="12"/>
        <v/>
      </c>
      <c r="R60" s="200">
        <v>52.32</v>
      </c>
      <c r="AC60" s="135"/>
      <c r="AD60" s="149">
        <f t="shared" si="8"/>
        <v>0</v>
      </c>
      <c r="AE60" s="149">
        <f t="shared" si="5"/>
        <v>0</v>
      </c>
      <c r="AF60" s="145"/>
      <c r="AH60" s="44">
        <v>120080</v>
      </c>
      <c r="AI60" s="44">
        <v>120081</v>
      </c>
      <c r="AJ60" s="44">
        <v>120082</v>
      </c>
      <c r="AK60" s="44">
        <v>120083</v>
      </c>
      <c r="AL60" s="44">
        <v>120084</v>
      </c>
      <c r="AM60" s="44">
        <v>120085</v>
      </c>
      <c r="AN60" s="44">
        <v>120086</v>
      </c>
      <c r="AO60" s="44">
        <v>120087</v>
      </c>
      <c r="AP60" s="44">
        <v>120088</v>
      </c>
      <c r="AQ60" s="44">
        <v>120089</v>
      </c>
    </row>
    <row r="61" spans="1:474" ht="32.1" customHeight="1">
      <c r="A61" s="98"/>
      <c r="B61" s="79" t="str">
        <f>VLOOKUP(878,Sprachindex!$A:$Z,Info!$O$7,FALSE)</f>
        <v>Stk.</v>
      </c>
      <c r="C61" s="78"/>
      <c r="D61" s="78">
        <v>649304</v>
      </c>
      <c r="E61" s="561" t="str">
        <f>VLOOKUP(568,Sprachindex!$A:$Z,Info!$O$7,FALSE)</f>
        <v>Laufstegstütze auf zwei Fußteilen</v>
      </c>
      <c r="F61" s="562"/>
      <c r="G61" s="562"/>
      <c r="H61" s="562"/>
      <c r="I61" s="562"/>
      <c r="J61" s="562"/>
      <c r="K61" s="563"/>
      <c r="L61" s="79" t="str">
        <f t="shared" si="11"/>
        <v/>
      </c>
      <c r="M61" s="171" t="str">
        <f>VLOOKUP(878,Sprachindex!$A:$Z,Info!$O$7,FALSE)</f>
        <v>Stk.</v>
      </c>
      <c r="N61" s="80"/>
      <c r="O61" s="202" t="str">
        <f t="shared" si="12"/>
        <v/>
      </c>
      <c r="R61" s="200">
        <v>74.13</v>
      </c>
      <c r="AC61" s="135"/>
      <c r="AD61" s="149">
        <f t="shared" si="8"/>
        <v>0</v>
      </c>
      <c r="AE61" s="149">
        <f t="shared" si="5"/>
        <v>0</v>
      </c>
      <c r="AF61" s="145"/>
      <c r="AH61" s="44"/>
      <c r="AI61" s="44"/>
      <c r="AJ61" s="44"/>
      <c r="AK61" s="44"/>
      <c r="AL61" s="44"/>
      <c r="AM61" s="44"/>
      <c r="AN61" s="44"/>
      <c r="AO61" s="44"/>
      <c r="AP61" s="44"/>
      <c r="AQ61" s="44"/>
    </row>
    <row r="62" spans="1:474" ht="32.1" customHeight="1">
      <c r="A62" s="98"/>
      <c r="B62" s="79" t="str">
        <f>VLOOKUP(878,Sprachindex!$A:$Z,Info!$O$7,FALSE)</f>
        <v>Stk.</v>
      </c>
      <c r="C62" s="78"/>
      <c r="D62" s="78">
        <f>IF($P$21=1,AH62,IF($P$21=4,AI62,IF($P$21=5,AJ62,IF($P$21=11,AK62,IF($P$21=7,AL62,IF($P$21=3,AM62,IF($P$21=6,AN62,IF($P$21=9,AO62,IF($P$21=2,AP62,IF($P$21=8,AQ62,0))))))))))</f>
        <v>0</v>
      </c>
      <c r="E62" s="561" t="str">
        <f>VLOOKUP(560,Sprachindex!$A:$Z,Info!$O$7,FALSE)</f>
        <v>Laufsteg (250 × 1.200 mm)</v>
      </c>
      <c r="F62" s="562"/>
      <c r="G62" s="562"/>
      <c r="H62" s="562"/>
      <c r="I62" s="562"/>
      <c r="J62" s="562"/>
      <c r="K62" s="563"/>
      <c r="L62" s="79" t="str">
        <f t="shared" si="11"/>
        <v/>
      </c>
      <c r="M62" s="171" t="str">
        <f>VLOOKUP(878,Sprachindex!$A:$Z,Info!$O$7,FALSE)</f>
        <v>Stk.</v>
      </c>
      <c r="N62" s="80"/>
      <c r="O62" s="202" t="str">
        <f t="shared" si="12"/>
        <v/>
      </c>
      <c r="R62" s="200">
        <v>74.430000000000007</v>
      </c>
      <c r="AC62" s="135"/>
      <c r="AD62" s="149">
        <f t="shared" si="8"/>
        <v>0</v>
      </c>
      <c r="AE62" s="149">
        <f t="shared" si="5"/>
        <v>0</v>
      </c>
      <c r="AF62" s="145"/>
      <c r="AH62" s="44">
        <v>120030</v>
      </c>
      <c r="AI62" s="44">
        <v>120031</v>
      </c>
      <c r="AJ62" s="44">
        <v>120032</v>
      </c>
      <c r="AK62" s="44">
        <v>120033</v>
      </c>
      <c r="AL62" s="44">
        <v>120034</v>
      </c>
      <c r="AM62" s="44">
        <v>120035</v>
      </c>
      <c r="AN62" s="44">
        <v>120036</v>
      </c>
      <c r="AO62" s="44">
        <v>120037</v>
      </c>
      <c r="AP62" s="44">
        <v>120038</v>
      </c>
      <c r="AQ62" s="497">
        <v>120039</v>
      </c>
    </row>
    <row r="63" spans="1:474" ht="32.1" customHeight="1">
      <c r="A63" s="98"/>
      <c r="B63" s="79" t="str">
        <f>VLOOKUP(878,Sprachindex!$A:$Z,Info!$O$7,FALSE)</f>
        <v>Stk.</v>
      </c>
      <c r="C63" s="78"/>
      <c r="D63" s="78">
        <f>IF($P$21=1,AH63,IF($P$21=4,AI63,IF($P$21=5,AJ63,IF($P$21=11,AK63,IF($P$21=7,AL63,IF($P$21=3,AM63,IF($P$21=6,AN63,IF($P$21=9,AO63,IF($P$21=2,AP63,IF($P$21=8,AQ63,0))))))))))</f>
        <v>0</v>
      </c>
      <c r="E63" s="561" t="str">
        <f>VLOOKUP(563,Sprachindex!$A:$Z,Info!$O$7,FALSE)</f>
        <v>Laufsteg (250 × 800 mm)</v>
      </c>
      <c r="F63" s="562"/>
      <c r="G63" s="562"/>
      <c r="H63" s="562"/>
      <c r="I63" s="562"/>
      <c r="J63" s="562"/>
      <c r="K63" s="563"/>
      <c r="L63" s="79" t="str">
        <f t="shared" si="11"/>
        <v/>
      </c>
      <c r="M63" s="171" t="str">
        <f>VLOOKUP(878,Sprachindex!$A:$Z,Info!$O$7,FALSE)</f>
        <v>Stk.</v>
      </c>
      <c r="N63" s="80"/>
      <c r="O63" s="202" t="str">
        <f t="shared" si="12"/>
        <v/>
      </c>
      <c r="R63" s="200">
        <v>54.95</v>
      </c>
      <c r="AC63" s="135"/>
      <c r="AD63" s="149">
        <f t="shared" si="8"/>
        <v>0</v>
      </c>
      <c r="AE63" s="149">
        <f t="shared" si="5"/>
        <v>0</v>
      </c>
      <c r="AF63" s="145"/>
      <c r="AH63" s="44">
        <v>120020</v>
      </c>
      <c r="AI63" s="44">
        <v>120021</v>
      </c>
      <c r="AJ63" s="44">
        <v>120022</v>
      </c>
      <c r="AK63" s="44">
        <v>120023</v>
      </c>
      <c r="AL63" s="44">
        <v>120024</v>
      </c>
      <c r="AM63" s="44">
        <v>120025</v>
      </c>
      <c r="AN63" s="44">
        <v>120026</v>
      </c>
      <c r="AO63" s="44">
        <v>120027</v>
      </c>
      <c r="AP63" s="44">
        <v>120028</v>
      </c>
      <c r="AQ63" s="44">
        <v>121075</v>
      </c>
    </row>
    <row r="64" spans="1:474" ht="32.1" customHeight="1">
      <c r="A64" s="98"/>
      <c r="B64" s="79" t="str">
        <f>VLOOKUP(878,Sprachindex!$A:$Z,Info!$O$7,FALSE)</f>
        <v>Stk.</v>
      </c>
      <c r="C64" s="78"/>
      <c r="D64" s="78">
        <f>IF($P$21=1,AH64,IF($P$21=4,AI64,IF($P$21=5,AJ64,IF($P$21=11,AK64,IF($P$21=7,AL64,IF($P$21=3,AM64,IF($P$21=6,AN64,IF($P$21=9,AO64,IF($P$21=2,AP64,IF($P$21=8,AQ64,0))))))))))</f>
        <v>0</v>
      </c>
      <c r="E64" s="561" t="str">
        <f>VLOOKUP(562,Sprachindex!$A:$Z,Info!$O$7,FALSE)</f>
        <v>Laufsteg (250 × 600 mm)</v>
      </c>
      <c r="F64" s="562"/>
      <c r="G64" s="562"/>
      <c r="H64" s="562"/>
      <c r="I64" s="562"/>
      <c r="J64" s="562"/>
      <c r="K64" s="563"/>
      <c r="L64" s="79" t="str">
        <f t="shared" si="11"/>
        <v/>
      </c>
      <c r="M64" s="171" t="str">
        <f>VLOOKUP(878,Sprachindex!$A:$Z,Info!$O$7,FALSE)</f>
        <v>Stk.</v>
      </c>
      <c r="N64" s="80"/>
      <c r="O64" s="202" t="str">
        <f t="shared" si="12"/>
        <v/>
      </c>
      <c r="R64" s="200">
        <v>52.52</v>
      </c>
      <c r="AC64" s="135"/>
      <c r="AD64" s="149">
        <f t="shared" si="8"/>
        <v>0</v>
      </c>
      <c r="AE64" s="149">
        <f t="shared" si="5"/>
        <v>0</v>
      </c>
      <c r="AF64" s="145"/>
      <c r="AH64" s="44">
        <v>120060</v>
      </c>
      <c r="AI64" s="44">
        <v>120061</v>
      </c>
      <c r="AJ64" s="44">
        <v>120062</v>
      </c>
      <c r="AK64" s="44">
        <v>120063</v>
      </c>
      <c r="AL64" s="44">
        <v>120064</v>
      </c>
      <c r="AM64" s="44">
        <v>120065</v>
      </c>
      <c r="AN64" s="44">
        <v>120066</v>
      </c>
      <c r="AO64" s="44">
        <v>120067</v>
      </c>
      <c r="AP64" s="44">
        <v>120068</v>
      </c>
      <c r="AQ64" s="44">
        <v>120069</v>
      </c>
    </row>
    <row r="65" spans="1:55" ht="32.1" customHeight="1">
      <c r="A65" s="98"/>
      <c r="B65" s="79" t="str">
        <f>VLOOKUP(878,Sprachindex!$A:$Z,Info!$O$7,FALSE)</f>
        <v>Stk.</v>
      </c>
      <c r="C65" s="78"/>
      <c r="D65" s="78">
        <f>IF($P$21=1,AH65,IF($P$21=4,AI65,IF($P$21=5,AJ65,IF($P$21=11,AK65,IF($P$21=7,AL65,IF($P$21=3,AM65,IF($P$21=6,AN65,IF($P$21=9,AO65,IF($P$21=2,AP65,IF($P$21=8,AQ65,0))))))))))</f>
        <v>0</v>
      </c>
      <c r="E65" s="561" t="str">
        <f>VLOOKUP(561,Sprachindex!$A:$Z,Info!$O$7,FALSE)</f>
        <v>Laufsteg (250 × 420 mm)</v>
      </c>
      <c r="F65" s="562"/>
      <c r="G65" s="562"/>
      <c r="H65" s="562"/>
      <c r="I65" s="562"/>
      <c r="J65" s="562"/>
      <c r="K65" s="563"/>
      <c r="L65" s="79" t="str">
        <f t="shared" si="11"/>
        <v/>
      </c>
      <c r="M65" s="171" t="str">
        <f>VLOOKUP(878,Sprachindex!$A:$Z,Info!$O$7,FALSE)</f>
        <v>Stk.</v>
      </c>
      <c r="N65" s="80"/>
      <c r="O65" s="202" t="str">
        <f t="shared" si="12"/>
        <v/>
      </c>
      <c r="R65" s="200">
        <v>38.97</v>
      </c>
      <c r="AC65" s="135"/>
      <c r="AD65" s="149">
        <f>ROUNDUP($A65/4,0)*4</f>
        <v>0</v>
      </c>
      <c r="AE65" s="149">
        <f t="shared" si="5"/>
        <v>0</v>
      </c>
      <c r="AF65" s="145"/>
      <c r="AH65" s="44">
        <v>120010</v>
      </c>
      <c r="AI65" s="44">
        <v>120011</v>
      </c>
      <c r="AJ65" s="44">
        <v>120012</v>
      </c>
      <c r="AK65" s="44">
        <v>120013</v>
      </c>
      <c r="AL65" s="44">
        <v>120014</v>
      </c>
      <c r="AM65" s="44">
        <v>120015</v>
      </c>
      <c r="AN65" s="44">
        <v>120016</v>
      </c>
      <c r="AO65" s="44">
        <v>120017</v>
      </c>
      <c r="AP65" s="44">
        <v>120018</v>
      </c>
      <c r="AQ65" s="44">
        <v>120019</v>
      </c>
    </row>
    <row r="66" spans="1:55" ht="32.1" customHeight="1">
      <c r="A66" s="98"/>
      <c r="B66" s="79" t="str">
        <f>VLOOKUP(878,Sprachindex!$A:$Z,Info!$O$7,FALSE)</f>
        <v>Stk.</v>
      </c>
      <c r="C66" s="78"/>
      <c r="D66" s="78">
        <v>649305</v>
      </c>
      <c r="E66" s="561" t="str">
        <f>VLOOKUP(565,Sprachindex!$A:$Z,Info!$O$7,FALSE)</f>
        <v>Laufsteg (360 × 800 mm)</v>
      </c>
      <c r="F66" s="562"/>
      <c r="G66" s="562"/>
      <c r="H66" s="562"/>
      <c r="I66" s="562"/>
      <c r="J66" s="562"/>
      <c r="K66" s="563"/>
      <c r="L66" s="79" t="str">
        <f t="shared" si="11"/>
        <v/>
      </c>
      <c r="M66" s="171" t="str">
        <f>VLOOKUP(878,Sprachindex!$A:$Z,Info!$O$7,FALSE)</f>
        <v>Stk.</v>
      </c>
      <c r="N66" s="80"/>
      <c r="O66" s="202" t="str">
        <f t="shared" si="12"/>
        <v/>
      </c>
      <c r="R66" s="200">
        <v>80.81</v>
      </c>
      <c r="AC66" s="135"/>
      <c r="AD66" s="149">
        <f>ROUNDUP($A66,0)</f>
        <v>0</v>
      </c>
      <c r="AE66" s="149">
        <f t="shared" si="5"/>
        <v>0</v>
      </c>
      <c r="AF66" s="145"/>
      <c r="AH66" s="44"/>
      <c r="AI66" s="44"/>
      <c r="AJ66" s="44"/>
      <c r="AK66" s="44"/>
      <c r="AL66" s="44"/>
      <c r="AM66" s="44"/>
      <c r="AN66" s="44"/>
      <c r="AO66" s="44"/>
      <c r="AP66" s="44"/>
      <c r="AQ66" s="44"/>
    </row>
    <row r="67" spans="1:55" ht="32.1" customHeight="1">
      <c r="A67" s="98"/>
      <c r="B67" s="79" t="str">
        <f>VLOOKUP(878,Sprachindex!$A:$Z,Info!$O$7,FALSE)</f>
        <v>Stk.</v>
      </c>
      <c r="C67" s="78"/>
      <c r="D67" s="78">
        <v>649306</v>
      </c>
      <c r="E67" s="561" t="str">
        <f>VLOOKUP(564,Sprachindex!$A:$Z,Info!$O$7,FALSE)</f>
        <v>Laufsteg (360 × 1.200 mm)</v>
      </c>
      <c r="F67" s="562"/>
      <c r="G67" s="562"/>
      <c r="H67" s="562"/>
      <c r="I67" s="562"/>
      <c r="J67" s="562"/>
      <c r="K67" s="563"/>
      <c r="L67" s="79" t="str">
        <f t="shared" si="11"/>
        <v/>
      </c>
      <c r="M67" s="171" t="str">
        <f>VLOOKUP(878,Sprachindex!$A:$Z,Info!$O$7,FALSE)</f>
        <v>Stk.</v>
      </c>
      <c r="N67" s="80"/>
      <c r="O67" s="202" t="str">
        <f t="shared" si="12"/>
        <v/>
      </c>
      <c r="R67" s="200">
        <v>119.7</v>
      </c>
      <c r="AC67" s="135"/>
      <c r="AD67" s="149">
        <f>ROUNDUP($A67,0)</f>
        <v>0</v>
      </c>
      <c r="AE67" s="149">
        <f t="shared" si="5"/>
        <v>0</v>
      </c>
      <c r="AF67" s="145"/>
      <c r="AH67" s="44"/>
      <c r="AI67" s="44"/>
      <c r="AJ67" s="44"/>
      <c r="AK67" s="44"/>
      <c r="AL67" s="44"/>
      <c r="AM67" s="44"/>
      <c r="AN67" s="44"/>
      <c r="AO67" s="44"/>
      <c r="AP67" s="44"/>
      <c r="AQ67" s="44"/>
    </row>
    <row r="68" spans="1:55" ht="32.1" customHeight="1">
      <c r="A68" s="98"/>
      <c r="B68" s="79" t="str">
        <f>VLOOKUP(878,Sprachindex!$A:$Z,Info!$O$7,FALSE)</f>
        <v>Stk.</v>
      </c>
      <c r="C68" s="78"/>
      <c r="D68" s="83">
        <v>649001</v>
      </c>
      <c r="E68" s="561" t="str">
        <f>VLOOKUP(955,Sprachindex!$A:$Z,Info!$O$7,FALSE)</f>
        <v>Verbinder (verzinkt; für Laufsteg; Breite: 250 mm)</v>
      </c>
      <c r="F68" s="562"/>
      <c r="G68" s="562"/>
      <c r="H68" s="562"/>
      <c r="I68" s="562"/>
      <c r="J68" s="562"/>
      <c r="K68" s="563"/>
      <c r="L68" s="79" t="str">
        <f t="shared" si="11"/>
        <v/>
      </c>
      <c r="M68" s="171" t="str">
        <f>VLOOKUP(878,Sprachindex!$A:$Z,Info!$O$7,FALSE)</f>
        <v>Stk.</v>
      </c>
      <c r="N68" s="80"/>
      <c r="O68" s="202" t="str">
        <f t="shared" si="12"/>
        <v/>
      </c>
      <c r="R68" s="200">
        <v>24.02</v>
      </c>
      <c r="AC68" s="135"/>
      <c r="AD68" s="149">
        <f>ROUNDUP($A68,0)</f>
        <v>0</v>
      </c>
      <c r="AE68" s="149">
        <f t="shared" si="5"/>
        <v>0</v>
      </c>
      <c r="AF68" s="145"/>
      <c r="AH68" s="47"/>
      <c r="AI68" s="47"/>
      <c r="AJ68" s="47"/>
      <c r="AK68" s="47"/>
      <c r="AL68" s="47"/>
      <c r="AM68" s="47"/>
      <c r="AN68" s="47"/>
      <c r="AO68" s="47"/>
      <c r="AP68" s="47"/>
      <c r="AQ68" s="47"/>
      <c r="AR68" s="47"/>
      <c r="AS68" s="47"/>
      <c r="AT68" s="47"/>
      <c r="AU68" s="47"/>
      <c r="AV68" s="47"/>
      <c r="AW68" s="47"/>
      <c r="AX68" s="47"/>
      <c r="AY68" s="47"/>
      <c r="AZ68" s="47"/>
      <c r="BA68" s="47"/>
    </row>
    <row r="69" spans="1:55" ht="32.1" customHeight="1">
      <c r="A69" s="98"/>
      <c r="B69" s="79" t="str">
        <f>VLOOKUP(878,Sprachindex!$A:$Z,Info!$O$7,FALSE)</f>
        <v>Stk.</v>
      </c>
      <c r="C69" s="78"/>
      <c r="D69" s="83">
        <v>649008</v>
      </c>
      <c r="E69" s="561" t="str">
        <f>VLOOKUP(956,Sprachindex!$A:$Z,Info!$O$7,FALSE)</f>
        <v>Verbinder (verzinkt; für Laufsteg; Breite: 360 mm)</v>
      </c>
      <c r="F69" s="562"/>
      <c r="G69" s="562"/>
      <c r="H69" s="562"/>
      <c r="I69" s="562"/>
      <c r="J69" s="562"/>
      <c r="K69" s="563"/>
      <c r="L69" s="79" t="str">
        <f t="shared" si="11"/>
        <v/>
      </c>
      <c r="M69" s="171" t="str">
        <f>VLOOKUP(878,Sprachindex!$A:$Z,Info!$O$7,FALSE)</f>
        <v>Stk.</v>
      </c>
      <c r="N69" s="80"/>
      <c r="O69" s="202" t="str">
        <f t="shared" si="12"/>
        <v/>
      </c>
      <c r="R69" s="200">
        <v>53.07</v>
      </c>
      <c r="AC69" s="135"/>
      <c r="AD69" s="149">
        <f>ROUNDUP($A69,0)</f>
        <v>0</v>
      </c>
      <c r="AE69" s="149">
        <f t="shared" si="5"/>
        <v>0</v>
      </c>
      <c r="AF69" s="145"/>
      <c r="AH69" s="47" t="s">
        <v>33</v>
      </c>
      <c r="AI69" s="47" t="s">
        <v>34</v>
      </c>
      <c r="AJ69" s="47" t="s">
        <v>35</v>
      </c>
      <c r="AK69" s="47" t="s">
        <v>36</v>
      </c>
      <c r="AL69" s="47" t="s">
        <v>37</v>
      </c>
      <c r="AM69" s="47" t="s">
        <v>38</v>
      </c>
      <c r="AN69" s="47" t="s">
        <v>39</v>
      </c>
      <c r="AO69" s="47" t="s">
        <v>40</v>
      </c>
      <c r="AP69" s="47" t="s">
        <v>41</v>
      </c>
      <c r="AQ69" s="47" t="s">
        <v>42</v>
      </c>
      <c r="AR69" s="47" t="s">
        <v>33</v>
      </c>
      <c r="AS69" s="47" t="s">
        <v>34</v>
      </c>
      <c r="AT69" s="47" t="s">
        <v>35</v>
      </c>
      <c r="AU69" s="47" t="s">
        <v>36</v>
      </c>
      <c r="AV69" s="47" t="s">
        <v>37</v>
      </c>
      <c r="AW69" s="47" t="s">
        <v>38</v>
      </c>
      <c r="AX69" s="47" t="s">
        <v>39</v>
      </c>
      <c r="AY69" s="47" t="s">
        <v>40</v>
      </c>
      <c r="AZ69" s="47" t="s">
        <v>41</v>
      </c>
      <c r="BA69" s="47" t="s">
        <v>42</v>
      </c>
    </row>
    <row r="70" spans="1:55" ht="32.1" customHeight="1">
      <c r="A70" s="98"/>
      <c r="B70" s="79" t="str">
        <f>VLOOKUP(878,Sprachindex!$A:$Z,Info!$O$7,FALSE)</f>
        <v>Stk.</v>
      </c>
      <c r="C70" s="81"/>
      <c r="D70" s="83">
        <v>635661</v>
      </c>
      <c r="E70" s="561" t="str">
        <f>VLOOKUP(277,Sprachindex!$A:$Z,Info!$O$7,FALSE)</f>
        <v>Sicherheitsdachhaken auf Fußteilen</v>
      </c>
      <c r="F70" s="562"/>
      <c r="G70" s="562"/>
      <c r="H70" s="562"/>
      <c r="I70" s="562"/>
      <c r="J70" s="562"/>
      <c r="K70" s="563"/>
      <c r="L70" s="79" t="str">
        <f t="shared" si="11"/>
        <v/>
      </c>
      <c r="M70" s="171" t="str">
        <f>VLOOKUP(878,Sprachindex!$A:$Z,Info!$O$7,FALSE)</f>
        <v>Stk.</v>
      </c>
      <c r="N70" s="80"/>
      <c r="O70" s="202" t="str">
        <f t="shared" si="12"/>
        <v/>
      </c>
      <c r="R70" s="200">
        <v>119.8</v>
      </c>
      <c r="AC70" s="135"/>
      <c r="AD70" s="149">
        <f>ROUNDUP($A70,0)</f>
        <v>0</v>
      </c>
      <c r="AE70" s="149">
        <f t="shared" si="5"/>
        <v>0</v>
      </c>
      <c r="AF70" s="145"/>
      <c r="AH70" s="45" t="s">
        <v>26</v>
      </c>
      <c r="AI70" s="13"/>
      <c r="AJ70" s="13"/>
      <c r="AK70" s="13"/>
      <c r="AL70" s="13"/>
      <c r="AM70" s="13"/>
      <c r="AN70" s="13"/>
      <c r="AO70" s="13"/>
      <c r="AP70" s="13"/>
      <c r="AQ70" s="13"/>
      <c r="AR70" s="45" t="s">
        <v>27</v>
      </c>
      <c r="AS70" s="13"/>
      <c r="AT70" s="13"/>
      <c r="AU70" s="13"/>
      <c r="AV70" s="13"/>
      <c r="AW70" s="13"/>
      <c r="AX70" s="13"/>
      <c r="AY70" s="13"/>
      <c r="AZ70" s="13"/>
      <c r="BA70" s="46"/>
      <c r="BB70" s="277" t="s">
        <v>28</v>
      </c>
      <c r="BC70" s="277" t="s">
        <v>29</v>
      </c>
    </row>
    <row r="71" spans="1:55" ht="32.1" customHeight="1">
      <c r="A71" s="98"/>
      <c r="B71" s="79" t="str">
        <f>VLOOKUP(878,Sprachindex!$A:$Z,Info!$O$7,FALSE)</f>
        <v>Stk.</v>
      </c>
      <c r="C71" s="81"/>
      <c r="D71" s="78">
        <f>IF($P$21=1,AH71,IF($P$21=4,AI71,IF($P$21=5,AJ71,IF($P$21=11,AK71,IF($P$21=7,AL71,IF($P$21=3,AM71,IF($P$21=6,AN71,IF($P$21=9,AO71,IF($P$21=2,AP71,IF($P$21=8,AQ71,0))))))))))</f>
        <v>0</v>
      </c>
      <c r="E71" s="561" t="str">
        <f>VLOOKUP(822,Sprachindex!$A:$Z,Info!$O$7,FALSE)</f>
        <v>Sicherheitsdachhaken</v>
      </c>
      <c r="F71" s="562"/>
      <c r="G71" s="562"/>
      <c r="H71" s="562"/>
      <c r="I71" s="562"/>
      <c r="J71" s="562"/>
      <c r="K71" s="563"/>
      <c r="L71" s="79" t="str">
        <f t="shared" si="11"/>
        <v/>
      </c>
      <c r="M71" s="171" t="str">
        <f>VLOOKUP(878,Sprachindex!$A:$Z,Info!$O$7,FALSE)</f>
        <v>Stk.</v>
      </c>
      <c r="N71" s="80"/>
      <c r="O71" s="202" t="str">
        <f t="shared" si="12"/>
        <v/>
      </c>
      <c r="R71" s="200">
        <v>31.53</v>
      </c>
      <c r="AC71" s="135"/>
      <c r="AD71" s="149">
        <f>ROUNDUP($A71/12,0)*12</f>
        <v>0</v>
      </c>
      <c r="AE71" s="149">
        <f t="shared" si="5"/>
        <v>0</v>
      </c>
      <c r="AF71" s="145"/>
      <c r="AH71" s="44">
        <v>120000</v>
      </c>
      <c r="AI71" s="44">
        <v>120001</v>
      </c>
      <c r="AJ71" s="44">
        <v>120002</v>
      </c>
      <c r="AK71" s="44">
        <v>120003</v>
      </c>
      <c r="AL71" s="44">
        <v>120004</v>
      </c>
      <c r="AM71" s="44">
        <v>120005</v>
      </c>
      <c r="AN71" s="44">
        <v>120006</v>
      </c>
      <c r="AO71" s="44">
        <v>120007</v>
      </c>
      <c r="AP71" s="44">
        <v>120008</v>
      </c>
      <c r="AQ71" s="44">
        <v>120009</v>
      </c>
      <c r="BB71" s="139"/>
      <c r="BC71" s="139"/>
    </row>
    <row r="72" spans="1:55" ht="32.1" customHeight="1">
      <c r="A72" s="98"/>
      <c r="B72" s="79" t="str">
        <f>VLOOKUP(878,Sprachindex!$A:$Z,Info!$O$7,FALSE)</f>
        <v>Stk.</v>
      </c>
      <c r="C72" s="81"/>
      <c r="D72" s="78">
        <f>IF($P$9=1,BC72,BB72)</f>
        <v>0</v>
      </c>
      <c r="E72" s="561" t="str">
        <f>IF($P$9=1,VLOOKUP(2941,Sprachindex!$A:$Z,Info!$O$7,FALSE),VLOOKUP(326,Sprachindex!$A:$Z,Info!$O$7,FALSE))</f>
        <v>Einfassungsplatte für Dachplatte; glatt; ⌀ 80–125 mm</v>
      </c>
      <c r="F72" s="562"/>
      <c r="G72" s="562"/>
      <c r="H72" s="562"/>
      <c r="I72" s="562"/>
      <c r="J72" s="562"/>
      <c r="K72" s="563"/>
      <c r="L72" s="79" t="str">
        <f t="shared" si="11"/>
        <v/>
      </c>
      <c r="M72" s="171" t="str">
        <f>VLOOKUP(878,Sprachindex!$A:$Z,Info!$O$7,FALSE)</f>
        <v>Stk.</v>
      </c>
      <c r="N72" s="80"/>
      <c r="O72" s="202" t="str">
        <f t="shared" si="12"/>
        <v/>
      </c>
      <c r="R72" s="200">
        <v>115.3</v>
      </c>
      <c r="AC72" s="135"/>
      <c r="AD72" s="149">
        <f>ROUNDUP($A72/20,0)*20</f>
        <v>0</v>
      </c>
      <c r="AE72" s="149">
        <f t="shared" si="5"/>
        <v>0</v>
      </c>
      <c r="AF72" s="145"/>
      <c r="AH72" s="470">
        <v>110220</v>
      </c>
      <c r="AI72" s="470">
        <v>110221</v>
      </c>
      <c r="AJ72" s="470">
        <v>110222</v>
      </c>
      <c r="AK72" s="470">
        <v>110223</v>
      </c>
      <c r="AL72" s="470">
        <v>110224</v>
      </c>
      <c r="AM72" s="470">
        <v>110225</v>
      </c>
      <c r="AN72" s="470">
        <v>110226</v>
      </c>
      <c r="AO72" s="470">
        <v>110227</v>
      </c>
      <c r="AP72" s="470">
        <v>110228</v>
      </c>
      <c r="AQ72" s="470">
        <v>110229</v>
      </c>
      <c r="AR72" s="469">
        <v>112800</v>
      </c>
      <c r="AS72" s="469">
        <v>112801</v>
      </c>
      <c r="AT72" s="469">
        <v>112802</v>
      </c>
      <c r="AU72" s="469">
        <v>112803</v>
      </c>
      <c r="AV72" s="469">
        <v>112804</v>
      </c>
      <c r="AW72" s="469">
        <v>112805</v>
      </c>
      <c r="AX72" s="469">
        <v>112806</v>
      </c>
      <c r="AY72" s="469">
        <v>112807</v>
      </c>
      <c r="AZ72" s="469">
        <v>112808</v>
      </c>
      <c r="BA72" s="469">
        <v>112809</v>
      </c>
      <c r="BB72" s="468">
        <f>IF($P$21=1,AH72,IF($P$21=4,AI72,IF($P$21=5,AJ72,IF($P$21=11,AK72,IF($P$21=7,AL72,IF($P$21=3,AM72,IF($P$21=6,AN72,IF($P$21=9,AO72,IF($P$21=2,AP72,IF($P$21=8,AQ72,0))))))))))</f>
        <v>0</v>
      </c>
      <c r="BC72" s="468">
        <f>IF($P$21=1,AR72,IF($P$21=4,AS72,IF($P$21=5,AT72,IF($P$21=11,AU72,IF($P$21=7,AV72,IF($P$21=3,AW72,IF($P$21=6,AX72,IF($P$21=9,AY72,IF($P$21=2,AZ72,IF($P$21=8,BA72,0))))))))))</f>
        <v>0</v>
      </c>
    </row>
    <row r="73" spans="1:55" ht="32.1" customHeight="1">
      <c r="A73" s="98"/>
      <c r="B73" s="79" t="str">
        <f>VLOOKUP(878,Sprachindex!$A:$Z,Info!$O$7,FALSE)</f>
        <v>Stk.</v>
      </c>
      <c r="C73" s="81"/>
      <c r="D73" s="78">
        <f>IF($P$9=1,BC73,BB73)</f>
        <v>0</v>
      </c>
      <c r="E73" s="561" t="str">
        <f>IF($P$9=1,VLOOKUP(2942,Sprachindex!$A:$Z,Info!$O$7,FALSE),VLOOKUP(1419,Sprachindex!$A:$Z,Info!$O$7,FALSE))</f>
        <v>Einfassungsplatte, zum Einfalzen; glatt</v>
      </c>
      <c r="F73" s="562"/>
      <c r="G73" s="562"/>
      <c r="H73" s="562"/>
      <c r="I73" s="562"/>
      <c r="J73" s="562"/>
      <c r="K73" s="563"/>
      <c r="L73" s="79" t="str">
        <f t="shared" si="11"/>
        <v/>
      </c>
      <c r="M73" s="171" t="str">
        <f>VLOOKUP(878,Sprachindex!$A:$Z,Info!$O$7,FALSE)</f>
        <v>Stk.</v>
      </c>
      <c r="N73" s="80"/>
      <c r="O73" s="202" t="str">
        <f t="shared" si="12"/>
        <v/>
      </c>
      <c r="R73" s="200">
        <v>112</v>
      </c>
      <c r="AC73" s="135"/>
      <c r="AD73" s="149">
        <f>ROUNDUP($A73/5,0)*5</f>
        <v>0</v>
      </c>
      <c r="AE73" s="149">
        <f t="shared" si="5"/>
        <v>0</v>
      </c>
      <c r="AF73" s="145"/>
      <c r="AH73" s="470">
        <v>110230</v>
      </c>
      <c r="AI73" s="470">
        <v>110231</v>
      </c>
      <c r="AJ73" s="470">
        <v>110232</v>
      </c>
      <c r="AK73" s="470">
        <v>110233</v>
      </c>
      <c r="AL73" s="470">
        <v>110234</v>
      </c>
      <c r="AM73" s="470">
        <v>110235</v>
      </c>
      <c r="AN73" s="470">
        <v>110236</v>
      </c>
      <c r="AO73" s="470">
        <v>110237</v>
      </c>
      <c r="AP73" s="470">
        <v>110238</v>
      </c>
      <c r="AQ73" s="470">
        <v>110239</v>
      </c>
      <c r="AR73" s="469">
        <v>112880</v>
      </c>
      <c r="AS73" s="469">
        <v>112881</v>
      </c>
      <c r="AT73" s="469">
        <v>112882</v>
      </c>
      <c r="AU73" s="469">
        <v>112883</v>
      </c>
      <c r="AV73" s="469">
        <v>112884</v>
      </c>
      <c r="AW73" s="469">
        <v>112885</v>
      </c>
      <c r="AX73" s="469">
        <v>112886</v>
      </c>
      <c r="AY73" s="469">
        <v>112887</v>
      </c>
      <c r="AZ73" s="469">
        <v>112888</v>
      </c>
      <c r="BA73" s="469">
        <v>112889</v>
      </c>
      <c r="BB73" s="468">
        <f>IF($P$21=1,AH73,IF($P$21=4,AI73,IF($P$21=5,AJ73,IF($P$21=11,AK73,IF($P$21=7,AL73,IF($P$21=3,AM73,IF($P$21=6,AN73,IF($P$21=9,AO73,IF($P$21=2,AP73,IF($P$21=8,AQ73,0))))))))))</f>
        <v>0</v>
      </c>
      <c r="BC73" s="468">
        <f>IF($P$21=1,AR73,IF($P$21=4,AS73,IF($P$21=5,AT73,IF($P$21=11,AU73,IF($P$21=7,AV73,IF($P$21=3,AW73,IF($P$21=6,AX73,IF($P$21=9,AY73,IF($P$21=2,AZ73,IF($P$21=8,BA73,0))))))))))</f>
        <v>0</v>
      </c>
    </row>
    <row r="74" spans="1:55" ht="32.1" customHeight="1">
      <c r="A74" s="98"/>
      <c r="B74" s="79" t="str">
        <f>VLOOKUP(878,Sprachindex!$A:$Z,Info!$O$7,FALSE)</f>
        <v>Stk.</v>
      </c>
      <c r="C74" s="81"/>
      <c r="D74" s="78">
        <f>IF($P$21=1,AH74,IF($P$21=4,AI74,IF($P$21=5,AJ74,IF($P$21=11,AK74,IF($P$21=7,AL74,IF($P$21=3,AM74,IF($P$21=6,AN74,IF($P$21=9,AO74,IF($P$21=2,AP74,IF($P$21=8,AQ74,0))))))))))</f>
        <v>0</v>
      </c>
      <c r="E74" s="561" t="str">
        <f>VLOOKUP(926,Sprachindex!$A:$Z,Info!$O$7,FALSE)</f>
        <v>Universaleinfassung (2-teilig); glatt; ⌀ 40–120 mm</v>
      </c>
      <c r="F74" s="562"/>
      <c r="G74" s="562"/>
      <c r="H74" s="562"/>
      <c r="I74" s="562"/>
      <c r="J74" s="562"/>
      <c r="K74" s="563"/>
      <c r="L74" s="79" t="str">
        <f t="shared" si="11"/>
        <v/>
      </c>
      <c r="M74" s="171" t="str">
        <f>VLOOKUP(878,Sprachindex!$A:$Z,Info!$O$7,FALSE)</f>
        <v>Stk.</v>
      </c>
      <c r="N74" s="80"/>
      <c r="O74" s="202" t="str">
        <f t="shared" si="12"/>
        <v/>
      </c>
      <c r="R74" s="200">
        <v>118.6</v>
      </c>
      <c r="AC74" s="135"/>
      <c r="AD74" s="149">
        <f>ROUNDUP($A74,0)</f>
        <v>0</v>
      </c>
      <c r="AE74" s="149">
        <f t="shared" si="5"/>
        <v>0</v>
      </c>
      <c r="AF74" s="145"/>
      <c r="AH74" s="44">
        <v>110240</v>
      </c>
      <c r="AI74" s="44">
        <v>110241</v>
      </c>
      <c r="AJ74" s="44">
        <v>110242</v>
      </c>
      <c r="AK74" s="44">
        <v>110243</v>
      </c>
      <c r="AL74" s="44">
        <v>110244</v>
      </c>
      <c r="AM74" s="44">
        <v>110245</v>
      </c>
      <c r="AN74" s="44">
        <v>110246</v>
      </c>
      <c r="AO74" s="44">
        <v>110247</v>
      </c>
      <c r="AP74" s="44">
        <v>110248</v>
      </c>
      <c r="AQ74" s="44">
        <v>110249</v>
      </c>
    </row>
    <row r="75" spans="1:55" ht="32.1" customHeight="1">
      <c r="A75" s="98"/>
      <c r="B75" s="79" t="str">
        <f>VLOOKUP(878,Sprachindex!$A:$Z,Info!$O$7,FALSE)</f>
        <v>Stk.</v>
      </c>
      <c r="C75" s="81"/>
      <c r="D75" s="78">
        <f>IF($P$21=1,AH75,IF($P$21=4,AI75,IF($P$21=5,AJ75,IF($P$21=11,AK75,IF($P$21=7,AL75,IF($P$21=3,AM75,IF($P$21=6,AN75,IF($P$21=9,AO75,IF($P$21=2,AP75,IF($P$21=8,AQ75,0))))))))))</f>
        <v>0</v>
      </c>
      <c r="E75" s="561" t="str">
        <f>VLOOKUP(364,Sprachindex!$A:$Z,Info!$O$7,FALSE)</f>
        <v>Entlüftungshaube (⌀ 100; glatt)</v>
      </c>
      <c r="F75" s="562"/>
      <c r="G75" s="562"/>
      <c r="H75" s="562"/>
      <c r="I75" s="562"/>
      <c r="J75" s="562"/>
      <c r="K75" s="563"/>
      <c r="L75" s="79" t="str">
        <f t="shared" si="11"/>
        <v/>
      </c>
      <c r="M75" s="171" t="str">
        <f>VLOOKUP(878,Sprachindex!$A:$Z,Info!$O$7,FALSE)</f>
        <v>Stk.</v>
      </c>
      <c r="N75" s="80"/>
      <c r="O75" s="202" t="str">
        <f t="shared" si="12"/>
        <v/>
      </c>
      <c r="R75" s="200">
        <v>186.5</v>
      </c>
      <c r="AC75" s="135"/>
      <c r="AD75" s="149">
        <f>ROUNDUP($A75,0)</f>
        <v>0</v>
      </c>
      <c r="AE75" s="149">
        <f t="shared" si="5"/>
        <v>0</v>
      </c>
      <c r="AF75" s="145"/>
      <c r="AH75" s="44">
        <v>110280</v>
      </c>
      <c r="AI75" s="44">
        <v>110281</v>
      </c>
      <c r="AJ75" s="44">
        <v>110282</v>
      </c>
      <c r="AK75" s="44">
        <v>110283</v>
      </c>
      <c r="AL75" s="44">
        <v>110284</v>
      </c>
      <c r="AM75" s="44">
        <v>110285</v>
      </c>
      <c r="AN75" s="44">
        <v>110286</v>
      </c>
      <c r="AO75" s="44">
        <v>110287</v>
      </c>
      <c r="AP75" s="44">
        <v>110288</v>
      </c>
      <c r="AQ75" s="44">
        <v>110289</v>
      </c>
    </row>
    <row r="76" spans="1:55" ht="32.1" customHeight="1">
      <c r="A76" s="98"/>
      <c r="B76" s="79" t="str">
        <f>VLOOKUP(878,Sprachindex!$A:$Z,Info!$O$7,FALSE)</f>
        <v>Stk.</v>
      </c>
      <c r="C76" s="81"/>
      <c r="D76" s="78">
        <f>IF($P$21=1,AH76,IF($P$21=4,AI76,IF($P$21=5,AJ76,IF($P$21=11,AK76,IF($P$21=7,AL76,IF($P$21=3,AM76,IF($P$21=6,AN76,IF($P$21=9,AO76,IF($P$21=2,AP76,IF($P$21=8,AQ76,0))))))))))</f>
        <v>0</v>
      </c>
      <c r="E76" s="561" t="str">
        <f>VLOOKUP(366,Sprachindex!$A:$Z,Info!$O$7,FALSE)</f>
        <v>Entlüftungsrohr (⌀ 100; passend für HT-Rohr [NW 110])</v>
      </c>
      <c r="F76" s="562"/>
      <c r="G76" s="562"/>
      <c r="H76" s="562"/>
      <c r="I76" s="562"/>
      <c r="J76" s="562"/>
      <c r="K76" s="563"/>
      <c r="L76" s="79" t="str">
        <f t="shared" si="11"/>
        <v/>
      </c>
      <c r="M76" s="171" t="str">
        <f>VLOOKUP(878,Sprachindex!$A:$Z,Info!$O$7,FALSE)</f>
        <v>Stk.</v>
      </c>
      <c r="N76" s="80"/>
      <c r="O76" s="202" t="str">
        <f t="shared" si="12"/>
        <v/>
      </c>
      <c r="R76" s="200">
        <v>76.77</v>
      </c>
      <c r="AC76" s="135"/>
      <c r="AD76" s="149">
        <f>ROUNDUP($A76,0)</f>
        <v>0</v>
      </c>
      <c r="AE76" s="149">
        <f t="shared" si="5"/>
        <v>0</v>
      </c>
      <c r="AF76" s="145"/>
      <c r="AH76" s="44">
        <v>110200</v>
      </c>
      <c r="AI76" s="44">
        <v>110201</v>
      </c>
      <c r="AJ76" s="44">
        <v>110202</v>
      </c>
      <c r="AK76" s="44">
        <v>110203</v>
      </c>
      <c r="AL76" s="44">
        <v>110204</v>
      </c>
      <c r="AM76" s="44">
        <v>110205</v>
      </c>
      <c r="AN76" s="44">
        <v>110206</v>
      </c>
      <c r="AO76" s="44">
        <v>110207</v>
      </c>
      <c r="AP76" s="44">
        <v>110208</v>
      </c>
      <c r="AQ76" s="44">
        <v>121015</v>
      </c>
    </row>
    <row r="77" spans="1:55" ht="32.1" customHeight="1">
      <c r="A77" s="98"/>
      <c r="B77" s="79" t="str">
        <f>VLOOKUP(878,Sprachindex!$A:$Z,Info!$O$7,FALSE)</f>
        <v>Stk.</v>
      </c>
      <c r="C77" s="81"/>
      <c r="D77" s="78">
        <f>IF($P$21=1,AH77,IF($P$21=4,AI77,IF($P$21=5,AJ77,IF($P$21=11,AK77,IF($P$21=7,AL77,IF($P$21=3,AM77,IF($P$21=6,AN77,IF($P$21=9,AO77,IF($P$21=2,AP77,IF($P$21=8,AQ77,0))))))))))</f>
        <v>0</v>
      </c>
      <c r="E77" s="561" t="str">
        <f>VLOOKUP(368,Sprachindex!$A:$Z,Info!$O$7,FALSE)</f>
        <v>Entlüftungsrohr (⌀ 120; passend für HT-Rohr [NW 125])</v>
      </c>
      <c r="F77" s="562"/>
      <c r="G77" s="562"/>
      <c r="H77" s="562"/>
      <c r="I77" s="562"/>
      <c r="J77" s="562"/>
      <c r="K77" s="563"/>
      <c r="L77" s="79" t="str">
        <f t="shared" si="11"/>
        <v/>
      </c>
      <c r="M77" s="171" t="str">
        <f>VLOOKUP(878,Sprachindex!$A:$Z,Info!$O$7,FALSE)</f>
        <v>Stk.</v>
      </c>
      <c r="N77" s="80"/>
      <c r="O77" s="202" t="str">
        <f t="shared" si="12"/>
        <v/>
      </c>
      <c r="R77" s="200">
        <v>81.41</v>
      </c>
      <c r="AC77" s="135"/>
      <c r="AD77" s="149">
        <f>ROUNDUP($A77,0)</f>
        <v>0</v>
      </c>
      <c r="AE77" s="149">
        <f t="shared" si="5"/>
        <v>0</v>
      </c>
      <c r="AF77" s="145"/>
      <c r="AH77" s="44">
        <v>110210</v>
      </c>
      <c r="AI77" s="44">
        <v>110211</v>
      </c>
      <c r="AJ77" s="44">
        <v>110212</v>
      </c>
      <c r="AK77" s="44">
        <v>110213</v>
      </c>
      <c r="AL77" s="44">
        <v>110214</v>
      </c>
      <c r="AM77" s="44">
        <v>110215</v>
      </c>
      <c r="AN77" s="44">
        <v>110216</v>
      </c>
      <c r="AO77" s="44">
        <v>110217</v>
      </c>
      <c r="AP77" s="44">
        <v>110218</v>
      </c>
      <c r="AQ77" s="44">
        <v>121025</v>
      </c>
    </row>
    <row r="78" spans="1:55" ht="32.1" customHeight="1">
      <c r="A78" s="98"/>
      <c r="B78" s="79" t="str">
        <f>VLOOKUP(878,Sprachindex!$A:$Z,Info!$O$7,FALSE)</f>
        <v>Stk.</v>
      </c>
      <c r="C78" s="81"/>
      <c r="D78" s="83">
        <v>340943</v>
      </c>
      <c r="E78" s="561" t="str">
        <f>VLOOKUP(379,Sprachindex!$A:$Z,Info!$O$7,FALSE)</f>
        <v>Faltmanschette (Ø 100–130)</v>
      </c>
      <c r="F78" s="562"/>
      <c r="G78" s="562"/>
      <c r="H78" s="562"/>
      <c r="I78" s="562"/>
      <c r="J78" s="562"/>
      <c r="K78" s="563"/>
      <c r="L78" s="79" t="str">
        <f t="shared" si="11"/>
        <v/>
      </c>
      <c r="M78" s="171" t="str">
        <f>VLOOKUP(878,Sprachindex!$A:$Z,Info!$O$7,FALSE)</f>
        <v>Stk.</v>
      </c>
      <c r="N78" s="80"/>
      <c r="O78" s="202" t="str">
        <f t="shared" si="12"/>
        <v/>
      </c>
      <c r="R78" s="200">
        <v>37.729999999999997</v>
      </c>
      <c r="AC78" s="135"/>
      <c r="AD78" s="149">
        <f>ROUNDUP($A78,0)</f>
        <v>0</v>
      </c>
      <c r="AE78" s="149">
        <f t="shared" si="5"/>
        <v>0</v>
      </c>
      <c r="AF78" s="145"/>
      <c r="AH78" s="47" t="s">
        <v>33</v>
      </c>
      <c r="AI78" s="47" t="s">
        <v>34</v>
      </c>
      <c r="AJ78" s="47" t="s">
        <v>35</v>
      </c>
      <c r="AK78" s="47" t="s">
        <v>36</v>
      </c>
      <c r="AL78" s="47" t="s">
        <v>37</v>
      </c>
      <c r="AM78" s="47" t="s">
        <v>38</v>
      </c>
      <c r="AN78" s="47" t="s">
        <v>39</v>
      </c>
      <c r="AO78" s="47" t="s">
        <v>40</v>
      </c>
      <c r="AP78" s="47" t="s">
        <v>41</v>
      </c>
      <c r="AQ78" s="47" t="s">
        <v>42</v>
      </c>
      <c r="AR78" s="47" t="s">
        <v>33</v>
      </c>
      <c r="AS78" s="47" t="s">
        <v>34</v>
      </c>
      <c r="AT78" s="47" t="s">
        <v>35</v>
      </c>
      <c r="AU78" s="47" t="s">
        <v>36</v>
      </c>
      <c r="AV78" s="47" t="s">
        <v>37</v>
      </c>
      <c r="AW78" s="47" t="s">
        <v>38</v>
      </c>
      <c r="AX78" s="47" t="s">
        <v>39</v>
      </c>
      <c r="AY78" s="47" t="s">
        <v>40</v>
      </c>
      <c r="AZ78" s="47" t="s">
        <v>41</v>
      </c>
      <c r="BA78" s="47" t="s">
        <v>42</v>
      </c>
      <c r="BB78" s="139" t="s">
        <v>28</v>
      </c>
      <c r="BC78" s="139" t="s">
        <v>29</v>
      </c>
    </row>
    <row r="79" spans="1:55" ht="32.1" customHeight="1">
      <c r="A79" s="98"/>
      <c r="B79" s="79" t="str">
        <f>VLOOKUP(878,Sprachindex!$A:$Z,Info!$O$7,FALSE)</f>
        <v>Stk.</v>
      </c>
      <c r="C79" s="81"/>
      <c r="D79" s="78">
        <f>IF($P$9=1,BC79,BB79)</f>
        <v>0</v>
      </c>
      <c r="E79" s="561" t="str">
        <f>IF($P$9=1,VLOOKUP(936,Sprachindex!$A:$Z,Info!$O$7,FALSE),VLOOKUP(2943,Sprachindex!$A:$Z,Info!$O$7,FALSE))</f>
        <v>Unterlagsplatte (540 × 125 mm [Länge × Breite]; glatt)</v>
      </c>
      <c r="F79" s="562"/>
      <c r="G79" s="562"/>
      <c r="H79" s="562"/>
      <c r="I79" s="562"/>
      <c r="J79" s="562"/>
      <c r="K79" s="563"/>
      <c r="L79" s="79" t="str">
        <f t="shared" si="11"/>
        <v/>
      </c>
      <c r="M79" s="171" t="str">
        <f>VLOOKUP(878,Sprachindex!$A:$Z,Info!$O$7,FALSE)</f>
        <v>Stk.</v>
      </c>
      <c r="N79" s="80"/>
      <c r="O79" s="202" t="str">
        <f t="shared" si="12"/>
        <v/>
      </c>
      <c r="R79" s="200">
        <v>10.72</v>
      </c>
      <c r="AC79" s="135"/>
      <c r="AD79" s="149">
        <f>ROUNDUP($A79/15,0)*15</f>
        <v>0</v>
      </c>
      <c r="AE79" s="149">
        <f t="shared" si="5"/>
        <v>0</v>
      </c>
      <c r="AF79" s="145"/>
      <c r="AH79" s="470">
        <v>110360</v>
      </c>
      <c r="AI79" s="470">
        <v>110361</v>
      </c>
      <c r="AJ79" s="470">
        <v>110362</v>
      </c>
      <c r="AK79" s="470">
        <v>110363</v>
      </c>
      <c r="AL79" s="470">
        <v>110364</v>
      </c>
      <c r="AM79" s="470">
        <v>110365</v>
      </c>
      <c r="AN79" s="470">
        <v>110366</v>
      </c>
      <c r="AO79" s="470">
        <v>110367</v>
      </c>
      <c r="AP79" s="470">
        <v>110368</v>
      </c>
      <c r="AQ79" s="470"/>
      <c r="AR79" s="469">
        <v>110370</v>
      </c>
      <c r="AS79" s="469">
        <v>110371</v>
      </c>
      <c r="AT79" s="469">
        <v>110372</v>
      </c>
      <c r="AU79" s="469">
        <v>110373</v>
      </c>
      <c r="AV79" s="469">
        <v>110374</v>
      </c>
      <c r="AW79" s="469">
        <v>110375</v>
      </c>
      <c r="AX79" s="469">
        <v>110376</v>
      </c>
      <c r="AY79" s="469">
        <v>110377</v>
      </c>
      <c r="AZ79" s="469">
        <v>110378</v>
      </c>
      <c r="BA79" s="469">
        <v>110379</v>
      </c>
      <c r="BB79" s="468">
        <f>IF($P$21=1,AH79,IF($P$21=4,AI79,IF($P$21=5,AJ79,IF($P$21=11,AK79,IF($P$21=7,AL79,IF($P$21=3,AM79,IF($P$21=6,AN79,IF($P$21=9,AO79,IF($P$21=2,AP79,IF($P$21=8,AQ79,0))))))))))</f>
        <v>0</v>
      </c>
      <c r="BC79" s="468">
        <f>IF($P$21=1,AR79,IF($P$21=4,AS79,IF($P$21=5,AT79,IF($P$21=11,AU79,IF($P$21=7,AV79,IF($P$21=3,AW79,IF($P$21=6,AX79,IF($P$21=9,AY79,IF($P$21=2,AZ79,IF($P$21=8,BA79,0))))))))))</f>
        <v>0</v>
      </c>
    </row>
    <row r="80" spans="1:55" ht="32.1" customHeight="1">
      <c r="A80" s="98"/>
      <c r="B80" s="79" t="str">
        <f>VLOOKUP(878,Sprachindex!$A:$Z,Info!$O$7,FALSE)</f>
        <v>Stk.</v>
      </c>
      <c r="C80" s="81"/>
      <c r="D80" s="78">
        <f>IF($P$21=1,AH80,IF($P$21=4,AI80,IF($P$21=5,AJ80,IF($P$21=11,AK80,IF($P$21=7,AL80,IF($P$21=3,AM80,IF($P$21=6,AN80,IF($P$21=9,AO80,IF($P$21=2,AP80,IF($P$21=8,AQ80,0))))))))))</f>
        <v>0</v>
      </c>
      <c r="E80" s="561" t="str">
        <f>VLOOKUP(799,Sprachindex!$A:$Z,Info!$O$7,FALSE)</f>
        <v>Schneestopper für Dachplatte und Dachraute 29 × 29</v>
      </c>
      <c r="F80" s="562"/>
      <c r="G80" s="562"/>
      <c r="H80" s="562"/>
      <c r="I80" s="562"/>
      <c r="J80" s="562"/>
      <c r="K80" s="563"/>
      <c r="L80" s="79" t="str">
        <f t="shared" si="11"/>
        <v/>
      </c>
      <c r="M80" s="171" t="str">
        <f>VLOOKUP(878,Sprachindex!$A:$Z,Info!$O$7,FALSE)</f>
        <v>Stk.</v>
      </c>
      <c r="N80" s="80"/>
      <c r="O80" s="202" t="str">
        <f t="shared" si="12"/>
        <v/>
      </c>
      <c r="R80" s="200">
        <v>1.74</v>
      </c>
      <c r="AC80" s="135"/>
      <c r="AD80" s="149">
        <f>ROUNDUP($A80/100,0)*100</f>
        <v>0</v>
      </c>
      <c r="AE80" s="149">
        <f t="shared" si="5"/>
        <v>0</v>
      </c>
      <c r="AF80" s="145"/>
      <c r="AH80" s="44">
        <v>110300</v>
      </c>
      <c r="AI80" s="44">
        <v>110301</v>
      </c>
      <c r="AJ80" s="44">
        <v>110302</v>
      </c>
      <c r="AK80" s="44">
        <v>110303</v>
      </c>
      <c r="AL80" s="44">
        <v>110304</v>
      </c>
      <c r="AM80" s="44">
        <v>110305</v>
      </c>
      <c r="AN80" s="44">
        <v>110306</v>
      </c>
      <c r="AO80" s="44">
        <v>110307</v>
      </c>
      <c r="AP80" s="44">
        <v>110308</v>
      </c>
      <c r="AQ80" s="44">
        <v>110309</v>
      </c>
    </row>
    <row r="81" spans="1:43" ht="32.1" customHeight="1">
      <c r="A81" s="98"/>
      <c r="B81" s="79" t="str">
        <f>VLOOKUP(878,Sprachindex!$A:$Z,Info!$O$7,FALSE)</f>
        <v>Stk.</v>
      </c>
      <c r="C81" s="81"/>
      <c r="D81" s="78">
        <f>IF($P$21=1,AH81,IF($P$21=4,AI81,IF($P$21=5,AJ81,IF($P$21=11,AK81,IF($P$21=7,AL81,IF($P$21=3,AM81,IF($P$21=6,AN81,IF($P$21=9,AO81,IF($P$21=2,AP81,IF($P$21=8,AQ81,0))))))))))</f>
        <v>0</v>
      </c>
      <c r="E81" s="561" t="str">
        <f>VLOOKUP(2190,Sprachindex!$A:$Z,Info!$O$7,FALSE)</f>
        <v>Haken für Schneerechensystem, inkl. Befestigungsmaterial</v>
      </c>
      <c r="F81" s="562"/>
      <c r="G81" s="562"/>
      <c r="H81" s="562"/>
      <c r="I81" s="562"/>
      <c r="J81" s="562"/>
      <c r="K81" s="563"/>
      <c r="L81" s="79" t="str">
        <f t="shared" si="11"/>
        <v/>
      </c>
      <c r="M81" s="171" t="str">
        <f>VLOOKUP(878,Sprachindex!$A:$Z,Info!$O$7,FALSE)</f>
        <v>Stk.</v>
      </c>
      <c r="N81" s="80"/>
      <c r="O81" s="202" t="str">
        <f t="shared" si="12"/>
        <v/>
      </c>
      <c r="R81" s="200">
        <v>55.82</v>
      </c>
      <c r="AC81" s="135"/>
      <c r="AD81" s="149">
        <f>ROUNDUP($A81/10,0)*10</f>
        <v>0</v>
      </c>
      <c r="AE81" s="149">
        <f t="shared" si="5"/>
        <v>0</v>
      </c>
      <c r="AF81" s="145"/>
      <c r="AH81" s="44">
        <v>120180</v>
      </c>
      <c r="AI81" s="44">
        <v>120181</v>
      </c>
      <c r="AJ81" s="44">
        <v>120182</v>
      </c>
      <c r="AK81" s="44">
        <v>120183</v>
      </c>
      <c r="AL81" s="44">
        <v>120184</v>
      </c>
      <c r="AM81" s="44">
        <v>120185</v>
      </c>
      <c r="AN81" s="44">
        <v>120186</v>
      </c>
      <c r="AO81" s="44">
        <v>120187</v>
      </c>
      <c r="AP81" s="44">
        <v>120188</v>
      </c>
      <c r="AQ81" s="44">
        <v>120189</v>
      </c>
    </row>
    <row r="82" spans="1:43" ht="32.1" customHeight="1">
      <c r="A82" s="98"/>
      <c r="B82" s="79" t="str">
        <f>VLOOKUP(878,Sprachindex!$A:$Z,Info!$O$7,FALSE)</f>
        <v>Stk.</v>
      </c>
      <c r="C82" s="81"/>
      <c r="D82" s="78">
        <v>515396</v>
      </c>
      <c r="E82" s="561" t="str">
        <f>VLOOKUP(2191,Sprachindex!$A:$Z,Info!$O$7,FALSE)</f>
        <v>Haken für Schneerechensystem XL, inkl. Befestigungsmaterial</v>
      </c>
      <c r="F82" s="562"/>
      <c r="G82" s="562"/>
      <c r="H82" s="562"/>
      <c r="I82" s="562"/>
      <c r="J82" s="562"/>
      <c r="K82" s="563"/>
      <c r="L82" s="79" t="str">
        <f t="shared" si="11"/>
        <v/>
      </c>
      <c r="M82" s="171" t="str">
        <f>VLOOKUP(878,Sprachindex!$A:$Z,Info!$O$7,FALSE)</f>
        <v>Stk.</v>
      </c>
      <c r="N82" s="80"/>
      <c r="O82" s="202" t="str">
        <f t="shared" si="12"/>
        <v/>
      </c>
      <c r="R82" s="200">
        <v>97.9</v>
      </c>
      <c r="AC82" s="135"/>
      <c r="AD82" s="149">
        <f>ROUNDUP($A82/18,0)*18</f>
        <v>0</v>
      </c>
      <c r="AE82" s="149">
        <f t="shared" si="5"/>
        <v>0</v>
      </c>
      <c r="AF82" s="145"/>
      <c r="AH82" s="44"/>
      <c r="AI82" s="44"/>
      <c r="AJ82" s="44"/>
      <c r="AK82" s="44"/>
      <c r="AL82" s="44"/>
      <c r="AM82" s="44"/>
      <c r="AN82" s="44"/>
      <c r="AO82" s="44"/>
      <c r="AP82" s="44"/>
      <c r="AQ82" s="44"/>
    </row>
    <row r="83" spans="1:43" ht="32.1" customHeight="1">
      <c r="A83" s="98"/>
      <c r="B83" s="79" t="str">
        <f>VLOOKUP(1512,Sprachindex!$A:$Z,Info!$O$7,FALSE)</f>
        <v>lfm</v>
      </c>
      <c r="C83" s="81"/>
      <c r="D83" s="78">
        <f t="shared" ref="D83:D95" si="13">IF($P$21=1,AH83,IF($P$21=4,AI83,IF($P$21=5,AJ83,IF($P$21=11,AK83,IF($P$21=7,AL83,IF($P$21=3,AM83,IF($P$21=6,AN83,IF($P$21=9,AO83,IF($P$21=2,AP83,IF($P$21=8,AQ83,0))))))))))</f>
        <v>0</v>
      </c>
      <c r="E83" s="561" t="str">
        <f>VLOOKUP(793,Sprachindex!$A:$Z,Info!$O$7,FALSE)</f>
        <v>Einlegeprofil (3.000 mm)</v>
      </c>
      <c r="F83" s="562"/>
      <c r="G83" s="562"/>
      <c r="H83" s="562"/>
      <c r="I83" s="562"/>
      <c r="J83" s="562"/>
      <c r="K83" s="563"/>
      <c r="L83" s="79" t="str">
        <f t="shared" si="11"/>
        <v/>
      </c>
      <c r="M83" s="171" t="str">
        <f>VLOOKUP(1512,Sprachindex!$A:$Z,Info!$O$7,FALSE)</f>
        <v>lfm</v>
      </c>
      <c r="N83" s="80"/>
      <c r="O83" s="202" t="str">
        <f t="shared" si="12"/>
        <v/>
      </c>
      <c r="R83" s="200">
        <v>10.71</v>
      </c>
      <c r="AC83" s="135"/>
      <c r="AD83" s="149">
        <f>ROUNDUP($A83/3,0)*3</f>
        <v>0</v>
      </c>
      <c r="AE83" s="149">
        <f>ROUNDUP($A83/3,0)*3</f>
        <v>0</v>
      </c>
      <c r="AF83" s="145"/>
      <c r="AH83" s="44">
        <v>120350</v>
      </c>
      <c r="AI83" s="44">
        <v>120351</v>
      </c>
      <c r="AJ83" s="44">
        <v>120352</v>
      </c>
      <c r="AK83" s="44">
        <v>120353</v>
      </c>
      <c r="AL83" s="44">
        <v>120354</v>
      </c>
      <c r="AM83" s="44">
        <v>120355</v>
      </c>
      <c r="AN83" s="44">
        <v>120356</v>
      </c>
      <c r="AO83" s="44">
        <v>120357</v>
      </c>
      <c r="AP83" s="44">
        <v>120358</v>
      </c>
      <c r="AQ83" s="44">
        <v>120359</v>
      </c>
    </row>
    <row r="84" spans="1:43" ht="32.1" customHeight="1">
      <c r="A84" s="98"/>
      <c r="B84" s="79" t="str">
        <f>VLOOKUP(878,Sprachindex!$A:$Z,Info!$O$7,FALSE)</f>
        <v>Stk.</v>
      </c>
      <c r="C84" s="81"/>
      <c r="D84" s="78">
        <f t="shared" si="13"/>
        <v>0</v>
      </c>
      <c r="E84" s="561" t="str">
        <f>VLOOKUP(974,Sprachindex!$A:$Z,Info!$O$7,FALSE)</f>
        <v>Vertikalschnitt – Fugenausbildung</v>
      </c>
      <c r="F84" s="562"/>
      <c r="G84" s="562"/>
      <c r="H84" s="562"/>
      <c r="I84" s="562"/>
      <c r="J84" s="562"/>
      <c r="K84" s="563"/>
      <c r="L84" s="79" t="str">
        <f t="shared" si="11"/>
        <v/>
      </c>
      <c r="M84" s="171" t="str">
        <f>VLOOKUP(878,Sprachindex!$A:$Z,Info!$O$7,FALSE)</f>
        <v>Stk.</v>
      </c>
      <c r="N84" s="80"/>
      <c r="O84" s="202" t="str">
        <f t="shared" si="12"/>
        <v/>
      </c>
      <c r="R84" s="200">
        <v>4.6399999999999997</v>
      </c>
      <c r="AC84" s="135"/>
      <c r="AD84" s="149">
        <f>ROUNDUP($A84/100,0)*100</f>
        <v>0</v>
      </c>
      <c r="AE84" s="149">
        <f t="shared" ref="AE84:AE93" si="14">ROUNDUP($A84,0)</f>
        <v>0</v>
      </c>
      <c r="AF84" s="145"/>
      <c r="AH84" s="44">
        <v>120700</v>
      </c>
      <c r="AI84" s="44">
        <v>120701</v>
      </c>
      <c r="AJ84" s="44">
        <v>120702</v>
      </c>
      <c r="AK84" s="44">
        <v>120703</v>
      </c>
      <c r="AL84" s="44">
        <v>120704</v>
      </c>
      <c r="AM84" s="44">
        <v>120705</v>
      </c>
      <c r="AN84" s="44">
        <v>120706</v>
      </c>
      <c r="AO84" s="44">
        <v>120707</v>
      </c>
      <c r="AP84" s="44">
        <v>120708</v>
      </c>
      <c r="AQ84" s="44">
        <v>120709</v>
      </c>
    </row>
    <row r="85" spans="1:43" ht="32.1" customHeight="1">
      <c r="A85" s="98"/>
      <c r="B85" s="79" t="str">
        <f>VLOOKUP(878,Sprachindex!$A:$Z,Info!$O$7,FALSE)</f>
        <v>Stk.</v>
      </c>
      <c r="C85" s="81"/>
      <c r="D85" s="78">
        <f t="shared" si="13"/>
        <v>0</v>
      </c>
      <c r="E85" s="561" t="str">
        <f>VLOOKUP(791,Sprachindex!$A:$Z,Info!$O$7,FALSE)</f>
        <v>Abschluss für Schneerechensystem</v>
      </c>
      <c r="F85" s="562"/>
      <c r="G85" s="562"/>
      <c r="H85" s="562"/>
      <c r="I85" s="562"/>
      <c r="J85" s="562"/>
      <c r="K85" s="563"/>
      <c r="L85" s="79" t="str">
        <f t="shared" si="11"/>
        <v/>
      </c>
      <c r="M85" s="171" t="str">
        <f>VLOOKUP(878,Sprachindex!$A:$Z,Info!$O$7,FALSE)</f>
        <v>Stk.</v>
      </c>
      <c r="N85" s="80"/>
      <c r="O85" s="202" t="str">
        <f t="shared" si="12"/>
        <v/>
      </c>
      <c r="R85" s="200">
        <v>6.33</v>
      </c>
      <c r="AC85" s="135"/>
      <c r="AD85" s="149">
        <f>ROUNDUP($A85/2,0)*2</f>
        <v>0</v>
      </c>
      <c r="AE85" s="149">
        <f t="shared" si="14"/>
        <v>0</v>
      </c>
      <c r="AF85" s="145"/>
      <c r="AH85" s="44">
        <v>120390</v>
      </c>
      <c r="AI85" s="44">
        <v>120391</v>
      </c>
      <c r="AJ85" s="44">
        <v>120392</v>
      </c>
      <c r="AK85" s="44">
        <v>120393</v>
      </c>
      <c r="AL85" s="44">
        <v>120394</v>
      </c>
      <c r="AM85" s="44">
        <v>120395</v>
      </c>
      <c r="AN85" s="44">
        <v>120396</v>
      </c>
      <c r="AO85" s="44">
        <v>120397</v>
      </c>
      <c r="AP85" s="44">
        <v>120398</v>
      </c>
      <c r="AQ85" s="44">
        <v>120399</v>
      </c>
    </row>
    <row r="86" spans="1:43" ht="32.1" customHeight="1">
      <c r="A86" s="98"/>
      <c r="B86" s="79" t="str">
        <f>VLOOKUP(878,Sprachindex!$A:$Z,Info!$O$7,FALSE)</f>
        <v>Stk.</v>
      </c>
      <c r="C86" s="81"/>
      <c r="D86" s="78">
        <v>515395</v>
      </c>
      <c r="E86" s="561" t="str">
        <f>VLOOKUP(2192,Sprachindex!$A:$Z,Info!$O$7,FALSE)</f>
        <v>Abschluss für Schneerechensystem XL</v>
      </c>
      <c r="F86" s="562"/>
      <c r="G86" s="562"/>
      <c r="H86" s="562"/>
      <c r="I86" s="562"/>
      <c r="J86" s="562"/>
      <c r="K86" s="563"/>
      <c r="L86" s="79" t="str">
        <f t="shared" si="11"/>
        <v/>
      </c>
      <c r="M86" s="171" t="str">
        <f>VLOOKUP(878,Sprachindex!$A:$Z,Info!$O$7,FALSE)</f>
        <v>Stk.</v>
      </c>
      <c r="N86" s="80"/>
      <c r="O86" s="202" t="str">
        <f t="shared" si="12"/>
        <v/>
      </c>
      <c r="R86" s="200">
        <v>8.3000000000000007</v>
      </c>
      <c r="AC86" s="135"/>
      <c r="AD86" s="149">
        <f>ROUNDUP($A86/18,0)*18</f>
        <v>0</v>
      </c>
      <c r="AE86" s="149">
        <f t="shared" si="14"/>
        <v>0</v>
      </c>
      <c r="AF86" s="145"/>
      <c r="AH86" s="44"/>
      <c r="AI86" s="44"/>
      <c r="AJ86" s="44"/>
      <c r="AK86" s="44"/>
      <c r="AL86" s="44"/>
      <c r="AM86" s="44"/>
      <c r="AN86" s="44"/>
      <c r="AO86" s="44"/>
      <c r="AP86" s="44"/>
      <c r="AQ86" s="44"/>
    </row>
    <row r="87" spans="1:43" ht="32.1" customHeight="1">
      <c r="A87" s="98"/>
      <c r="B87" s="79" t="str">
        <f>VLOOKUP(878,Sprachindex!$A:$Z,Info!$O$7,FALSE)</f>
        <v>Stk.</v>
      </c>
      <c r="C87" s="81"/>
      <c r="D87" s="78">
        <f t="shared" si="13"/>
        <v>0</v>
      </c>
      <c r="E87" s="561" t="str">
        <f>VLOOKUP(424,Sprachindex!$A:$Z,Info!$O$7,FALSE)</f>
        <v>Gebirgsschneefangstütze</v>
      </c>
      <c r="F87" s="562"/>
      <c r="G87" s="562"/>
      <c r="H87" s="562"/>
      <c r="I87" s="562"/>
      <c r="J87" s="562"/>
      <c r="K87" s="563"/>
      <c r="L87" s="79" t="str">
        <f t="shared" si="11"/>
        <v/>
      </c>
      <c r="M87" s="171" t="str">
        <f>VLOOKUP(878,Sprachindex!$A:$Z,Info!$O$7,FALSE)</f>
        <v>Stk.</v>
      </c>
      <c r="N87" s="80"/>
      <c r="O87" s="202" t="str">
        <f t="shared" si="12"/>
        <v/>
      </c>
      <c r="R87" s="200">
        <v>55.82</v>
      </c>
      <c r="AC87" s="135"/>
      <c r="AD87" s="149">
        <f>ROUNDUP($A87/2,0)*2</f>
        <v>0</v>
      </c>
      <c r="AE87" s="149">
        <f t="shared" si="14"/>
        <v>0</v>
      </c>
      <c r="AF87" s="145"/>
      <c r="AH87" s="44">
        <v>120150</v>
      </c>
      <c r="AI87" s="44">
        <v>120151</v>
      </c>
      <c r="AJ87" s="44">
        <v>120152</v>
      </c>
      <c r="AK87" s="44">
        <v>120153</v>
      </c>
      <c r="AL87" s="44">
        <v>120154</v>
      </c>
      <c r="AM87" s="44">
        <v>120155</v>
      </c>
      <c r="AN87" s="44">
        <v>120156</v>
      </c>
      <c r="AO87" s="44">
        <v>120157</v>
      </c>
      <c r="AP87" s="44">
        <v>120158</v>
      </c>
      <c r="AQ87" s="44">
        <v>120159</v>
      </c>
    </row>
    <row r="88" spans="1:43" ht="32.1" customHeight="1">
      <c r="A88" s="98"/>
      <c r="B88" s="79" t="str">
        <f>VLOOKUP(878,Sprachindex!$A:$Z,Info!$O$7,FALSE)</f>
        <v>Stk.</v>
      </c>
      <c r="C88" s="81"/>
      <c r="D88" s="78">
        <f t="shared" si="13"/>
        <v>0</v>
      </c>
      <c r="E88" s="561" t="str">
        <f>VLOOKUP(510,Sprachindex!$A:$Z,Info!$O$7,FALSE)</f>
        <v>Kaminhut (700 × 700 mm)</v>
      </c>
      <c r="F88" s="562"/>
      <c r="G88" s="562"/>
      <c r="H88" s="562"/>
      <c r="I88" s="562"/>
      <c r="J88" s="562"/>
      <c r="K88" s="563"/>
      <c r="L88" s="79" t="str">
        <f t="shared" si="11"/>
        <v/>
      </c>
      <c r="M88" s="171" t="str">
        <f>VLOOKUP(878,Sprachindex!$A:$Z,Info!$O$7,FALSE)</f>
        <v>Stk.</v>
      </c>
      <c r="N88" s="80"/>
      <c r="O88" s="202" t="str">
        <f t="shared" si="12"/>
        <v/>
      </c>
      <c r="R88" s="200">
        <v>152.69999999999999</v>
      </c>
      <c r="AC88" s="135"/>
      <c r="AD88" s="149">
        <f>ROUNDUP($A88,0)</f>
        <v>0</v>
      </c>
      <c r="AE88" s="149">
        <f t="shared" si="14"/>
        <v>0</v>
      </c>
      <c r="AF88" s="145"/>
      <c r="AH88" s="44">
        <v>110420</v>
      </c>
      <c r="AI88" s="44">
        <v>110421</v>
      </c>
      <c r="AJ88" s="44">
        <v>110422</v>
      </c>
      <c r="AK88" s="44">
        <v>110423</v>
      </c>
      <c r="AL88" s="44">
        <v>110424</v>
      </c>
      <c r="AM88" s="44">
        <v>110425</v>
      </c>
      <c r="AN88" s="44">
        <v>110426</v>
      </c>
      <c r="AO88" s="44">
        <v>110427</v>
      </c>
      <c r="AP88" s="44">
        <v>110428</v>
      </c>
      <c r="AQ88" s="44">
        <v>110429</v>
      </c>
    </row>
    <row r="89" spans="1:43" ht="32.1" customHeight="1">
      <c r="A89" s="98"/>
      <c r="B89" s="79" t="str">
        <f>VLOOKUP(878,Sprachindex!$A:$Z,Info!$O$7,FALSE)</f>
        <v>Stk.</v>
      </c>
      <c r="C89" s="81"/>
      <c r="D89" s="78">
        <f t="shared" si="13"/>
        <v>0</v>
      </c>
      <c r="E89" s="561" t="str">
        <f>VLOOKUP(511,Sprachindex!$A:$Z,Info!$O$7,FALSE)</f>
        <v>Kaminhut (800 × 800 mm)</v>
      </c>
      <c r="F89" s="562"/>
      <c r="G89" s="562"/>
      <c r="H89" s="562"/>
      <c r="I89" s="562"/>
      <c r="J89" s="562"/>
      <c r="K89" s="563"/>
      <c r="L89" s="79" t="str">
        <f t="shared" si="11"/>
        <v/>
      </c>
      <c r="M89" s="171" t="str">
        <f>VLOOKUP(878,Sprachindex!$A:$Z,Info!$O$7,FALSE)</f>
        <v>Stk.</v>
      </c>
      <c r="N89" s="80"/>
      <c r="O89" s="202" t="str">
        <f t="shared" si="12"/>
        <v/>
      </c>
      <c r="R89" s="200">
        <v>165</v>
      </c>
      <c r="AC89" s="135"/>
      <c r="AD89" s="149">
        <f>ROUNDUP($A89,0)</f>
        <v>0</v>
      </c>
      <c r="AE89" s="149">
        <f t="shared" si="14"/>
        <v>0</v>
      </c>
      <c r="AF89" s="145"/>
      <c r="AH89" s="44">
        <v>110430</v>
      </c>
      <c r="AI89" s="44">
        <v>110431</v>
      </c>
      <c r="AJ89" s="44">
        <v>110432</v>
      </c>
      <c r="AK89" s="44">
        <v>110433</v>
      </c>
      <c r="AL89" s="44">
        <v>110434</v>
      </c>
      <c r="AM89" s="44">
        <v>110435</v>
      </c>
      <c r="AN89" s="44">
        <v>110436</v>
      </c>
      <c r="AO89" s="44">
        <v>110437</v>
      </c>
      <c r="AP89" s="44">
        <v>110438</v>
      </c>
      <c r="AQ89" s="44">
        <v>110439</v>
      </c>
    </row>
    <row r="90" spans="1:43" ht="32.1" customHeight="1">
      <c r="A90" s="98"/>
      <c r="B90" s="79" t="str">
        <f>VLOOKUP(878,Sprachindex!$A:$Z,Info!$O$7,FALSE)</f>
        <v>Stk.</v>
      </c>
      <c r="C90" s="81"/>
      <c r="D90" s="78">
        <f t="shared" si="13"/>
        <v>0</v>
      </c>
      <c r="E90" s="561" t="str">
        <f>VLOOKUP(507,Sprachindex!$A:$Z,Info!$O$7,FALSE)</f>
        <v>Kaminhut (1.000 × 700 mm)</v>
      </c>
      <c r="F90" s="562"/>
      <c r="G90" s="562"/>
      <c r="H90" s="562"/>
      <c r="I90" s="562"/>
      <c r="J90" s="562"/>
      <c r="K90" s="563"/>
      <c r="L90" s="79" t="str">
        <f t="shared" si="11"/>
        <v/>
      </c>
      <c r="M90" s="171" t="str">
        <f>VLOOKUP(878,Sprachindex!$A:$Z,Info!$O$7,FALSE)</f>
        <v>Stk.</v>
      </c>
      <c r="N90" s="80"/>
      <c r="O90" s="202" t="str">
        <f t="shared" si="12"/>
        <v/>
      </c>
      <c r="R90" s="200">
        <v>165.6</v>
      </c>
      <c r="AC90" s="135"/>
      <c r="AD90" s="149">
        <f>ROUNDUP($A90,0)</f>
        <v>0</v>
      </c>
      <c r="AE90" s="149">
        <f t="shared" si="14"/>
        <v>0</v>
      </c>
      <c r="AF90" s="145"/>
      <c r="AH90" s="44">
        <v>110440</v>
      </c>
      <c r="AI90" s="44">
        <v>110441</v>
      </c>
      <c r="AJ90" s="44">
        <v>110442</v>
      </c>
      <c r="AK90" s="44">
        <v>110443</v>
      </c>
      <c r="AL90" s="44">
        <v>110444</v>
      </c>
      <c r="AM90" s="44">
        <v>110445</v>
      </c>
      <c r="AN90" s="44">
        <v>110446</v>
      </c>
      <c r="AO90" s="44">
        <v>110447</v>
      </c>
      <c r="AP90" s="44">
        <v>110448</v>
      </c>
      <c r="AQ90" s="44">
        <v>110449</v>
      </c>
    </row>
    <row r="91" spans="1:43" ht="32.1" customHeight="1">
      <c r="A91" s="98"/>
      <c r="B91" s="79" t="str">
        <f>VLOOKUP(878,Sprachindex!$A:$Z,Info!$O$7,FALSE)</f>
        <v>Stk.</v>
      </c>
      <c r="C91" s="81"/>
      <c r="D91" s="78">
        <f t="shared" si="13"/>
        <v>0</v>
      </c>
      <c r="E91" s="561" t="str">
        <f>VLOOKUP(508,Sprachindex!$A:$Z,Info!$O$7,FALSE)</f>
        <v>Kaminhut (1.100 × 800 mm)</v>
      </c>
      <c r="F91" s="562"/>
      <c r="G91" s="562"/>
      <c r="H91" s="562"/>
      <c r="I91" s="562"/>
      <c r="J91" s="562"/>
      <c r="K91" s="563"/>
      <c r="L91" s="79" t="str">
        <f t="shared" si="11"/>
        <v/>
      </c>
      <c r="M91" s="171" t="str">
        <f>VLOOKUP(878,Sprachindex!$A:$Z,Info!$O$7,FALSE)</f>
        <v>Stk.</v>
      </c>
      <c r="N91" s="80"/>
      <c r="O91" s="202" t="str">
        <f t="shared" si="12"/>
        <v/>
      </c>
      <c r="R91" s="200">
        <v>198.5</v>
      </c>
      <c r="AC91" s="135"/>
      <c r="AD91" s="149">
        <f>ROUNDUP($A91,0)</f>
        <v>0</v>
      </c>
      <c r="AE91" s="149">
        <f t="shared" si="14"/>
        <v>0</v>
      </c>
      <c r="AF91" s="145"/>
      <c r="AH91" s="44">
        <v>110450</v>
      </c>
      <c r="AI91" s="44">
        <v>110451</v>
      </c>
      <c r="AJ91" s="44">
        <v>110452</v>
      </c>
      <c r="AK91" s="44">
        <v>110453</v>
      </c>
      <c r="AL91" s="44">
        <v>110454</v>
      </c>
      <c r="AM91" s="44">
        <v>110455</v>
      </c>
      <c r="AN91" s="44">
        <v>110456</v>
      </c>
      <c r="AO91" s="44">
        <v>110457</v>
      </c>
      <c r="AP91" s="44">
        <v>110458</v>
      </c>
      <c r="AQ91" s="44">
        <v>110459</v>
      </c>
    </row>
    <row r="92" spans="1:43" ht="32.1" customHeight="1">
      <c r="A92" s="98"/>
      <c r="B92" s="79" t="str">
        <f>VLOOKUP(878,Sprachindex!$A:$Z,Info!$O$7,FALSE)</f>
        <v>Stk.</v>
      </c>
      <c r="C92" s="81"/>
      <c r="D92" s="78">
        <f t="shared" si="13"/>
        <v>0</v>
      </c>
      <c r="E92" s="561" t="str">
        <f>VLOOKUP(509,Sprachindex!$A:$Z,Info!$O$7,FALSE)</f>
        <v>Kaminhut (1.500 × 800 mm)</v>
      </c>
      <c r="F92" s="562"/>
      <c r="G92" s="562"/>
      <c r="H92" s="562"/>
      <c r="I92" s="562"/>
      <c r="J92" s="562"/>
      <c r="K92" s="563"/>
      <c r="L92" s="79" t="str">
        <f t="shared" si="11"/>
        <v/>
      </c>
      <c r="M92" s="171" t="str">
        <f>VLOOKUP(878,Sprachindex!$A:$Z,Info!$O$7,FALSE)</f>
        <v>Stk.</v>
      </c>
      <c r="N92" s="80"/>
      <c r="O92" s="202" t="str">
        <f t="shared" si="12"/>
        <v/>
      </c>
      <c r="R92" s="200">
        <v>271.39999999999998</v>
      </c>
      <c r="AC92" s="135"/>
      <c r="AD92" s="149">
        <f>ROUNDUP($A92,0)</f>
        <v>0</v>
      </c>
      <c r="AE92" s="149">
        <f t="shared" si="14"/>
        <v>0</v>
      </c>
      <c r="AF92" s="145"/>
      <c r="AH92" s="44">
        <v>110460</v>
      </c>
      <c r="AI92" s="44">
        <v>110461</v>
      </c>
      <c r="AJ92" s="44">
        <v>110462</v>
      </c>
      <c r="AK92" s="44">
        <v>110463</v>
      </c>
      <c r="AL92" s="44">
        <v>110464</v>
      </c>
      <c r="AM92" s="44">
        <v>110465</v>
      </c>
      <c r="AN92" s="44">
        <v>110466</v>
      </c>
      <c r="AO92" s="44">
        <v>110467</v>
      </c>
      <c r="AP92" s="44">
        <v>110468</v>
      </c>
      <c r="AQ92" s="44">
        <v>110469</v>
      </c>
    </row>
    <row r="93" spans="1:43" ht="32.1" customHeight="1">
      <c r="A93" s="98"/>
      <c r="B93" s="79" t="str">
        <f>VLOOKUP(878,Sprachindex!$A:$Z,Info!$O$7,FALSE)</f>
        <v>Stk.</v>
      </c>
      <c r="C93" s="81"/>
      <c r="D93" s="78">
        <f t="shared" si="13"/>
        <v>0</v>
      </c>
      <c r="E93" s="561" t="str">
        <f>VLOOKUP(512,Sprachindex!$A:$Z,Info!$O$7,FALSE)</f>
        <v>Kaminstrebe gebogen</v>
      </c>
      <c r="F93" s="562"/>
      <c r="G93" s="562"/>
      <c r="H93" s="562"/>
      <c r="I93" s="562"/>
      <c r="J93" s="562"/>
      <c r="K93" s="563"/>
      <c r="L93" s="79" t="str">
        <f t="shared" si="11"/>
        <v/>
      </c>
      <c r="M93" s="171" t="str">
        <f>VLOOKUP(878,Sprachindex!$A:$Z,Info!$O$7,FALSE)</f>
        <v>Stk.</v>
      </c>
      <c r="N93" s="80"/>
      <c r="O93" s="202" t="str">
        <f t="shared" si="12"/>
        <v/>
      </c>
      <c r="R93" s="200">
        <v>16.77</v>
      </c>
      <c r="AC93" s="135"/>
      <c r="AD93" s="149">
        <f>ROUNDUP($A93/10,0)*10</f>
        <v>0</v>
      </c>
      <c r="AE93" s="149">
        <f t="shared" si="14"/>
        <v>0</v>
      </c>
      <c r="AF93" s="145"/>
      <c r="AH93" s="44">
        <v>110410</v>
      </c>
      <c r="AI93" s="44">
        <v>110411</v>
      </c>
      <c r="AJ93" s="44">
        <v>110412</v>
      </c>
      <c r="AK93" s="44">
        <v>110413</v>
      </c>
      <c r="AL93" s="44">
        <v>110414</v>
      </c>
      <c r="AM93" s="44">
        <v>110415</v>
      </c>
      <c r="AN93" s="44">
        <v>110416</v>
      </c>
      <c r="AO93" s="44">
        <v>110417</v>
      </c>
      <c r="AP93" s="44">
        <v>110418</v>
      </c>
      <c r="AQ93" s="44">
        <v>110419</v>
      </c>
    </row>
    <row r="94" spans="1:43" ht="32.1" customHeight="1">
      <c r="A94" s="98"/>
      <c r="B94" s="79" t="str">
        <f>VLOOKUP(1512,Sprachindex!$A:$Z,Info!$O$7,FALSE)</f>
        <v>lfm</v>
      </c>
      <c r="C94" s="81"/>
      <c r="D94" s="78">
        <f t="shared" si="13"/>
        <v>0</v>
      </c>
      <c r="E94" s="561" t="str">
        <f>VLOOKUP(402,Sprachindex!$A:$Z,Info!$O$7,FALSE)</f>
        <v>Flachprofil (35 × 7 × 3.000 mm)</v>
      </c>
      <c r="F94" s="562"/>
      <c r="G94" s="562"/>
      <c r="H94" s="562"/>
      <c r="I94" s="562"/>
      <c r="J94" s="562"/>
      <c r="K94" s="563"/>
      <c r="L94" s="79" t="str">
        <f t="shared" si="11"/>
        <v/>
      </c>
      <c r="M94" s="171" t="str">
        <f>VLOOKUP(1512,Sprachindex!$A:$Z,Info!$O$7,FALSE)</f>
        <v>lfm</v>
      </c>
      <c r="N94" s="80"/>
      <c r="O94" s="202" t="str">
        <f t="shared" si="12"/>
        <v/>
      </c>
      <c r="R94" s="200">
        <v>11.32</v>
      </c>
      <c r="AC94" s="135"/>
      <c r="AD94" s="149">
        <f>ROUNDUP($A94/3,0)*3</f>
        <v>0</v>
      </c>
      <c r="AE94" s="149">
        <f>ROUNDUP($A94/3,0)*3</f>
        <v>0</v>
      </c>
      <c r="AF94" s="145"/>
      <c r="AH94" s="44">
        <v>110400</v>
      </c>
      <c r="AI94" s="44">
        <v>110401</v>
      </c>
      <c r="AJ94" s="44">
        <v>110402</v>
      </c>
      <c r="AK94" s="44">
        <v>110403</v>
      </c>
      <c r="AL94" s="44">
        <v>110404</v>
      </c>
      <c r="AM94" s="44">
        <v>110405</v>
      </c>
      <c r="AN94" s="44">
        <v>110406</v>
      </c>
      <c r="AO94" s="44">
        <v>110407</v>
      </c>
      <c r="AP94" s="44">
        <v>110408</v>
      </c>
      <c r="AQ94" s="117" t="s">
        <v>74</v>
      </c>
    </row>
    <row r="95" spans="1:43" ht="32.1" customHeight="1">
      <c r="A95" s="98"/>
      <c r="B95" s="79" t="str">
        <f>VLOOKUP(878,Sprachindex!$A:$Z,Info!$O$7,FALSE)</f>
        <v>Stk.</v>
      </c>
      <c r="C95" s="81"/>
      <c r="D95" s="78">
        <f t="shared" si="13"/>
        <v>0</v>
      </c>
      <c r="E95" s="561" t="str">
        <f>VLOOKUP(459,Sprachindex!$A:$Z,Info!$O$7,FALSE)</f>
        <v>Hauerbuckel; zum Abdecken von Befestigungsmitteln</v>
      </c>
      <c r="F95" s="562"/>
      <c r="G95" s="562"/>
      <c r="H95" s="562"/>
      <c r="I95" s="562"/>
      <c r="J95" s="562"/>
      <c r="K95" s="563"/>
      <c r="L95" s="79" t="str">
        <f t="shared" si="11"/>
        <v/>
      </c>
      <c r="M95" s="171" t="str">
        <f>VLOOKUP(878,Sprachindex!$A:$Z,Info!$O$7,FALSE)</f>
        <v>Stk.</v>
      </c>
      <c r="N95" s="80"/>
      <c r="O95" s="202" t="str">
        <f t="shared" si="12"/>
        <v/>
      </c>
      <c r="R95" s="200">
        <v>2.06</v>
      </c>
      <c r="AC95" s="135"/>
      <c r="AD95" s="149">
        <f>ROUNDUP($A95,0)</f>
        <v>0</v>
      </c>
      <c r="AE95" s="149">
        <f>ROUNDUP($A95,0)</f>
        <v>0</v>
      </c>
      <c r="AF95" s="145"/>
      <c r="AH95" s="44">
        <v>112401</v>
      </c>
      <c r="AI95" s="44">
        <v>112402</v>
      </c>
      <c r="AJ95" s="44">
        <v>112403</v>
      </c>
      <c r="AK95" s="44">
        <v>112404</v>
      </c>
      <c r="AL95" s="44">
        <v>112405</v>
      </c>
      <c r="AM95" s="44">
        <v>112406</v>
      </c>
      <c r="AN95" s="44">
        <v>112407</v>
      </c>
      <c r="AO95" s="44">
        <v>112408</v>
      </c>
      <c r="AP95" s="44">
        <v>112409</v>
      </c>
      <c r="AQ95" s="44">
        <v>112410</v>
      </c>
    </row>
    <row r="96" spans="1:43" ht="32.1" customHeight="1">
      <c r="A96" s="98"/>
      <c r="B96" s="79" t="s">
        <v>32</v>
      </c>
      <c r="C96" s="81"/>
      <c r="D96" s="78">
        <v>340404</v>
      </c>
      <c r="E96" s="561" t="str">
        <f>VLOOKUP(1422,Sprachindex!$A:$Z,Info!$O$7,FALSE)</f>
        <v>Dachleitungshalter für Blitzschutzdraht</v>
      </c>
      <c r="F96" s="562"/>
      <c r="G96" s="562"/>
      <c r="H96" s="562"/>
      <c r="I96" s="562"/>
      <c r="J96" s="562"/>
      <c r="K96" s="563"/>
      <c r="L96" s="79" t="str">
        <f t="shared" si="11"/>
        <v/>
      </c>
      <c r="M96" s="171" t="s">
        <v>32</v>
      </c>
      <c r="N96" s="80"/>
      <c r="O96" s="202" t="str">
        <f t="shared" si="12"/>
        <v/>
      </c>
      <c r="R96" s="200">
        <v>7.16</v>
      </c>
      <c r="AC96" s="135"/>
      <c r="AD96" s="149">
        <f>ROUNDUP($A96/50,0)*50</f>
        <v>0</v>
      </c>
      <c r="AE96" s="149">
        <f t="shared" ref="AE96:AE106" si="15">ROUNDUP($A96,0)</f>
        <v>0</v>
      </c>
      <c r="AF96" s="145"/>
      <c r="AH96" s="125"/>
      <c r="AI96" s="125"/>
      <c r="AJ96" s="125"/>
      <c r="AK96" s="125"/>
      <c r="AL96" s="125"/>
      <c r="AM96" s="125"/>
      <c r="AN96" s="125"/>
      <c r="AO96" s="125"/>
      <c r="AP96" s="125"/>
      <c r="AQ96" s="125"/>
    </row>
    <row r="97" spans="1:53" ht="32.1" customHeight="1">
      <c r="A97" s="98"/>
      <c r="B97" s="79" t="str">
        <f>VLOOKUP(878,Sprachindex!$A:$Z,Info!$O$7,FALSE)</f>
        <v>Stk.</v>
      </c>
      <c r="C97" s="78"/>
      <c r="D97" s="78">
        <v>420501</v>
      </c>
      <c r="E97" s="581" t="str">
        <f>VLOOKUP(851,Sprachindex!$A:$Z,Info!$O$7,FALSE)</f>
        <v>Spezialkleber</v>
      </c>
      <c r="F97" s="582"/>
      <c r="G97" s="582"/>
      <c r="H97" s="582"/>
      <c r="I97" s="582"/>
      <c r="J97" s="582"/>
      <c r="K97" s="583"/>
      <c r="L97" s="79" t="str">
        <f t="shared" si="11"/>
        <v/>
      </c>
      <c r="M97" s="171" t="str">
        <f>VLOOKUP(878,Sprachindex!$A:$Z,Info!$O$7,FALSE)</f>
        <v>Stk.</v>
      </c>
      <c r="N97" s="80"/>
      <c r="O97" s="202" t="str">
        <f t="shared" si="12"/>
        <v/>
      </c>
      <c r="R97" s="200">
        <v>39.130000000000003</v>
      </c>
      <c r="AC97" s="135"/>
      <c r="AD97" s="149">
        <f>ROUNDUP($A97/24,0)*24</f>
        <v>0</v>
      </c>
      <c r="AE97" s="149">
        <f t="shared" si="15"/>
        <v>0</v>
      </c>
      <c r="AF97" s="150"/>
    </row>
    <row r="98" spans="1:53" ht="32.1" customHeight="1">
      <c r="A98" s="98"/>
      <c r="B98" s="79" t="str">
        <f>VLOOKUP(821,Sprachindex!$A:$Z,Info!$O$7,FALSE)</f>
        <v>Set</v>
      </c>
      <c r="C98" s="78"/>
      <c r="D98" s="78">
        <v>420500</v>
      </c>
      <c r="E98" s="561" t="str">
        <f>VLOOKUP(852,Sprachindex!$A:$Z,Info!$O$7,FALSE)</f>
        <v>Spezialkleberset</v>
      </c>
      <c r="F98" s="562"/>
      <c r="G98" s="562"/>
      <c r="H98" s="562"/>
      <c r="I98" s="562"/>
      <c r="J98" s="562"/>
      <c r="K98" s="563"/>
      <c r="L98" s="79" t="str">
        <f t="shared" si="11"/>
        <v/>
      </c>
      <c r="M98" s="171" t="str">
        <f>VLOOKUP(821,Sprachindex!$A:$Z,Info!$O$7,FALSE)</f>
        <v>Set</v>
      </c>
      <c r="N98" s="80"/>
      <c r="O98" s="202" t="str">
        <f t="shared" si="12"/>
        <v/>
      </c>
      <c r="R98" s="200">
        <v>53.57</v>
      </c>
      <c r="AC98" s="135"/>
      <c r="AD98" s="149">
        <f t="shared" ref="AD98:AD104" si="16">ROUNDUP($A98,0)</f>
        <v>0</v>
      </c>
      <c r="AE98" s="149">
        <f t="shared" si="15"/>
        <v>0</v>
      </c>
      <c r="AF98" s="145"/>
      <c r="AH98" s="47" t="s">
        <v>33</v>
      </c>
      <c r="AI98" s="47" t="s">
        <v>34</v>
      </c>
      <c r="AJ98" s="47" t="s">
        <v>35</v>
      </c>
      <c r="AK98" s="47" t="s">
        <v>36</v>
      </c>
      <c r="AL98" s="47" t="s">
        <v>37</v>
      </c>
      <c r="AM98" s="47" t="s">
        <v>38</v>
      </c>
      <c r="AN98" s="47" t="s">
        <v>39</v>
      </c>
      <c r="AO98" s="47" t="s">
        <v>40</v>
      </c>
      <c r="AP98" s="47" t="s">
        <v>41</v>
      </c>
      <c r="AQ98" s="47" t="s">
        <v>42</v>
      </c>
      <c r="AR98" s="47" t="s">
        <v>33</v>
      </c>
      <c r="AS98" s="47" t="s">
        <v>34</v>
      </c>
      <c r="AT98" s="47" t="s">
        <v>35</v>
      </c>
      <c r="AU98" s="47" t="s">
        <v>36</v>
      </c>
      <c r="AV98" s="47" t="s">
        <v>37</v>
      </c>
      <c r="AW98" s="47" t="s">
        <v>38</v>
      </c>
      <c r="AX98" s="47" t="s">
        <v>39</v>
      </c>
      <c r="AY98" s="47" t="s">
        <v>40</v>
      </c>
      <c r="AZ98" s="47" t="s">
        <v>41</v>
      </c>
      <c r="BA98" s="47" t="s">
        <v>42</v>
      </c>
    </row>
    <row r="99" spans="1:53" ht="32.1" customHeight="1">
      <c r="A99" s="98"/>
      <c r="B99" s="79" t="str">
        <f>VLOOKUP(878,Sprachindex!$A:$Z,Info!$O$7,FALSE)</f>
        <v>Stk.</v>
      </c>
      <c r="C99" s="81"/>
      <c r="D99" s="78">
        <v>411687</v>
      </c>
      <c r="E99" s="561" t="str">
        <f>VLOOKUP(705,Sprachindex!$A:$Z,Info!$O$7,FALSE)</f>
        <v>Rilleneisen</v>
      </c>
      <c r="F99" s="562"/>
      <c r="G99" s="562"/>
      <c r="H99" s="562"/>
      <c r="I99" s="562"/>
      <c r="J99" s="562"/>
      <c r="K99" s="563"/>
      <c r="L99" s="79" t="str">
        <f t="shared" si="11"/>
        <v/>
      </c>
      <c r="M99" s="171" t="str">
        <f>VLOOKUP(878,Sprachindex!$A:$Z,Info!$O$7,FALSE)</f>
        <v>Stk.</v>
      </c>
      <c r="N99" s="80"/>
      <c r="O99" s="202" t="str">
        <f t="shared" si="12"/>
        <v/>
      </c>
      <c r="R99" s="200">
        <v>55.96</v>
      </c>
      <c r="AC99" s="135"/>
      <c r="AD99" s="149">
        <f t="shared" si="16"/>
        <v>0</v>
      </c>
      <c r="AE99" s="149">
        <f t="shared" si="15"/>
        <v>0</v>
      </c>
      <c r="AF99" s="145"/>
    </row>
    <row r="100" spans="1:53" ht="32.1" customHeight="1">
      <c r="A100" s="98"/>
      <c r="B100" s="79" t="str">
        <f>VLOOKUP(878,Sprachindex!$A:$Z,Info!$O$7,FALSE)</f>
        <v>Stk.</v>
      </c>
      <c r="C100" s="81"/>
      <c r="D100" s="78">
        <v>412229</v>
      </c>
      <c r="E100" s="561" t="str">
        <f>VLOOKUP(156,Sprachindex!$A:$Z,Info!$O$7,FALSE)</f>
        <v>Abspanneisen</v>
      </c>
      <c r="F100" s="562"/>
      <c r="G100" s="562"/>
      <c r="H100" s="562"/>
      <c r="I100" s="562"/>
      <c r="J100" s="562"/>
      <c r="K100" s="563"/>
      <c r="L100" s="79" t="str">
        <f t="shared" si="11"/>
        <v/>
      </c>
      <c r="M100" s="171" t="str">
        <f>VLOOKUP(878,Sprachindex!$A:$Z,Info!$O$7,FALSE)</f>
        <v>Stk.</v>
      </c>
      <c r="N100" s="80"/>
      <c r="O100" s="202" t="str">
        <f t="shared" si="12"/>
        <v/>
      </c>
      <c r="R100" s="200">
        <v>61.99</v>
      </c>
      <c r="AC100" s="135"/>
      <c r="AD100" s="149">
        <f t="shared" si="16"/>
        <v>0</v>
      </c>
      <c r="AE100" s="149">
        <f t="shared" si="15"/>
        <v>0</v>
      </c>
      <c r="AF100" s="145"/>
    </row>
    <row r="101" spans="1:53" ht="32.1" customHeight="1">
      <c r="A101" s="98"/>
      <c r="B101" s="79" t="str">
        <f>VLOOKUP(878,Sprachindex!$A:$Z,Info!$O$7,FALSE)</f>
        <v>Stk.</v>
      </c>
      <c r="C101" s="81"/>
      <c r="D101" s="78">
        <v>340415</v>
      </c>
      <c r="E101" s="561" t="str">
        <f>VLOOKUP(184,Sprachindex!$A:$Z,Info!$O$7,FALSE)</f>
        <v>Aufsparrenschraubenpaket</v>
      </c>
      <c r="F101" s="562"/>
      <c r="G101" s="562"/>
      <c r="H101" s="562"/>
      <c r="I101" s="562"/>
      <c r="J101" s="562"/>
      <c r="K101" s="563"/>
      <c r="L101" s="79" t="str">
        <f>IF($A101=0,"",IF($P$11=1,AD101,AE101))</f>
        <v/>
      </c>
      <c r="M101" s="171" t="str">
        <f>VLOOKUP(878,Sprachindex!$A:$Z,Info!$O$7,FALSE)</f>
        <v>Stk.</v>
      </c>
      <c r="N101" s="80"/>
      <c r="O101" s="202" t="str">
        <f t="shared" si="12"/>
        <v/>
      </c>
      <c r="R101" s="200">
        <v>26.02</v>
      </c>
      <c r="AC101" s="135"/>
      <c r="AD101" s="149">
        <f t="shared" si="16"/>
        <v>0</v>
      </c>
      <c r="AE101" s="149">
        <f t="shared" si="15"/>
        <v>0</v>
      </c>
      <c r="AF101" s="145"/>
    </row>
    <row r="102" spans="1:53" ht="32.1" customHeight="1">
      <c r="A102" s="98"/>
      <c r="B102" s="79" t="str">
        <f>VLOOKUP(878,Sprachindex!$A:$Z,Info!$O$7,FALSE)</f>
        <v>Stk.</v>
      </c>
      <c r="C102" s="81"/>
      <c r="D102" s="78">
        <v>340416</v>
      </c>
      <c r="E102" s="561" t="str">
        <f>VLOOKUP(183,Sprachindex!$A:$Z,Info!$O$7,FALSE)</f>
        <v>Aufsparrenmontagepaket</v>
      </c>
      <c r="F102" s="562"/>
      <c r="G102" s="562"/>
      <c r="H102" s="562"/>
      <c r="I102" s="562"/>
      <c r="J102" s="562"/>
      <c r="K102" s="563"/>
      <c r="L102" s="79" t="str">
        <f>IF($A102=0,"",IF($P$11=1,AD102,AE102))</f>
        <v/>
      </c>
      <c r="M102" s="171" t="str">
        <f>VLOOKUP(878,Sprachindex!$A:$Z,Info!$O$7,FALSE)</f>
        <v>Stk.</v>
      </c>
      <c r="N102" s="80"/>
      <c r="O102" s="202" t="str">
        <f t="shared" si="12"/>
        <v/>
      </c>
      <c r="R102" s="200">
        <v>43.62</v>
      </c>
      <c r="AC102" s="135"/>
      <c r="AD102" s="149">
        <f t="shared" si="16"/>
        <v>0</v>
      </c>
      <c r="AE102" s="149">
        <f t="shared" si="15"/>
        <v>0</v>
      </c>
      <c r="AF102" s="145"/>
    </row>
    <row r="103" spans="1:53" ht="32.1" customHeight="1">
      <c r="A103" s="98"/>
      <c r="B103" s="79" t="str">
        <f>VLOOKUP(878,Sprachindex!$A:$Z,Info!$O$7,FALSE)</f>
        <v>Stk.</v>
      </c>
      <c r="C103" s="81"/>
      <c r="D103" s="78">
        <v>119008</v>
      </c>
      <c r="E103" s="561" t="str">
        <f>VLOOKUP(2237,Sprachindex!$A:$Z,Info!$O$7,FALSE)</f>
        <v>Taurus-BEF-10 auf Fußteilen</v>
      </c>
      <c r="F103" s="562"/>
      <c r="G103" s="562"/>
      <c r="H103" s="562"/>
      <c r="I103" s="562"/>
      <c r="J103" s="562"/>
      <c r="K103" s="563"/>
      <c r="L103" s="79" t="str">
        <f t="shared" ref="L103:L104" si="17">IF($A103=0,"",IF($P$11=1,AD103,AE103))</f>
        <v/>
      </c>
      <c r="M103" s="171" t="str">
        <f>VLOOKUP(878,Sprachindex!$A:$Z,Info!$O$7,FALSE)</f>
        <v>Stk.</v>
      </c>
      <c r="N103" s="80"/>
      <c r="O103" s="202" t="str">
        <f t="shared" ref="O103:O104" si="18">IF(ISNUMBER(A103),$L103*R103, "")</f>
        <v/>
      </c>
      <c r="R103" s="200">
        <v>138.6</v>
      </c>
      <c r="AC103" s="135"/>
      <c r="AD103" s="149">
        <f t="shared" si="16"/>
        <v>0</v>
      </c>
      <c r="AE103" s="149">
        <f t="shared" si="15"/>
        <v>0</v>
      </c>
      <c r="AF103" s="145"/>
    </row>
    <row r="104" spans="1:53" ht="32.1" customHeight="1">
      <c r="A104" s="98"/>
      <c r="B104" s="79" t="str">
        <f>VLOOKUP(878,Sprachindex!$A:$Z,Info!$O$7,FALSE)</f>
        <v>Stk.</v>
      </c>
      <c r="C104" s="81"/>
      <c r="D104" s="78">
        <v>120268</v>
      </c>
      <c r="E104" s="561" t="str">
        <f>VLOOKUP(2238,Sprachindex!$A:$Z,Info!$O$7,FALSE)</f>
        <v>Einzelanschlagspunkt auf Fußteilen</v>
      </c>
      <c r="F104" s="562"/>
      <c r="G104" s="562"/>
      <c r="H104" s="562"/>
      <c r="I104" s="562"/>
      <c r="J104" s="562"/>
      <c r="K104" s="563"/>
      <c r="L104" s="79" t="str">
        <f t="shared" si="17"/>
        <v/>
      </c>
      <c r="M104" s="171" t="str">
        <f>VLOOKUP(878,Sprachindex!$A:$Z,Info!$O$7,FALSE)</f>
        <v>Stk.</v>
      </c>
      <c r="N104" s="80"/>
      <c r="O104" s="202" t="str">
        <f t="shared" si="18"/>
        <v/>
      </c>
      <c r="R104" s="200">
        <v>135.6</v>
      </c>
      <c r="AC104" s="135"/>
      <c r="AD104" s="149">
        <f t="shared" si="16"/>
        <v>0</v>
      </c>
      <c r="AE104" s="149">
        <f t="shared" si="15"/>
        <v>0</v>
      </c>
      <c r="AF104" s="145"/>
    </row>
    <row r="105" spans="1:53" ht="32.1" customHeight="1">
      <c r="A105" s="98"/>
      <c r="B105" s="79" t="str">
        <f>VLOOKUP(531,Sprachindex!$A:$Z,Info!$O$7,FALSE)</f>
        <v>kg</v>
      </c>
      <c r="C105" s="81"/>
      <c r="D105" s="78">
        <f>IF(I105=Formeln!A107,AL105,IF(I105=Formeln!A108,AH105,IF(I105=Formeln!A109,AI105,IF(I105=Formeln!A110,AJ105,IF(I105=Formeln!A111,AK105," ")))))</f>
        <v>0</v>
      </c>
      <c r="E105" s="570" t="str">
        <f>VLOOKUP(583,Sprachindex!$A:$Z,Info!$O$7,FALSE)</f>
        <v>Lochblech (⌀ 5 mm) ca. 24 kg/Rolle (0,7 × 1.000 mm)</v>
      </c>
      <c r="F105" s="571"/>
      <c r="G105" s="571"/>
      <c r="H105" s="571"/>
      <c r="I105" s="572"/>
      <c r="J105" s="573"/>
      <c r="K105" s="574"/>
      <c r="L105" s="79" t="str">
        <f>IF($A105=0,"",IF($I105=Formeln!$A$106," ",IF($P$11=1,AD105,AE105)))</f>
        <v/>
      </c>
      <c r="M105" s="171" t="str">
        <f>VLOOKUP(531,Sprachindex!$A:$Z,Info!$O$7,FALSE)</f>
        <v>kg</v>
      </c>
      <c r="N105" s="80"/>
      <c r="O105" s="226" t="str">
        <f t="shared" si="12"/>
        <v/>
      </c>
      <c r="R105" s="200">
        <v>0</v>
      </c>
      <c r="AC105" s="135"/>
      <c r="AD105" s="149">
        <f>ROUNDUP($A105/5,0)*5</f>
        <v>0</v>
      </c>
      <c r="AE105" s="149">
        <f t="shared" si="15"/>
        <v>0</v>
      </c>
      <c r="AF105" s="151" t="str">
        <f>IF(A105&gt;24, Formeln!$A$119, Formeln!$A$118)</f>
        <v>Rolle</v>
      </c>
      <c r="AH105" s="44">
        <v>507202</v>
      </c>
      <c r="AI105" s="44">
        <v>507203</v>
      </c>
      <c r="AJ105" s="44"/>
      <c r="AK105" s="44">
        <v>507205</v>
      </c>
      <c r="AL105" s="44">
        <v>507206</v>
      </c>
    </row>
    <row r="106" spans="1:53" ht="50.1" customHeight="1">
      <c r="A106" s="98"/>
      <c r="B106" s="79" t="str">
        <f>VLOOKUP(531,Sprachindex!$A:$Z,Info!$O$7,FALSE)</f>
        <v>kg</v>
      </c>
      <c r="C106" s="81"/>
      <c r="D106" s="505" t="str">
        <f>IF(AND(I106=Formeln!A24,K106=Formeln!A129),AH106,IF(AND(I106=Formeln!A24,K106=Formeln!A132),AI106,IF(AND(I106=Formeln!A24,K106=Formeln!A134),AJ106,IF(AND(I106=Formeln!A24,K106=Formeln!A128),AK106,IF(AND(I106=Formeln!A24,K106=Formeln!A137),AL106,IF(AND(I106=Formeln!A24,K106=Formeln!A131),AM106,IF(AND(I106=Formeln!A24,K106=Formeln!A135),AN106,IF(AND(I106=Formeln!A24,K106=Formeln!A133),AO106,IF(AND(I106=Formeln!A24,K106=Formeln!A130),AP106,IF(AND(I106=Formeln!A24,K106=Formeln!A136),AQ106,IF(AND(I106=Formeln!A25,K106=Formeln!A129),AR106,IF(AND(I106=Formeln!A25,K106=Formeln!A132),AS106,IF(AND(I106=Formeln!A25,K106=Formeln!A134),AT106,IF(AND(I106=Formeln!A25,K106=Formeln!A128),AU106,IF(AND(I106=Formeln!A25,K106=Formeln!A137),AV106,IF(AND(I106=Formeln!A25,K106=Formeln!A131),AW106,IF(AND(I106=Formeln!A25,K106=Formeln!A135),AX106,IF(AND(I106=Formeln!A25,K106=Formeln!A133),AY106,IF(AND(I106=Formeln!A25,K106=Formeln!A130),AZ106,IF(AND(I106=Formeln!A25,K106=Formeln!A136),BA106,""))))))))))))))))))))</f>
        <v/>
      </c>
      <c r="E106" s="561" t="str">
        <f>VLOOKUP(669,Sprachindex!$A:$Z,Info!$O$7,FALSE)</f>
        <v>PREFALZ Ergänzungsband; 0,7 × 1.000 mm (für Zusatzverblechungen)</v>
      </c>
      <c r="F106" s="562"/>
      <c r="G106" s="562"/>
      <c r="H106" s="142" t="str">
        <f>VLOOKUP(638,Sprachindex!$A:$Z,Info!$O$7,FALSE)</f>
        <v>Oberfläche:</v>
      </c>
      <c r="I106" s="143"/>
      <c r="J106" s="144" t="str">
        <f>VLOOKUP(385,Sprachindex!$A:$Z,Info!$O$7,FALSE)</f>
        <v>Farbe:</v>
      </c>
      <c r="K106" s="143"/>
      <c r="L106" s="79" t="str">
        <f>IF($A106=0,"",IF(OR($I106=Formeln!$A$23,$K106=Formeln!$A$127)," ",IF($P$11=1,AD106,AE106)))</f>
        <v/>
      </c>
      <c r="M106" s="171" t="str">
        <f>VLOOKUP(531,Sprachindex!$A:$Z,Info!$O$7,FALSE)</f>
        <v>kg</v>
      </c>
      <c r="N106" s="80"/>
      <c r="O106" s="226" t="str">
        <f t="shared" si="12"/>
        <v/>
      </c>
      <c r="R106" s="200">
        <v>0</v>
      </c>
      <c r="AC106" s="135"/>
      <c r="AD106" s="161">
        <f>ROUNDUP($A106/30,0)*30</f>
        <v>0</v>
      </c>
      <c r="AE106" s="161">
        <f t="shared" si="15"/>
        <v>0</v>
      </c>
      <c r="AF106" s="151" t="str">
        <f>IF(A106&gt;60, Formeln!$A$119, Formeln!$A$118)</f>
        <v>Rolle</v>
      </c>
      <c r="AH106" s="470" t="s">
        <v>76</v>
      </c>
      <c r="AI106" s="470" t="s">
        <v>77</v>
      </c>
      <c r="AJ106" s="470" t="s">
        <v>78</v>
      </c>
      <c r="AK106" s="470">
        <v>40103</v>
      </c>
      <c r="AL106" s="470" t="s">
        <v>79</v>
      </c>
      <c r="AM106" s="470" t="s">
        <v>80</v>
      </c>
      <c r="AN106" s="470" t="s">
        <v>81</v>
      </c>
      <c r="AO106" s="470" t="s">
        <v>82</v>
      </c>
      <c r="AP106" s="470" t="s">
        <v>83</v>
      </c>
      <c r="AQ106" s="470" t="s">
        <v>84</v>
      </c>
      <c r="AR106" s="469" t="s">
        <v>85</v>
      </c>
      <c r="AS106" s="469" t="s">
        <v>86</v>
      </c>
      <c r="AT106" s="469" t="s">
        <v>87</v>
      </c>
      <c r="AU106" s="469" t="s">
        <v>88</v>
      </c>
      <c r="AV106" s="469" t="s">
        <v>89</v>
      </c>
      <c r="AW106" s="469" t="s">
        <v>90</v>
      </c>
      <c r="AX106" s="469" t="s">
        <v>91</v>
      </c>
      <c r="AY106" s="469" t="s">
        <v>92</v>
      </c>
      <c r="AZ106" s="469" t="s">
        <v>93</v>
      </c>
      <c r="BA106" s="469" t="s">
        <v>94</v>
      </c>
    </row>
    <row r="107" spans="1:53" ht="32.1" customHeight="1">
      <c r="A107" s="98"/>
      <c r="B107" s="104"/>
      <c r="C107" s="104"/>
      <c r="D107" s="504"/>
      <c r="E107" s="575"/>
      <c r="F107" s="576"/>
      <c r="G107" s="576"/>
      <c r="H107" s="576"/>
      <c r="I107" s="576"/>
      <c r="J107" s="576"/>
      <c r="K107" s="577"/>
      <c r="L107" s="104"/>
      <c r="M107" s="433"/>
      <c r="N107" s="447"/>
      <c r="O107" s="203"/>
      <c r="AC107" s="135"/>
      <c r="AD107" s="8"/>
      <c r="AE107" s="8"/>
      <c r="AH107" s="47" t="s">
        <v>33</v>
      </c>
      <c r="AI107" s="47" t="s">
        <v>34</v>
      </c>
      <c r="AJ107" s="47" t="s">
        <v>35</v>
      </c>
      <c r="AK107" s="47" t="s">
        <v>36</v>
      </c>
      <c r="AL107" s="47" t="s">
        <v>37</v>
      </c>
      <c r="AM107" s="47" t="s">
        <v>38</v>
      </c>
      <c r="AN107" s="47" t="s">
        <v>39</v>
      </c>
      <c r="AO107" s="47" t="s">
        <v>40</v>
      </c>
      <c r="AP107" s="47" t="s">
        <v>41</v>
      </c>
      <c r="AQ107" s="47" t="s">
        <v>42</v>
      </c>
      <c r="AR107" s="47" t="s">
        <v>33</v>
      </c>
      <c r="AS107" s="47" t="s">
        <v>34</v>
      </c>
      <c r="AT107" s="47" t="s">
        <v>35</v>
      </c>
      <c r="AU107" s="47" t="s">
        <v>36</v>
      </c>
      <c r="AV107" s="47" t="s">
        <v>37</v>
      </c>
      <c r="AW107" s="47" t="s">
        <v>38</v>
      </c>
      <c r="AX107" s="47" t="s">
        <v>39</v>
      </c>
      <c r="AY107" s="47" t="s">
        <v>40</v>
      </c>
      <c r="AZ107" s="47" t="s">
        <v>41</v>
      </c>
      <c r="BA107" s="47" t="s">
        <v>42</v>
      </c>
    </row>
    <row r="108" spans="1:53" ht="32.1" customHeight="1">
      <c r="A108" s="98"/>
      <c r="B108" s="104"/>
      <c r="C108" s="104"/>
      <c r="D108" s="104"/>
      <c r="E108" s="575"/>
      <c r="F108" s="576"/>
      <c r="G108" s="576"/>
      <c r="H108" s="576"/>
      <c r="I108" s="576"/>
      <c r="J108" s="576"/>
      <c r="K108" s="577"/>
      <c r="L108" s="104"/>
      <c r="M108" s="433"/>
      <c r="N108" s="447"/>
      <c r="O108" s="203"/>
      <c r="AC108" s="135"/>
      <c r="AD108" s="8"/>
      <c r="AE108" s="8"/>
    </row>
    <row r="109" spans="1:53" ht="32.1" customHeight="1" thickBot="1">
      <c r="A109" s="153"/>
      <c r="B109" s="154"/>
      <c r="C109" s="154"/>
      <c r="D109" s="154"/>
      <c r="E109" s="578"/>
      <c r="F109" s="579"/>
      <c r="G109" s="579"/>
      <c r="H109" s="579"/>
      <c r="I109" s="579"/>
      <c r="J109" s="579"/>
      <c r="K109" s="580"/>
      <c r="L109" s="154"/>
      <c r="M109" s="434"/>
      <c r="N109" s="448"/>
      <c r="O109" s="203"/>
      <c r="AC109" s="135"/>
      <c r="AD109" s="8"/>
      <c r="AE109" s="8"/>
    </row>
    <row r="110" spans="1:53" ht="17.399999999999999">
      <c r="D110" s="564"/>
      <c r="E110" s="564"/>
      <c r="F110" s="564"/>
      <c r="G110" s="564"/>
      <c r="H110" s="564"/>
      <c r="I110" s="564"/>
      <c r="J110" s="564"/>
      <c r="K110" s="564"/>
      <c r="L110" s="564"/>
      <c r="M110" s="564"/>
      <c r="N110" s="564"/>
      <c r="O110" s="70"/>
    </row>
    <row r="111" spans="1:53" ht="17.399999999999999">
      <c r="C111" s="89" t="str">
        <f>VLOOKUP(1035,Sprachindex!$A:$Z,Info!$O$7,FALSE)</f>
        <v>Zusatzvermerk:</v>
      </c>
      <c r="D111" s="565"/>
      <c r="E111" s="565"/>
      <c r="F111" s="565"/>
      <c r="G111" s="565"/>
      <c r="H111" s="565"/>
      <c r="I111" s="565"/>
      <c r="J111" s="565"/>
      <c r="K111" s="565"/>
      <c r="L111" s="565"/>
      <c r="M111" s="565"/>
      <c r="N111" s="565"/>
      <c r="O111" s="196">
        <f>SUM(O31:O110)</f>
        <v>0</v>
      </c>
    </row>
    <row r="112" spans="1:53" ht="17.399999999999999">
      <c r="D112" s="566"/>
      <c r="E112" s="566"/>
      <c r="F112" s="566"/>
      <c r="G112" s="566"/>
      <c r="H112" s="566"/>
      <c r="I112" s="566"/>
      <c r="J112" s="566"/>
      <c r="K112" s="566"/>
      <c r="L112" s="566"/>
      <c r="M112" s="566"/>
      <c r="N112" s="566"/>
      <c r="O112" s="5"/>
    </row>
    <row r="113" spans="1:15" ht="17.399999999999999">
      <c r="D113" s="565"/>
      <c r="E113" s="565"/>
      <c r="F113" s="565"/>
      <c r="G113" s="565"/>
      <c r="H113" s="565"/>
      <c r="I113" s="565"/>
      <c r="J113" s="565"/>
      <c r="K113" s="565"/>
      <c r="L113" s="565"/>
      <c r="M113" s="565"/>
      <c r="N113" s="565"/>
      <c r="O113" s="5"/>
    </row>
    <row r="114" spans="1:15" ht="17.399999999999999">
      <c r="D114" s="566"/>
      <c r="E114" s="566"/>
      <c r="F114" s="566"/>
      <c r="G114" s="566"/>
      <c r="H114" s="566"/>
      <c r="I114" s="566"/>
      <c r="J114" s="566"/>
      <c r="K114" s="566"/>
      <c r="L114" s="566"/>
      <c r="M114" s="566"/>
      <c r="N114" s="566"/>
      <c r="O114" s="5"/>
    </row>
    <row r="115" spans="1:15" ht="17.399999999999999">
      <c r="D115" s="565"/>
      <c r="E115" s="565"/>
      <c r="F115" s="565"/>
      <c r="G115" s="565"/>
      <c r="H115" s="565"/>
      <c r="I115" s="565"/>
      <c r="J115" s="565"/>
      <c r="K115" s="565"/>
      <c r="L115" s="565"/>
      <c r="M115" s="565"/>
      <c r="N115" s="565"/>
      <c r="O115" s="5"/>
    </row>
    <row r="116" spans="1:15" ht="17.399999999999999">
      <c r="M116" s="5"/>
      <c r="N116" s="5"/>
      <c r="O116" s="5"/>
    </row>
    <row r="117" spans="1:15" ht="17.399999999999999"/>
    <row r="118" spans="1:15" ht="17.399999999999999">
      <c r="A118" s="90" t="str">
        <f>VLOOKUP(2097,Sprachindex!$A:$Z,Info!$O$7,FALSE)</f>
        <v>Produkttechnik</v>
      </c>
      <c r="B118" s="91"/>
      <c r="C118" s="91"/>
      <c r="D118" s="569"/>
      <c r="E118" s="569"/>
      <c r="F118" s="569"/>
      <c r="G118" s="569"/>
      <c r="H118" s="569"/>
      <c r="I118" s="569"/>
      <c r="J118" s="569"/>
      <c r="K118" s="92" t="str">
        <f>VLOOKUP(856,Sprachindex!$A:$Z,Info!$O$7,FALSE)</f>
        <v>Stand:</v>
      </c>
      <c r="L118" s="567">
        <f>Info!M59</f>
        <v>45511</v>
      </c>
      <c r="M118" s="567"/>
      <c r="N118" s="568"/>
    </row>
    <row r="119" spans="1:15" ht="17.399999999999999"/>
    <row r="120" spans="1:15" ht="17.399999999999999" hidden="1"/>
    <row r="121" spans="1:15" ht="14.25" hidden="1" customHeight="1"/>
    <row r="122" spans="1:15" ht="14.25" hidden="1" customHeight="1"/>
  </sheetData>
  <sheetProtection algorithmName="SHA-512" hashValue="YNoJLQyM/IxRDjkSMX6zTtExa/WtwFba8P+E8RtFJIVd6rFwCM1wVcoaL2N3nEFryuvN5M9XD1DRQZlHze094A==" saltValue="OlhPrXCiD+oUCaZdXLeHHA==" spinCount="100000" sheet="1" objects="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9" name="darf vom Benutzer nicht verändert werden_1_5"/>
    <protectedRange password="DEBF" sqref="AF105:AF106" name="darf vom Benutzer nicht verändert werden_1_12"/>
  </protectedRanges>
  <autoFilter ref="A29:A109" xr:uid="{00000000-0009-0000-0000-000001000000}"/>
  <mergeCells count="111">
    <mergeCell ref="E38:K38"/>
    <mergeCell ref="C27:E27"/>
    <mergeCell ref="E37:G37"/>
    <mergeCell ref="E65:K65"/>
    <mergeCell ref="E66:K66"/>
    <mergeCell ref="C26:E26"/>
    <mergeCell ref="C13:E13"/>
    <mergeCell ref="C14:E14"/>
    <mergeCell ref="C15:E15"/>
    <mergeCell ref="C18:E18"/>
    <mergeCell ref="C19:E19"/>
    <mergeCell ref="C20:E20"/>
    <mergeCell ref="C21:E21"/>
    <mergeCell ref="C24:E24"/>
    <mergeCell ref="C25:E25"/>
    <mergeCell ref="E101:K101"/>
    <mergeCell ref="E46:K46"/>
    <mergeCell ref="E47:K47"/>
    <mergeCell ref="E49:G49"/>
    <mergeCell ref="E58:H58"/>
    <mergeCell ref="J58:K58"/>
    <mergeCell ref="E54:K54"/>
    <mergeCell ref="E53:K53"/>
    <mergeCell ref="J57:K57"/>
    <mergeCell ref="E87:K87"/>
    <mergeCell ref="E88:K88"/>
    <mergeCell ref="E89:K89"/>
    <mergeCell ref="E90:K90"/>
    <mergeCell ref="E91:K91"/>
    <mergeCell ref="E98:K98"/>
    <mergeCell ref="E86:K86"/>
    <mergeCell ref="E82:K82"/>
    <mergeCell ref="E74:K74"/>
    <mergeCell ref="E60:K60"/>
    <mergeCell ref="E73:K73"/>
    <mergeCell ref="E99:K99"/>
    <mergeCell ref="H49:K49"/>
    <mergeCell ref="E67:K67"/>
    <mergeCell ref="E69:K69"/>
    <mergeCell ref="AD29:AE29"/>
    <mergeCell ref="E51:K51"/>
    <mergeCell ref="E52:K52"/>
    <mergeCell ref="E48:K48"/>
    <mergeCell ref="E42:K42"/>
    <mergeCell ref="E34:K34"/>
    <mergeCell ref="E35:K35"/>
    <mergeCell ref="E36:G36"/>
    <mergeCell ref="H36:K36"/>
    <mergeCell ref="E39:G39"/>
    <mergeCell ref="H39:K39"/>
    <mergeCell ref="E40:K40"/>
    <mergeCell ref="E41:K41"/>
    <mergeCell ref="E30:K30"/>
    <mergeCell ref="E31:K31"/>
    <mergeCell ref="E32:K32"/>
    <mergeCell ref="E44:K44"/>
    <mergeCell ref="E45:K45"/>
    <mergeCell ref="E50:G50"/>
    <mergeCell ref="E43:K43"/>
    <mergeCell ref="H50:K50"/>
    <mergeCell ref="E33:K33"/>
    <mergeCell ref="B29:E29"/>
    <mergeCell ref="H37:K37"/>
    <mergeCell ref="E97:K97"/>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57:H57"/>
    <mergeCell ref="E70:K70"/>
    <mergeCell ref="E68:K68"/>
    <mergeCell ref="D110:N111"/>
    <mergeCell ref="D112:N113"/>
    <mergeCell ref="D114:N115"/>
    <mergeCell ref="L118:N118"/>
    <mergeCell ref="E85:K85"/>
    <mergeCell ref="E83:K83"/>
    <mergeCell ref="E76:K76"/>
    <mergeCell ref="E77:K77"/>
    <mergeCell ref="E78:K78"/>
    <mergeCell ref="E79:K79"/>
    <mergeCell ref="E80:K80"/>
    <mergeCell ref="E81:K81"/>
    <mergeCell ref="D118:J118"/>
    <mergeCell ref="E102:K102"/>
    <mergeCell ref="E105:H105"/>
    <mergeCell ref="I105:K105"/>
    <mergeCell ref="E106:G106"/>
    <mergeCell ref="E107:K107"/>
    <mergeCell ref="E108:K108"/>
    <mergeCell ref="E109:K109"/>
    <mergeCell ref="E103:K103"/>
    <mergeCell ref="E104:K104"/>
    <mergeCell ref="E95:K95"/>
  </mergeCells>
  <conditionalFormatting sqref="A31:A109">
    <cfRule type="cellIs" dxfId="2222" priority="23" operator="equal">
      <formula>""</formula>
    </cfRule>
  </conditionalFormatting>
  <conditionalFormatting sqref="B107:M109">
    <cfRule type="cellIs" dxfId="2220" priority="334" operator="equal">
      <formula>""</formula>
    </cfRule>
  </conditionalFormatting>
  <conditionalFormatting sqref="C9:E11">
    <cfRule type="cellIs" dxfId="2219" priority="479" operator="equal">
      <formula>""</formula>
    </cfRule>
  </conditionalFormatting>
  <conditionalFormatting sqref="C13:E15">
    <cfRule type="cellIs" dxfId="2218" priority="476" operator="equal">
      <formula>""</formula>
    </cfRule>
  </conditionalFormatting>
  <conditionalFormatting sqref="C18:E21">
    <cfRule type="cellIs" dxfId="2217" priority="471" operator="equal">
      <formula>""</formula>
    </cfRule>
  </conditionalFormatting>
  <conditionalFormatting sqref="C24:E27">
    <cfRule type="cellIs" dxfId="2216" priority="70" operator="equal">
      <formula>""</formula>
    </cfRule>
  </conditionalFormatting>
  <conditionalFormatting sqref="D68">
    <cfRule type="duplicateValues" dxfId="2215" priority="102"/>
  </conditionalFormatting>
  <conditionalFormatting sqref="D69">
    <cfRule type="duplicateValues" dxfId="2214" priority="193"/>
  </conditionalFormatting>
  <conditionalFormatting sqref="D70">
    <cfRule type="duplicateValues" dxfId="2213" priority="141"/>
  </conditionalFormatting>
  <conditionalFormatting sqref="D78">
    <cfRule type="duplicateValues" dxfId="2212" priority="183"/>
  </conditionalFormatting>
  <conditionalFormatting sqref="H37:K37">
    <cfRule type="cellIs" dxfId="2210" priority="365" operator="equal">
      <formula>""</formula>
    </cfRule>
  </conditionalFormatting>
  <conditionalFormatting sqref="I13">
    <cfRule type="expression" dxfId="2206" priority="129">
      <formula>$P$13=1</formula>
    </cfRule>
    <cfRule type="expression" dxfId="2205" priority="126">
      <formula>$P$13=2</formula>
    </cfRule>
  </conditionalFormatting>
  <conditionalFormatting sqref="I21:I22">
    <cfRule type="expression" dxfId="2204" priority="74">
      <formula>$P$21=10</formula>
    </cfRule>
  </conditionalFormatting>
  <conditionalFormatting sqref="I24:I26">
    <cfRule type="cellIs" dxfId="2203" priority="15" operator="equal">
      <formula>""</formula>
    </cfRule>
  </conditionalFormatting>
  <conditionalFormatting sqref="I28">
    <cfRule type="expression" dxfId="2202" priority="497">
      <formula>$P$21=10</formula>
    </cfRule>
  </conditionalFormatting>
  <conditionalFormatting sqref="L13:N13">
    <cfRule type="expression" dxfId="2197" priority="128">
      <formula>$P$13=2</formula>
    </cfRule>
    <cfRule type="expression" dxfId="2196" priority="127">
      <formula>$P$13=1</formula>
    </cfRule>
  </conditionalFormatting>
  <conditionalFormatting sqref="AH48">
    <cfRule type="duplicateValues" dxfId="2193" priority="123"/>
  </conditionalFormatting>
  <conditionalFormatting sqref="AH49">
    <cfRule type="duplicateValues" dxfId="2192" priority="311"/>
  </conditionalFormatting>
  <conditionalFormatting sqref="AH50">
    <cfRule type="duplicateValues" dxfId="2191" priority="300"/>
  </conditionalFormatting>
  <conditionalFormatting sqref="AH51">
    <cfRule type="duplicateValues" dxfId="2190" priority="282"/>
  </conditionalFormatting>
  <conditionalFormatting sqref="AH87">
    <cfRule type="duplicateValues" dxfId="2189" priority="170"/>
  </conditionalFormatting>
  <conditionalFormatting sqref="AH105:AL105">
    <cfRule type="duplicateValues" dxfId="2188" priority="154"/>
  </conditionalFormatting>
  <conditionalFormatting sqref="AH52:AP52">
    <cfRule type="duplicateValues" dxfId="2187" priority="287"/>
  </conditionalFormatting>
  <conditionalFormatting sqref="AH55:AP55">
    <cfRule type="duplicateValues" dxfId="2186" priority="99"/>
  </conditionalFormatting>
  <conditionalFormatting sqref="AH56:AP56">
    <cfRule type="duplicateValues" dxfId="2185" priority="557"/>
  </conditionalFormatting>
  <conditionalFormatting sqref="AH57:AP57 AR57:AZ57">
    <cfRule type="duplicateValues" dxfId="2184" priority="229"/>
  </conditionalFormatting>
  <conditionalFormatting sqref="AH58:AP58 AR58:BB58">
    <cfRule type="duplicateValues" dxfId="2183" priority="93"/>
  </conditionalFormatting>
  <conditionalFormatting sqref="AH63:AP63">
    <cfRule type="duplicateValues" dxfId="2182" priority="199"/>
  </conditionalFormatting>
  <conditionalFormatting sqref="AH64:AP64">
    <cfRule type="duplicateValues" dxfId="2181" priority="197"/>
  </conditionalFormatting>
  <conditionalFormatting sqref="AH65:AP65">
    <cfRule type="duplicateValues" dxfId="2180" priority="108"/>
  </conditionalFormatting>
  <conditionalFormatting sqref="AH66:AP66">
    <cfRule type="duplicateValues" dxfId="2179" priority="105"/>
  </conditionalFormatting>
  <conditionalFormatting sqref="AH67:AP67">
    <cfRule type="duplicateValues" dxfId="2178" priority="195"/>
  </conditionalFormatting>
  <conditionalFormatting sqref="AH76:AP76">
    <cfRule type="duplicateValues" dxfId="2177" priority="187"/>
  </conditionalFormatting>
  <conditionalFormatting sqref="AH77:AP77">
    <cfRule type="duplicateValues" dxfId="2176" priority="184"/>
  </conditionalFormatting>
  <conditionalFormatting sqref="AH83:AP83">
    <cfRule type="duplicateValues" dxfId="2175" priority="562"/>
  </conditionalFormatting>
  <conditionalFormatting sqref="AH84:AP84">
    <cfRule type="duplicateValues" dxfId="2174" priority="174"/>
  </conditionalFormatting>
  <conditionalFormatting sqref="AH88:AP88">
    <cfRule type="duplicateValues" dxfId="2173" priority="169"/>
  </conditionalFormatting>
  <conditionalFormatting sqref="AH89:AP89">
    <cfRule type="duplicateValues" dxfId="2172" priority="168"/>
  </conditionalFormatting>
  <conditionalFormatting sqref="AH90:AP90">
    <cfRule type="duplicateValues" dxfId="2171" priority="167"/>
  </conditionalFormatting>
  <conditionalFormatting sqref="AH91:AP91">
    <cfRule type="duplicateValues" dxfId="2170" priority="166"/>
  </conditionalFormatting>
  <conditionalFormatting sqref="AH92:AP92">
    <cfRule type="duplicateValues" dxfId="2169" priority="165"/>
  </conditionalFormatting>
  <conditionalFormatting sqref="AH94:AP94">
    <cfRule type="duplicateValues" dxfId="2168" priority="159"/>
  </conditionalFormatting>
  <conditionalFormatting sqref="AH95:AP96">
    <cfRule type="duplicateValues" dxfId="2167" priority="145"/>
  </conditionalFormatting>
  <conditionalFormatting sqref="AH38:AQ38">
    <cfRule type="duplicateValues" dxfId="2166" priority="329"/>
  </conditionalFormatting>
  <conditionalFormatting sqref="AH59:AQ59">
    <cfRule type="duplicateValues" dxfId="2165" priority="202"/>
  </conditionalFormatting>
  <conditionalFormatting sqref="AH60:AQ60">
    <cfRule type="duplicateValues" dxfId="2164" priority="110"/>
  </conditionalFormatting>
  <conditionalFormatting sqref="AH61:AQ61">
    <cfRule type="duplicateValues" dxfId="2163" priority="201"/>
  </conditionalFormatting>
  <conditionalFormatting sqref="AH62:AQ62 AQ62:AQ65">
    <cfRule type="duplicateValues" dxfId="2162" priority="200"/>
  </conditionalFormatting>
  <conditionalFormatting sqref="AH71:AQ71">
    <cfRule type="duplicateValues" dxfId="2161" priority="192"/>
  </conditionalFormatting>
  <conditionalFormatting sqref="AH74:AQ74">
    <cfRule type="duplicateValues" dxfId="2160" priority="189"/>
  </conditionalFormatting>
  <conditionalFormatting sqref="AH75:AQ75">
    <cfRule type="duplicateValues" dxfId="2159" priority="188"/>
  </conditionalFormatting>
  <conditionalFormatting sqref="AH80:AQ80">
    <cfRule type="duplicateValues" dxfId="2158" priority="180"/>
  </conditionalFormatting>
  <conditionalFormatting sqref="AH81:AQ82">
    <cfRule type="duplicateValues" dxfId="2157" priority="178"/>
  </conditionalFormatting>
  <conditionalFormatting sqref="AH85:AQ85">
    <cfRule type="duplicateValues" dxfId="2156" priority="18"/>
  </conditionalFormatting>
  <conditionalFormatting sqref="AH86:AQ86">
    <cfRule type="duplicateValues" dxfId="2155" priority="172"/>
  </conditionalFormatting>
  <conditionalFormatting sqref="AH93:AQ93">
    <cfRule type="duplicateValues" dxfId="2154" priority="563"/>
  </conditionalFormatting>
  <conditionalFormatting sqref="AH31:AU31">
    <cfRule type="duplicateValues" dxfId="2153" priority="5"/>
  </conditionalFormatting>
  <conditionalFormatting sqref="AH41:AU47">
    <cfRule type="duplicateValues" dxfId="2152" priority="7"/>
  </conditionalFormatting>
  <conditionalFormatting sqref="AH72:AU73">
    <cfRule type="duplicateValues" dxfId="2151" priority="9"/>
  </conditionalFormatting>
  <conditionalFormatting sqref="AH79:AU79">
    <cfRule type="duplicateValues" dxfId="2150" priority="11"/>
  </conditionalFormatting>
  <conditionalFormatting sqref="AH106:AU106">
    <cfRule type="duplicateValues" dxfId="2149" priority="131"/>
  </conditionalFormatting>
  <conditionalFormatting sqref="AI48">
    <cfRule type="duplicateValues" dxfId="2148" priority="120"/>
  </conditionalFormatting>
  <conditionalFormatting sqref="AI49">
    <cfRule type="duplicateValues" dxfId="2147" priority="308"/>
  </conditionalFormatting>
  <conditionalFormatting sqref="AI50">
    <cfRule type="duplicateValues" dxfId="2146" priority="297"/>
  </conditionalFormatting>
  <conditionalFormatting sqref="AI51">
    <cfRule type="duplicateValues" dxfId="2145" priority="281"/>
  </conditionalFormatting>
  <conditionalFormatting sqref="AI87:AQ87">
    <cfRule type="duplicateValues" dxfId="2144" priority="171"/>
  </conditionalFormatting>
  <conditionalFormatting sqref="AJ48">
    <cfRule type="duplicateValues" dxfId="2143" priority="121"/>
  </conditionalFormatting>
  <conditionalFormatting sqref="AJ49">
    <cfRule type="duplicateValues" dxfId="2142" priority="309"/>
  </conditionalFormatting>
  <conditionalFormatting sqref="AJ50">
    <cfRule type="duplicateValues" dxfId="2141" priority="298"/>
  </conditionalFormatting>
  <conditionalFormatting sqref="AJ51">
    <cfRule type="duplicateValues" dxfId="2140" priority="280"/>
  </conditionalFormatting>
  <conditionalFormatting sqref="AK48">
    <cfRule type="duplicateValues" dxfId="2139" priority="117"/>
  </conditionalFormatting>
  <conditionalFormatting sqref="AK49">
    <cfRule type="duplicateValues" dxfId="2138" priority="305"/>
  </conditionalFormatting>
  <conditionalFormatting sqref="AK50">
    <cfRule type="duplicateValues" dxfId="2137" priority="299"/>
  </conditionalFormatting>
  <conditionalFormatting sqref="AK51">
    <cfRule type="duplicateValues" dxfId="2136" priority="279"/>
  </conditionalFormatting>
  <conditionalFormatting sqref="AL48">
    <cfRule type="duplicateValues" dxfId="2135" priority="115"/>
  </conditionalFormatting>
  <conditionalFormatting sqref="AL51">
    <cfRule type="duplicateValues" dxfId="2134" priority="278"/>
  </conditionalFormatting>
  <conditionalFormatting sqref="AM48">
    <cfRule type="duplicateValues" dxfId="2133" priority="122"/>
  </conditionalFormatting>
  <conditionalFormatting sqref="AM49">
    <cfRule type="duplicateValues" dxfId="2132" priority="310"/>
  </conditionalFormatting>
  <conditionalFormatting sqref="AM50">
    <cfRule type="duplicateValues" dxfId="2131" priority="296"/>
  </conditionalFormatting>
  <conditionalFormatting sqref="AM51">
    <cfRule type="duplicateValues" dxfId="2130" priority="277"/>
  </conditionalFormatting>
  <conditionalFormatting sqref="AN48">
    <cfRule type="duplicateValues" dxfId="2129" priority="118"/>
  </conditionalFormatting>
  <conditionalFormatting sqref="AN49">
    <cfRule type="duplicateValues" dxfId="2128" priority="306"/>
  </conditionalFormatting>
  <conditionalFormatting sqref="AN50">
    <cfRule type="duplicateValues" dxfId="2127" priority="294"/>
  </conditionalFormatting>
  <conditionalFormatting sqref="AN51">
    <cfRule type="duplicateValues" dxfId="2126" priority="276"/>
  </conditionalFormatting>
  <conditionalFormatting sqref="AO48">
    <cfRule type="duplicateValues" dxfId="2125" priority="119"/>
  </conditionalFormatting>
  <conditionalFormatting sqref="AO49">
    <cfRule type="duplicateValues" dxfId="2124" priority="307"/>
  </conditionalFormatting>
  <conditionalFormatting sqref="AO50">
    <cfRule type="duplicateValues" dxfId="2123" priority="295"/>
  </conditionalFormatting>
  <conditionalFormatting sqref="AO51">
    <cfRule type="duplicateValues" dxfId="2122" priority="275"/>
  </conditionalFormatting>
  <conditionalFormatting sqref="AP48">
    <cfRule type="duplicateValues" dxfId="2121" priority="114"/>
  </conditionalFormatting>
  <conditionalFormatting sqref="AP49">
    <cfRule type="duplicateValues" dxfId="2120" priority="113"/>
  </conditionalFormatting>
  <conditionalFormatting sqref="AP50">
    <cfRule type="duplicateValues" dxfId="2119" priority="112"/>
  </conditionalFormatting>
  <conditionalFormatting sqref="AP51">
    <cfRule type="duplicateValues" dxfId="2118" priority="274"/>
  </conditionalFormatting>
  <conditionalFormatting sqref="AQ48">
    <cfRule type="duplicateValues" dxfId="2117" priority="77"/>
  </conditionalFormatting>
  <conditionalFormatting sqref="AQ49">
    <cfRule type="duplicateValues" dxfId="2116" priority="79"/>
  </conditionalFormatting>
  <conditionalFormatting sqref="AQ50">
    <cfRule type="duplicateValues" dxfId="2115" priority="78"/>
  </conditionalFormatting>
  <conditionalFormatting sqref="AQ51">
    <cfRule type="duplicateValues" dxfId="2114" priority="82"/>
  </conditionalFormatting>
  <conditionalFormatting sqref="AQ52">
    <cfRule type="duplicateValues" dxfId="2113" priority="286"/>
  </conditionalFormatting>
  <conditionalFormatting sqref="AQ55">
    <cfRule type="duplicateValues" dxfId="2112" priority="98"/>
  </conditionalFormatting>
  <conditionalFormatting sqref="AQ63">
    <cfRule type="duplicateValues" dxfId="2111" priority="198"/>
  </conditionalFormatting>
  <conditionalFormatting sqref="AQ64">
    <cfRule type="duplicateValues" dxfId="2110" priority="196"/>
  </conditionalFormatting>
  <conditionalFormatting sqref="AQ65">
    <cfRule type="duplicateValues" dxfId="2109" priority="107"/>
  </conditionalFormatting>
  <conditionalFormatting sqref="AQ66">
    <cfRule type="duplicateValues" dxfId="2108" priority="104"/>
  </conditionalFormatting>
  <conditionalFormatting sqref="AQ67">
    <cfRule type="duplicateValues" dxfId="2107" priority="194"/>
  </conditionalFormatting>
  <conditionalFormatting sqref="AQ76">
    <cfRule type="duplicateValues" dxfId="2106" priority="186"/>
  </conditionalFormatting>
  <conditionalFormatting sqref="AQ77">
    <cfRule type="duplicateValues" dxfId="2105" priority="185"/>
  </conditionalFormatting>
  <conditionalFormatting sqref="AQ83">
    <cfRule type="duplicateValues" dxfId="2104" priority="80"/>
  </conditionalFormatting>
  <conditionalFormatting sqref="AQ84">
    <cfRule type="duplicateValues" dxfId="2103" priority="173"/>
  </conditionalFormatting>
  <conditionalFormatting sqref="AQ88">
    <cfRule type="duplicateValues" dxfId="2102" priority="164"/>
  </conditionalFormatting>
  <conditionalFormatting sqref="AQ89">
    <cfRule type="duplicateValues" dxfId="2101" priority="163"/>
  </conditionalFormatting>
  <conditionalFormatting sqref="AQ90">
    <cfRule type="duplicateValues" dxfId="2100" priority="162"/>
  </conditionalFormatting>
  <conditionalFormatting sqref="AQ91">
    <cfRule type="duplicateValues" dxfId="2099" priority="161"/>
  </conditionalFormatting>
  <conditionalFormatting sqref="AQ92">
    <cfRule type="duplicateValues" dxfId="2098" priority="160"/>
  </conditionalFormatting>
  <conditionalFormatting sqref="AQ94">
    <cfRule type="duplicateValues" dxfId="2097" priority="158"/>
  </conditionalFormatting>
  <conditionalFormatting sqref="AQ95:AQ96">
    <cfRule type="duplicateValues" dxfId="2096" priority="144"/>
  </conditionalFormatting>
  <conditionalFormatting sqref="AR48:AV51">
    <cfRule type="duplicateValues" dxfId="2095" priority="3"/>
  </conditionalFormatting>
  <conditionalFormatting sqref="AR52:AZ52">
    <cfRule type="duplicateValues" dxfId="2094" priority="285"/>
  </conditionalFormatting>
  <conditionalFormatting sqref="AR55:AZ55">
    <cfRule type="duplicateValues" dxfId="2093" priority="76"/>
  </conditionalFormatting>
  <conditionalFormatting sqref="AR56:BA56">
    <cfRule type="duplicateValues" dxfId="2092" priority="271"/>
  </conditionalFormatting>
  <conditionalFormatting sqref="AV31:BA31">
    <cfRule type="duplicateValues" dxfId="2091" priority="4"/>
  </conditionalFormatting>
  <conditionalFormatting sqref="AV41:BA47">
    <cfRule type="duplicateValues" dxfId="2090" priority="6"/>
  </conditionalFormatting>
  <conditionalFormatting sqref="AV72:BA73">
    <cfRule type="duplicateValues" dxfId="2089" priority="8"/>
  </conditionalFormatting>
  <conditionalFormatting sqref="AV79:BA79">
    <cfRule type="duplicateValues" dxfId="2088" priority="10"/>
  </conditionalFormatting>
  <conditionalFormatting sqref="AV106:BA106">
    <cfRule type="duplicateValues" dxfId="2087" priority="130"/>
  </conditionalFormatting>
  <conditionalFormatting sqref="BA52">
    <cfRule type="duplicateValues" dxfId="2086" priority="209"/>
  </conditionalFormatting>
  <conditionalFormatting sqref="BA55">
    <cfRule type="duplicateValues" dxfId="2085" priority="75"/>
  </conditionalFormatting>
  <conditionalFormatting sqref="BA57">
    <cfRule type="duplicateValues" dxfId="2084" priority="54"/>
  </conditionalFormatting>
  <conditionalFormatting sqref="BC56:BK56">
    <cfRule type="duplicateValues" dxfId="2083" priority="269"/>
  </conditionalFormatting>
  <conditionalFormatting sqref="BC57:BK57 BM57:BU57">
    <cfRule type="duplicateValues" dxfId="2082" priority="208"/>
  </conditionalFormatting>
  <conditionalFormatting sqref="BC58:BK58 BM58:BV58">
    <cfRule type="duplicateValues" dxfId="2081" priority="92"/>
  </conditionalFormatting>
  <conditionalFormatting sqref="BM56:BU56">
    <cfRule type="duplicateValues" dxfId="2080" priority="268"/>
  </conditionalFormatting>
  <conditionalFormatting sqref="BV56">
    <cfRule type="duplicateValues" dxfId="2079" priority="53"/>
  </conditionalFormatting>
  <conditionalFormatting sqref="BV57">
    <cfRule type="duplicateValues" dxfId="2078" priority="52"/>
  </conditionalFormatting>
  <conditionalFormatting sqref="BX56">
    <cfRule type="duplicateValues" dxfId="2077" priority="228"/>
  </conditionalFormatting>
  <conditionalFormatting sqref="BX57:CF57 CH57:CP57">
    <cfRule type="duplicateValues" dxfId="2076" priority="207"/>
  </conditionalFormatting>
  <conditionalFormatting sqref="BX58:CF58 CH58:CQ58">
    <cfRule type="duplicateValues" dxfId="2075" priority="91"/>
  </conditionalFormatting>
  <conditionalFormatting sqref="BY56:CF56">
    <cfRule type="duplicateValues" dxfId="2074" priority="267"/>
  </conditionalFormatting>
  <conditionalFormatting sqref="CH56:CQ56">
    <cfRule type="duplicateValues" dxfId="2073" priority="266"/>
  </conditionalFormatting>
  <conditionalFormatting sqref="CQ57">
    <cfRule type="duplicateValues" dxfId="2072" priority="51"/>
  </conditionalFormatting>
  <conditionalFormatting sqref="CS56">
    <cfRule type="duplicateValues" dxfId="2071" priority="227"/>
  </conditionalFormatting>
  <conditionalFormatting sqref="CS57:DA57 DX57:EF57">
    <cfRule type="duplicateValues" dxfId="2070" priority="206"/>
  </conditionalFormatting>
  <conditionalFormatting sqref="CS58:DA58 DX58:EG58">
    <cfRule type="duplicateValues" dxfId="2069" priority="90"/>
  </conditionalFormatting>
  <conditionalFormatting sqref="CT56:DA56">
    <cfRule type="duplicateValues" dxfId="2068" priority="558"/>
  </conditionalFormatting>
  <conditionalFormatting sqref="DC56:DK56">
    <cfRule type="duplicateValues" dxfId="2067" priority="559"/>
  </conditionalFormatting>
  <conditionalFormatting sqref="DC57:DK57">
    <cfRule type="duplicateValues" dxfId="2066" priority="96"/>
  </conditionalFormatting>
  <conditionalFormatting sqref="DC58:DL58">
    <cfRule type="duplicateValues" dxfId="2065" priority="86"/>
  </conditionalFormatting>
  <conditionalFormatting sqref="DL56">
    <cfRule type="duplicateValues" dxfId="2064" priority="50"/>
  </conditionalFormatting>
  <conditionalFormatting sqref="DL57">
    <cfRule type="duplicateValues" dxfId="2063" priority="49"/>
  </conditionalFormatting>
  <conditionalFormatting sqref="DN56">
    <cfRule type="duplicateValues" dxfId="2062" priority="226"/>
  </conditionalFormatting>
  <conditionalFormatting sqref="DO56:DV56">
    <cfRule type="duplicateValues" dxfId="2061" priority="262"/>
  </conditionalFormatting>
  <conditionalFormatting sqref="DX56:EF56">
    <cfRule type="duplicateValues" dxfId="2060" priority="263"/>
  </conditionalFormatting>
  <conditionalFormatting sqref="EG56">
    <cfRule type="duplicateValues" dxfId="2059" priority="48"/>
  </conditionalFormatting>
  <conditionalFormatting sqref="EG57">
    <cfRule type="duplicateValues" dxfId="2058" priority="47"/>
  </conditionalFormatting>
  <conditionalFormatting sqref="EI56">
    <cfRule type="duplicateValues" dxfId="2057" priority="225"/>
  </conditionalFormatting>
  <conditionalFormatting sqref="EI57:EQ57 ES57:FA57">
    <cfRule type="duplicateValues" dxfId="2056" priority="205"/>
  </conditionalFormatting>
  <conditionalFormatting sqref="EI58:EQ58 ES58:FB58">
    <cfRule type="duplicateValues" dxfId="2055" priority="89"/>
  </conditionalFormatting>
  <conditionalFormatting sqref="EJ56:EQ56">
    <cfRule type="duplicateValues" dxfId="2054" priority="261"/>
  </conditionalFormatting>
  <conditionalFormatting sqref="ES56:FA56">
    <cfRule type="duplicateValues" dxfId="2053" priority="97"/>
  </conditionalFormatting>
  <conditionalFormatting sqref="FB56">
    <cfRule type="duplicateValues" dxfId="2052" priority="46"/>
  </conditionalFormatting>
  <conditionalFormatting sqref="FB57">
    <cfRule type="duplicateValues" dxfId="2051" priority="45"/>
  </conditionalFormatting>
  <conditionalFormatting sqref="FD56">
    <cfRule type="duplicateValues" dxfId="2050" priority="224"/>
  </conditionalFormatting>
  <conditionalFormatting sqref="FD57:FL57 FN57:FV57">
    <cfRule type="duplicateValues" dxfId="2049" priority="204"/>
  </conditionalFormatting>
  <conditionalFormatting sqref="FE56:FL56">
    <cfRule type="duplicateValues" dxfId="2048" priority="259"/>
  </conditionalFormatting>
  <conditionalFormatting sqref="FN56:FV56">
    <cfRule type="duplicateValues" dxfId="2047" priority="258"/>
  </conditionalFormatting>
  <conditionalFormatting sqref="FW56">
    <cfRule type="duplicateValues" dxfId="2046" priority="44"/>
  </conditionalFormatting>
  <conditionalFormatting sqref="FW57">
    <cfRule type="duplicateValues" dxfId="2045" priority="43"/>
  </conditionalFormatting>
  <conditionalFormatting sqref="FY56">
    <cfRule type="duplicateValues" dxfId="2044" priority="223"/>
  </conditionalFormatting>
  <conditionalFormatting sqref="FY57:GG57 GI57:GQ57">
    <cfRule type="duplicateValues" dxfId="2043" priority="203"/>
  </conditionalFormatting>
  <conditionalFormatting sqref="FZ56:GG56">
    <cfRule type="duplicateValues" dxfId="2042" priority="257"/>
  </conditionalFormatting>
  <conditionalFormatting sqref="GI56:GQ56">
    <cfRule type="duplicateValues" dxfId="2041" priority="256"/>
  </conditionalFormatting>
  <conditionalFormatting sqref="GR56">
    <cfRule type="duplicateValues" dxfId="2040" priority="42"/>
  </conditionalFormatting>
  <conditionalFormatting sqref="GR57">
    <cfRule type="duplicateValues" dxfId="2039" priority="41"/>
  </conditionalFormatting>
  <conditionalFormatting sqref="GT56">
    <cfRule type="duplicateValues" dxfId="2038" priority="222"/>
  </conditionalFormatting>
  <conditionalFormatting sqref="GU56:HB56">
    <cfRule type="duplicateValues" dxfId="2037" priority="255"/>
  </conditionalFormatting>
  <conditionalFormatting sqref="HD56:HL56">
    <cfRule type="duplicateValues" dxfId="2036" priority="254"/>
  </conditionalFormatting>
  <conditionalFormatting sqref="HM56">
    <cfRule type="duplicateValues" dxfId="2035" priority="29"/>
  </conditionalFormatting>
  <conditionalFormatting sqref="HO56">
    <cfRule type="duplicateValues" dxfId="2034" priority="221"/>
  </conditionalFormatting>
  <conditionalFormatting sqref="HP56:HW56">
    <cfRule type="duplicateValues" dxfId="2033" priority="253"/>
  </conditionalFormatting>
  <conditionalFormatting sqref="HY56:IG56">
    <cfRule type="duplicateValues" dxfId="2032" priority="252"/>
  </conditionalFormatting>
  <conditionalFormatting sqref="IH56">
    <cfRule type="duplicateValues" dxfId="2031" priority="30"/>
  </conditionalFormatting>
  <conditionalFormatting sqref="IJ56">
    <cfRule type="duplicateValues" dxfId="2030" priority="220"/>
  </conditionalFormatting>
  <conditionalFormatting sqref="IK56:IR56">
    <cfRule type="duplicateValues" dxfId="2029" priority="251"/>
  </conditionalFormatting>
  <conditionalFormatting sqref="IT56:JB56">
    <cfRule type="duplicateValues" dxfId="2028" priority="250"/>
  </conditionalFormatting>
  <conditionalFormatting sqref="JC56">
    <cfRule type="duplicateValues" dxfId="2027" priority="31"/>
  </conditionalFormatting>
  <conditionalFormatting sqref="JE56">
    <cfRule type="duplicateValues" dxfId="2026" priority="219"/>
  </conditionalFormatting>
  <conditionalFormatting sqref="JF56:JM56">
    <cfRule type="duplicateValues" dxfId="2025" priority="249"/>
  </conditionalFormatting>
  <conditionalFormatting sqref="JO56:JW56">
    <cfRule type="duplicateValues" dxfId="2024" priority="248"/>
  </conditionalFormatting>
  <conditionalFormatting sqref="JX56">
    <cfRule type="duplicateValues" dxfId="2023" priority="32"/>
  </conditionalFormatting>
  <conditionalFormatting sqref="JZ56">
    <cfRule type="duplicateValues" dxfId="2022" priority="218"/>
  </conditionalFormatting>
  <conditionalFormatting sqref="KA56:KH56">
    <cfRule type="duplicateValues" dxfId="2021" priority="247"/>
  </conditionalFormatting>
  <conditionalFormatting sqref="KJ56:KR56">
    <cfRule type="duplicateValues" dxfId="2020" priority="246"/>
  </conditionalFormatting>
  <conditionalFormatting sqref="KS56">
    <cfRule type="duplicateValues" dxfId="2019" priority="33"/>
  </conditionalFormatting>
  <conditionalFormatting sqref="KU56">
    <cfRule type="duplicateValues" dxfId="2018" priority="217"/>
  </conditionalFormatting>
  <conditionalFormatting sqref="KV56:LC56">
    <cfRule type="duplicateValues" dxfId="2017" priority="245"/>
  </conditionalFormatting>
  <conditionalFormatting sqref="LE56:LM56">
    <cfRule type="duplicateValues" dxfId="2016" priority="244"/>
  </conditionalFormatting>
  <conditionalFormatting sqref="LN56">
    <cfRule type="duplicateValues" dxfId="2015" priority="34"/>
  </conditionalFormatting>
  <conditionalFormatting sqref="LP56">
    <cfRule type="duplicateValues" dxfId="2014" priority="216"/>
  </conditionalFormatting>
  <conditionalFormatting sqref="LQ56:LX56">
    <cfRule type="duplicateValues" dxfId="2013" priority="242"/>
  </conditionalFormatting>
  <conditionalFormatting sqref="LZ56:MH56">
    <cfRule type="duplicateValues" dxfId="2012" priority="243"/>
  </conditionalFormatting>
  <conditionalFormatting sqref="MI56">
    <cfRule type="duplicateValues" dxfId="2011" priority="35"/>
  </conditionalFormatting>
  <conditionalFormatting sqref="MK56">
    <cfRule type="duplicateValues" dxfId="2010" priority="215"/>
  </conditionalFormatting>
  <conditionalFormatting sqref="ML56:MS56">
    <cfRule type="duplicateValues" dxfId="2009" priority="241"/>
  </conditionalFormatting>
  <conditionalFormatting sqref="MU56:NC56">
    <cfRule type="duplicateValues" dxfId="2008" priority="240"/>
  </conditionalFormatting>
  <conditionalFormatting sqref="ND56">
    <cfRule type="duplicateValues" dxfId="2007" priority="36"/>
  </conditionalFormatting>
  <conditionalFormatting sqref="NF56">
    <cfRule type="duplicateValues" dxfId="2006" priority="214"/>
  </conditionalFormatting>
  <conditionalFormatting sqref="NG56:NN56">
    <cfRule type="duplicateValues" dxfId="2005" priority="239"/>
  </conditionalFormatting>
  <conditionalFormatting sqref="NP56:NX56">
    <cfRule type="duplicateValues" dxfId="2004" priority="238"/>
  </conditionalFormatting>
  <conditionalFormatting sqref="NY56">
    <cfRule type="duplicateValues" dxfId="2003" priority="37"/>
  </conditionalFormatting>
  <conditionalFormatting sqref="OA56">
    <cfRule type="duplicateValues" dxfId="2002" priority="213"/>
  </conditionalFormatting>
  <conditionalFormatting sqref="OB56:OI56">
    <cfRule type="duplicateValues" dxfId="2001" priority="237"/>
  </conditionalFormatting>
  <conditionalFormatting sqref="OK56:OS56">
    <cfRule type="duplicateValues" dxfId="2000" priority="236"/>
  </conditionalFormatting>
  <conditionalFormatting sqref="OT56">
    <cfRule type="duplicateValues" dxfId="1999" priority="38"/>
  </conditionalFormatting>
  <conditionalFormatting sqref="OV56">
    <cfRule type="duplicateValues" dxfId="1998" priority="212"/>
  </conditionalFormatting>
  <conditionalFormatting sqref="OW56:PD56">
    <cfRule type="duplicateValues" dxfId="1997" priority="235"/>
  </conditionalFormatting>
  <conditionalFormatting sqref="PF56:PN56">
    <cfRule type="duplicateValues" dxfId="1996" priority="234"/>
  </conditionalFormatting>
  <conditionalFormatting sqref="PO56">
    <cfRule type="duplicateValues" dxfId="1995" priority="39"/>
  </conditionalFormatting>
  <conditionalFormatting sqref="PQ56">
    <cfRule type="duplicateValues" dxfId="1994" priority="211"/>
  </conditionalFormatting>
  <conditionalFormatting sqref="PR56:PY56">
    <cfRule type="duplicateValues" dxfId="1993" priority="233"/>
  </conditionalFormatting>
  <conditionalFormatting sqref="QA56:QI56">
    <cfRule type="duplicateValues" dxfId="1992" priority="232"/>
  </conditionalFormatting>
  <conditionalFormatting sqref="QJ56">
    <cfRule type="duplicateValues" dxfId="1991" priority="40"/>
  </conditionalFormatting>
  <conditionalFormatting sqref="QL56">
    <cfRule type="duplicateValues" dxfId="1990" priority="210"/>
  </conditionalFormatting>
  <conditionalFormatting sqref="QM56:QT56">
    <cfRule type="duplicateValues" dxfId="1989" priority="231"/>
  </conditionalFormatting>
  <conditionalFormatting sqref="QV56:RE56">
    <cfRule type="duplicateValues" dxfId="1988" priority="230"/>
  </conditionalFormatting>
  <pageMargins left="0.39370078740157483" right="0.19685039370078741" top="0.31496062992125984" bottom="0.31496062992125984" header="0.31496062992125984" footer="0.31496062992125984"/>
  <pageSetup paperSize="9" scale="59"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39" r:id="rId5" name="Option Button 19">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38" r:id="rId7"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121" r:id="rId8"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14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59" r:id="rId11" name="Group Box 39">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162" r:id="rId12"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13"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123" r:id="rId14" name="Group Box 3">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5129" r:id="rId15" name="Option Button 9">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5130" r:id="rId16" name="Option Button 10">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5131" r:id="rId17" name="Option Button 11">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5132" r:id="rId18" name="Option Button 12">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5133" r:id="rId19" name="Option Button 13">
              <controlPr defaultSize="0" autoFill="0" autoLine="0" autoPict="0" altText="">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5134" r:id="rId20" name="Option Button 14">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5135" r:id="rId21" name="Option Button 15">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5136" r:id="rId22" name="Option Button 16">
              <controlPr defaultSize="0" autoFill="0" autoLine="0" autoPict="0" altText="">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5137" r:id="rId23" name="Option Button 17">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5148" r:id="rId24" name="Option Button 28">
              <controlPr defaultSize="0" autoFill="0" autoLine="0" autoPict="0" altText="">
                <anchor moveWithCells="1">
                  <from>
                    <xdr:col>11</xdr:col>
                    <xdr:colOff>838200</xdr:colOff>
                    <xdr:row>14</xdr:row>
                    <xdr:rowOff>45720</xdr:rowOff>
                  </from>
                  <to>
                    <xdr:col>11</xdr:col>
                    <xdr:colOff>883920</xdr:colOff>
                    <xdr:row>14</xdr:row>
                    <xdr:rowOff>106680</xdr:rowOff>
                  </to>
                </anchor>
              </controlPr>
            </control>
          </mc:Choice>
        </mc:AlternateContent>
        <mc:AlternateContent xmlns:mc="http://schemas.openxmlformats.org/markup-compatibility/2006">
          <mc:Choice Requires="x14">
            <control shapeId="5150" r:id="rId25" name="Option Button 30">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F6324C63-48E8-409E-A8F1-397C939838D9}">
            <xm:f>Info!$V$7=2</xm:f>
            <x14:dxf>
              <font>
                <color theme="0" tint="-4.9989318521683403E-2"/>
              </font>
              <fill>
                <patternFill>
                  <bgColor theme="0"/>
                </patternFill>
              </fill>
              <border>
                <vertical/>
                <horizontal/>
              </border>
            </x14:dxf>
          </x14:cfRule>
          <xm:sqref>A103:N103</xm:sqref>
        </x14:conditionalFormatting>
        <x14:conditionalFormatting xmlns:xm="http://schemas.microsoft.com/office/excel/2006/main">
          <x14:cfRule type="expression" priority="1526" id="{26376937-140A-47E7-959B-F6341C319F82}">
            <xm:f>$H$36=Formeln!$A$146+Formeln!$A$1</xm:f>
            <x14:dxf>
              <fill>
                <patternFill>
                  <bgColor theme="0" tint="-0.14996795556505021"/>
                </patternFill>
              </fill>
            </x14:dxf>
          </x14:cfRule>
          <xm:sqref>H36:K36</xm:sqref>
        </x14:conditionalFormatting>
        <x14:conditionalFormatting xmlns:xm="http://schemas.microsoft.com/office/excel/2006/main">
          <x14:cfRule type="expression" priority="349"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348" id="{4E9B4567-76F2-4BD3-A24D-0180D3E6AA48}">
            <xm:f>$H$49=Formeln!$A$1</xm:f>
            <x14:dxf>
              <fill>
                <patternFill>
                  <bgColor theme="0" tint="-0.14996795556505021"/>
                </patternFill>
              </fill>
            </x14:dxf>
          </x14:cfRule>
          <xm:sqref>H49:K49</xm:sqref>
        </x14:conditionalFormatting>
        <x14:conditionalFormatting xmlns:xm="http://schemas.microsoft.com/office/excel/2006/main">
          <x14:cfRule type="expression" priority="347"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341" id="{798E6045-DD60-41A1-A9D4-96E0CF82E5E5}">
            <xm:f>$I$106=Formeln!$A$1</xm:f>
            <x14:dxf>
              <fill>
                <patternFill>
                  <bgColor theme="0" tint="-0.14996795556505021"/>
                </patternFill>
              </fill>
            </x14:dxf>
          </x14:cfRule>
          <xm:sqref>I106</xm:sqref>
        </x14:conditionalFormatting>
        <x14:conditionalFormatting xmlns:xm="http://schemas.microsoft.com/office/excel/2006/main">
          <x14:cfRule type="expression" priority="342" id="{66954799-89B8-40D5-BB11-C23762FEE26A}">
            <xm:f>$I$105=Formeln!$A$1</xm:f>
            <x14:dxf>
              <fill>
                <patternFill>
                  <bgColor theme="0" tint="-0.14996795556505021"/>
                </patternFill>
              </fill>
            </x14:dxf>
          </x14:cfRule>
          <xm:sqref>I105:K105</xm:sqref>
        </x14:conditionalFormatting>
        <x14:conditionalFormatting xmlns:xm="http://schemas.microsoft.com/office/excel/2006/main">
          <x14:cfRule type="expression" priority="56"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339" id="{9E9005B4-76E2-4BE5-8A22-99E84C2C860E}">
            <xm:f>$K$106=Formeln!$A$1</xm:f>
            <x14:dxf>
              <fill>
                <patternFill>
                  <bgColor theme="0" tint="-0.14996795556505021"/>
                </patternFill>
              </fill>
            </x14:dxf>
          </x14:cfRule>
          <xm:sqref>K106</xm:sqref>
        </x14:conditionalFormatting>
        <x14:conditionalFormatting xmlns:xm="http://schemas.microsoft.com/office/excel/2006/main">
          <x14:cfRule type="expression" priority="17" id="{D5A07764-D021-43AE-B2AB-2EFF13062F10}">
            <xm:f>Info!$V$7=8</xm:f>
            <x14:dxf>
              <font>
                <color theme="1"/>
              </font>
              <border>
                <left style="thin">
                  <color auto="1"/>
                </left>
                <right style="thin">
                  <color auto="1"/>
                </right>
                <top style="thin">
                  <color auto="1"/>
                </top>
                <bottom style="thin">
                  <color auto="1"/>
                </bottom>
                <vertical/>
                <horizontal/>
              </border>
            </x14:dxf>
          </x14:cfRule>
          <xm:sqref>O30:O109</xm:sqref>
        </x14:conditionalFormatting>
        <x14:conditionalFormatting xmlns:xm="http://schemas.microsoft.com/office/excel/2006/main">
          <x14:cfRule type="expression" priority="16" id="{55B2DDE3-A7BC-4BCC-9F29-457BD2D133D9}">
            <xm:f>Info!$V$7=8</xm:f>
            <x14:dxf>
              <font>
                <color theme="1"/>
              </font>
              <border>
                <bottom style="thin">
                  <color auto="1"/>
                </bottom>
              </border>
            </x14:dxf>
          </x14:cfRule>
          <xm:sqref>O111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Formeln!$A$30:$A$51</xm:f>
          </x14:formula1>
          <xm:sqref>J56:K56</xm:sqref>
        </x14:dataValidation>
        <x14:dataValidation type="list" allowBlank="1" showInputMessage="1" showErrorMessage="1" xr:uid="{00000000-0002-0000-0100-000001000000}">
          <x14:formula1>
            <xm:f>Formeln!$A$23:$A$25</xm:f>
          </x14:formula1>
          <xm:sqref>I106</xm:sqref>
        </x14:dataValidation>
        <x14:dataValidation type="list" allowBlank="1" showInputMessage="1" showErrorMessage="1" xr:uid="{00000000-0002-0000-0100-000002000000}">
          <x14:formula1>
            <xm:f>Formeln!$A$20:$A$22</xm:f>
          </x14:formula1>
          <xm:sqref>H50:K50</xm:sqref>
        </x14:dataValidation>
        <x14:dataValidation type="list" allowBlank="1" showInputMessage="1" showErrorMessage="1" xr:uid="{00000000-0002-0000-0100-000003000000}">
          <x14:formula1>
            <xm:f>Formeln!$A$17:$A$19</xm:f>
          </x14:formula1>
          <xm:sqref>H49:K49</xm:sqref>
        </x14:dataValidation>
        <x14:dataValidation type="list" allowBlank="1" showInputMessage="1" showErrorMessage="1" xr:uid="{00000000-0002-0000-0100-000004000000}">
          <x14:formula1>
            <xm:f>Formeln!$A$9:$A$15</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7000000}">
          <x14:formula1>
            <xm:f>Formeln!$A$106:$A$111</xm:f>
          </x14:formula1>
          <xm:sqref>I105:K105</xm:sqref>
        </x14:dataValidation>
        <x14:dataValidation type="list" allowBlank="1" showInputMessage="1" showErrorMessage="1" xr:uid="{00000000-0002-0000-0100-000008000000}">
          <x14:formula1>
            <xm:f>Formeln!$A$52:$A$103</xm:f>
          </x14:formula1>
          <xm:sqref>J57:K57</xm:sqref>
        </x14:dataValidation>
        <x14:dataValidation type="list" allowBlank="1" showInputMessage="1" showErrorMessage="1" xr:uid="{00000000-0002-0000-0100-000009000000}">
          <x14:formula1>
            <xm:f>Formeln!$C$52:$C$111</xm:f>
          </x14:formula1>
          <xm:sqref>J58:K58</xm:sqref>
        </x14:dataValidation>
        <x14:dataValidation type="list" allowBlank="1" showInputMessage="1" showErrorMessage="1" xr:uid="{00000000-0002-0000-0100-00000A000000}">
          <x14:formula1>
            <xm:f>Formeln!$A$127:$A$138</xm:f>
          </x14:formula1>
          <xm:sqref>K106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RF125"/>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2.6640625" style="5" hidden="1" customWidth="1"/>
    <col min="17" max="17" width="20.6640625" style="5" hidden="1" customWidth="1"/>
    <col min="18" max="19" width="20.6640625" style="195" hidden="1" customWidth="1"/>
    <col min="20" max="20" width="8.33203125" style="5" hidden="1" customWidth="1"/>
    <col min="21" max="21" width="6.6640625" style="5" hidden="1" customWidth="1"/>
    <col min="22" max="22" width="4.6640625" style="5" hidden="1" customWidth="1"/>
    <col min="23" max="23" width="6.44140625" style="5" hidden="1" customWidth="1"/>
    <col min="24" max="24" width="7.6640625" style="5" hidden="1" customWidth="1"/>
    <col min="25" max="25" width="7" style="5" hidden="1" customWidth="1"/>
    <col min="26" max="26" width="5.109375" style="5" hidden="1" customWidth="1"/>
    <col min="27" max="27" width="5.33203125" style="5" hidden="1" customWidth="1"/>
    <col min="28" max="28" width="2.6640625" style="5" hidden="1" customWidth="1"/>
    <col min="29" max="29" width="30.6640625" style="9" hidden="1" customWidth="1"/>
    <col min="30" max="30" width="24.6640625" style="9" hidden="1" customWidth="1"/>
    <col min="31" max="31" width="24.6640625" style="1" hidden="1" customWidth="1"/>
    <col min="32" max="32" width="5.6640625" style="1" hidden="1" customWidth="1"/>
    <col min="33" max="33" width="1.33203125" style="1" hidden="1" customWidth="1"/>
    <col min="34" max="34" width="15.6640625" style="1" hidden="1" customWidth="1"/>
    <col min="35" max="474" width="0" style="1" hidden="1" customWidth="1"/>
    <col min="475" max="16384" width="8.6640625" style="1" hidden="1"/>
  </cols>
  <sheetData>
    <row r="1" spans="1:31" ht="28.2">
      <c r="N1" s="2" t="str">
        <f>VLOOKUP(279,Sprachindex!$A:$Z,Info!$O$7,FALSE)</f>
        <v>Dachsysteme</v>
      </c>
    </row>
    <row r="2" spans="1:31" ht="28.2">
      <c r="D2" s="18"/>
      <c r="N2" s="2" t="str">
        <f>VLOOKUP(273,Sprachindex!$A:$Z,Info!$O$7,FALSE)</f>
        <v>Dachschindel</v>
      </c>
    </row>
    <row r="3" spans="1:31" ht="15" customHeight="1">
      <c r="O3" s="70"/>
      <c r="P3" s="71"/>
      <c r="Q3" s="71"/>
    </row>
    <row r="4" spans="1:31" ht="17.25" customHeight="1">
      <c r="N4" s="204"/>
      <c r="O4" s="70"/>
      <c r="P4" s="71"/>
      <c r="Q4" s="71"/>
      <c r="AE4" s="3"/>
    </row>
    <row r="5" spans="1:31" ht="17.25" customHeight="1">
      <c r="N5" s="204"/>
      <c r="O5" s="70"/>
      <c r="P5" s="71"/>
      <c r="Q5" s="71"/>
      <c r="AE5" s="3"/>
    </row>
    <row r="6" spans="1:31" ht="17.25" customHeight="1">
      <c r="N6" s="204"/>
      <c r="O6" s="70"/>
      <c r="P6" s="99"/>
      <c r="Q6" s="99"/>
      <c r="T6" s="52"/>
      <c r="U6" s="52"/>
      <c r="V6" s="52"/>
      <c r="W6" s="52"/>
      <c r="X6" s="52"/>
      <c r="Y6" s="52"/>
      <c r="Z6" s="52"/>
      <c r="AA6" s="52"/>
      <c r="AB6" s="52"/>
      <c r="AE6" s="3"/>
    </row>
    <row r="7" spans="1:31" ht="17.25" customHeight="1">
      <c r="N7" s="204"/>
      <c r="O7" s="70"/>
      <c r="P7" s="99"/>
      <c r="Q7" s="99"/>
      <c r="T7" s="52"/>
      <c r="U7" s="52"/>
      <c r="V7" s="52"/>
      <c r="W7" s="52"/>
      <c r="X7" s="52"/>
      <c r="Y7" s="52"/>
      <c r="Z7" s="52"/>
      <c r="AA7" s="52"/>
      <c r="AB7" s="52"/>
      <c r="AE7" s="3"/>
    </row>
    <row r="8" spans="1:31" ht="17.25" customHeight="1">
      <c r="A8" s="88" t="str">
        <f>VLOOKUP(393,Sprachindex!$A:$Z,Info!$O$7,FALSE)</f>
        <v>Firma / Besteller:</v>
      </c>
      <c r="B8" s="70"/>
      <c r="C8" s="70"/>
      <c r="D8" s="70"/>
      <c r="E8" s="70"/>
      <c r="F8" s="70"/>
      <c r="G8" s="70"/>
      <c r="H8" s="70"/>
      <c r="I8" s="70"/>
      <c r="J8" s="70"/>
      <c r="K8" s="70"/>
      <c r="L8" s="70"/>
      <c r="O8" s="70"/>
      <c r="P8" s="71"/>
      <c r="Q8" s="71"/>
      <c r="AD8" s="10"/>
    </row>
    <row r="9" spans="1:31" ht="15" customHeight="1">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O9" s="99">
        <v>0</v>
      </c>
      <c r="P9" s="99"/>
      <c r="Q9" s="99"/>
      <c r="T9" s="53"/>
      <c r="U9" s="53"/>
      <c r="V9" s="53"/>
      <c r="W9" s="53"/>
      <c r="X9" s="53"/>
      <c r="Y9" s="53"/>
      <c r="Z9" s="53"/>
      <c r="AA9" s="53"/>
      <c r="AB9" s="53"/>
      <c r="AC9" s="11"/>
      <c r="AE9" s="4"/>
    </row>
    <row r="10" spans="1:31" ht="15" customHeight="1">
      <c r="B10" s="74" t="str">
        <f>VLOOKUP(884,Sprachindex!$A:$Z,Info!$O$7,FALSE)</f>
        <v>Straße:</v>
      </c>
      <c r="C10" s="585"/>
      <c r="D10" s="586"/>
      <c r="E10" s="587"/>
      <c r="F10" s="70"/>
      <c r="G10" s="70"/>
      <c r="H10" s="70"/>
      <c r="I10" s="93"/>
      <c r="J10" s="71">
        <v>1</v>
      </c>
      <c r="K10" s="70"/>
      <c r="L10" s="70"/>
      <c r="O10" s="71"/>
      <c r="P10" s="71"/>
      <c r="Q10" s="71"/>
      <c r="AE10" s="4"/>
    </row>
    <row r="11" spans="1:31" ht="15" customHeight="1">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c r="P11" s="53"/>
      <c r="Q11" s="53"/>
      <c r="T11" s="53"/>
      <c r="U11" s="53"/>
      <c r="V11" s="53"/>
      <c r="W11" s="53"/>
      <c r="X11" s="53"/>
      <c r="Y11" s="53"/>
      <c r="Z11" s="53"/>
      <c r="AA11" s="53"/>
      <c r="AB11" s="53"/>
      <c r="AC11" s="11"/>
      <c r="AE11" s="4"/>
    </row>
    <row r="12" spans="1:31" ht="15" customHeight="1">
      <c r="B12" s="70"/>
      <c r="C12" s="70"/>
      <c r="D12" s="70"/>
      <c r="E12" s="70"/>
      <c r="F12" s="70"/>
      <c r="G12" s="70"/>
      <c r="H12" s="70"/>
      <c r="I12" s="89"/>
      <c r="J12" s="71">
        <v>1</v>
      </c>
      <c r="K12" s="70"/>
      <c r="L12" s="70"/>
      <c r="O12" s="71"/>
      <c r="P12" s="71"/>
      <c r="Q12" s="71"/>
    </row>
    <row r="13" spans="1:31" ht="15" customHeight="1">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O13" s="99"/>
      <c r="P13" s="99"/>
      <c r="Q13" s="99"/>
      <c r="T13" s="52"/>
      <c r="U13" s="52"/>
      <c r="V13" s="52"/>
      <c r="W13" s="52"/>
      <c r="X13" s="52"/>
      <c r="Y13" s="52"/>
      <c r="Z13" s="52"/>
      <c r="AA13" s="52"/>
      <c r="AB13" s="52"/>
      <c r="AC13" s="12"/>
      <c r="AE13" s="4"/>
    </row>
    <row r="14" spans="1:31" ht="15" customHeight="1">
      <c r="B14" s="74" t="str">
        <f>VLOOKUP(901,Sprachindex!$A:$Z,Info!$O$7,FALSE)</f>
        <v>Telefon:</v>
      </c>
      <c r="C14" s="585"/>
      <c r="D14" s="586"/>
      <c r="E14" s="587"/>
      <c r="F14" s="70"/>
      <c r="G14" s="70"/>
      <c r="H14" s="70"/>
      <c r="I14" s="70"/>
      <c r="J14" s="70"/>
      <c r="K14" s="70"/>
      <c r="L14" s="70"/>
      <c r="O14" s="71"/>
      <c r="P14" s="71"/>
      <c r="Q14" s="71"/>
      <c r="AE14" s="4"/>
    </row>
    <row r="15" spans="1:31" ht="15" customHeight="1">
      <c r="B15" s="74" t="str">
        <f>VLOOKUP(1698,Sprachindex!$A:$Z,Info!$O$7,FALSE)</f>
        <v>eMail:</v>
      </c>
      <c r="C15" s="585"/>
      <c r="D15" s="586"/>
      <c r="E15" s="587"/>
      <c r="F15" s="70"/>
      <c r="G15" s="94" t="str">
        <f>VLOOKUP(385,Sprachindex!$A:$Z,Info!$O$7,FALSE)</f>
        <v>Farbe:</v>
      </c>
      <c r="H15" s="70"/>
      <c r="I15" s="70"/>
      <c r="J15" s="70"/>
      <c r="K15" s="70"/>
      <c r="L15" s="70"/>
      <c r="O15" s="71"/>
      <c r="P15" s="71"/>
      <c r="Q15" s="71"/>
      <c r="AE15" s="4"/>
    </row>
    <row r="16" spans="1:31" ht="15" customHeight="1">
      <c r="B16" s="70"/>
      <c r="C16" s="70"/>
      <c r="D16" s="70"/>
      <c r="E16" s="70"/>
      <c r="F16" s="70"/>
      <c r="G16" s="70" t="str">
        <f>VLOOKUP(25,Sprachindex!$A:$Z,Info!$O$7,FALSE)</f>
        <v>01 P.10 Braun</v>
      </c>
      <c r="H16" s="70"/>
      <c r="I16" s="70"/>
      <c r="J16" s="69" t="str">
        <f>VLOOKUP(37,Sprachindex!$A:$Z,Info!$O$7,FALSE)</f>
        <v>07 P.10 Hellgrau</v>
      </c>
      <c r="K16" s="70"/>
      <c r="L16" s="70"/>
      <c r="O16" s="71"/>
      <c r="P16" s="71"/>
      <c r="Q16" s="71"/>
    </row>
    <row r="17" spans="1:55" ht="15" customHeight="1">
      <c r="A17" s="88" t="str">
        <f>VLOOKUP(580,Sprachindex!$A:$Z,Info!$O$7,FALSE)</f>
        <v>Lieferadresse:</v>
      </c>
      <c r="B17" s="70"/>
      <c r="C17" s="70"/>
      <c r="D17" s="70"/>
      <c r="E17" s="70"/>
      <c r="F17" s="70"/>
      <c r="G17" s="70" t="str">
        <f>VLOOKUP(27,Sprachindex!$A:$Z,Info!$O$7,FALSE)</f>
        <v>02 P.10 Anthrazit</v>
      </c>
      <c r="H17" s="70"/>
      <c r="I17" s="70"/>
      <c r="J17" s="72" t="str">
        <f>VLOOKUP(51,Sprachindex!$A:$Z,Info!$O$7,FALSE)</f>
        <v>11 P.10 Nussbraun</v>
      </c>
      <c r="K17" s="70"/>
      <c r="L17" s="70"/>
      <c r="O17" s="71"/>
      <c r="P17" s="71"/>
      <c r="Q17" s="71"/>
      <c r="AD17" s="10"/>
    </row>
    <row r="18" spans="1:55" ht="15" customHeight="1">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O18" s="71"/>
      <c r="P18" s="95"/>
      <c r="Q18" s="95"/>
      <c r="T18" s="14"/>
      <c r="U18" s="14"/>
      <c r="V18" s="14"/>
      <c r="W18" s="14"/>
      <c r="X18" s="14"/>
      <c r="Y18" s="14"/>
      <c r="Z18" s="14"/>
      <c r="AA18" s="14"/>
      <c r="AB18" s="14"/>
      <c r="AE18" s="4"/>
    </row>
    <row r="19" spans="1:55" ht="15" customHeight="1">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O19" s="71"/>
      <c r="P19" s="71"/>
      <c r="Q19" s="71"/>
      <c r="AE19" s="4"/>
    </row>
    <row r="20" spans="1:55" ht="15" customHeight="1">
      <c r="B20" s="74" t="str">
        <f>VLOOKUP(884,Sprachindex!$A:$Z,Info!$O$7,FALSE)</f>
        <v>Straße:</v>
      </c>
      <c r="C20" s="585"/>
      <c r="D20" s="586"/>
      <c r="E20" s="587"/>
      <c r="F20" s="70"/>
      <c r="G20" s="70" t="str">
        <f>VLOOKUP(33,Sprachindex!$A:$Z,Info!$O$7,FALSE)</f>
        <v>05 P.10 Oxydrot</v>
      </c>
      <c r="H20" s="70"/>
      <c r="I20" s="70"/>
      <c r="J20" s="72"/>
      <c r="K20" s="70"/>
      <c r="L20" s="71"/>
      <c r="O20" s="71"/>
      <c r="P20" s="71"/>
      <c r="Q20" s="71"/>
      <c r="AE20" s="4"/>
      <c r="AG20" s="35"/>
      <c r="AH20" s="35"/>
    </row>
    <row r="21" spans="1:55" ht="15" customHeight="1">
      <c r="B21" s="74" t="str">
        <f>VLOOKUP(641,Sprachindex!$A:$Z,Info!$O$7,FALSE)</f>
        <v>Ort:</v>
      </c>
      <c r="C21" s="585"/>
      <c r="D21" s="586"/>
      <c r="E21" s="587"/>
      <c r="F21" s="70"/>
      <c r="G21" s="70" t="str">
        <f>VLOOKUP(35,Sprachindex!$A:$Z,Info!$O$7,FALSE)</f>
        <v>06 P.10 Moosgrün</v>
      </c>
      <c r="H21" s="70"/>
      <c r="I21" s="95"/>
      <c r="J21" s="96"/>
      <c r="K21" s="96"/>
      <c r="L21" s="70"/>
      <c r="O21" s="99">
        <v>0</v>
      </c>
      <c r="P21" s="178"/>
      <c r="Q21" s="178"/>
      <c r="T21" s="53"/>
      <c r="U21" s="53"/>
      <c r="V21" s="53"/>
      <c r="W21" s="53"/>
      <c r="X21" s="53"/>
      <c r="Y21" s="53"/>
      <c r="Z21" s="53"/>
      <c r="AA21" s="53"/>
      <c r="AB21" s="53"/>
      <c r="AE21" s="4"/>
    </row>
    <row r="22" spans="1:55" s="5" customFormat="1" ht="15" customHeight="1">
      <c r="A22" s="1"/>
      <c r="B22" s="74"/>
      <c r="C22" s="70"/>
      <c r="D22" s="70"/>
      <c r="E22" s="70"/>
      <c r="F22" s="74"/>
      <c r="G22" s="70"/>
      <c r="H22" s="70"/>
      <c r="I22" s="95"/>
      <c r="J22" s="70"/>
      <c r="K22" s="70"/>
      <c r="L22" s="70"/>
      <c r="M22" s="70"/>
      <c r="N22" s="70"/>
      <c r="O22" s="71"/>
      <c r="P22" s="71"/>
      <c r="Q22" s="71"/>
      <c r="R22" s="195"/>
      <c r="S22" s="195"/>
      <c r="T22" s="71"/>
      <c r="U22" s="71"/>
      <c r="V22" s="71"/>
      <c r="W22" s="71"/>
      <c r="X22" s="71"/>
      <c r="Y22" s="71"/>
      <c r="Z22" s="71"/>
      <c r="AA22" s="71"/>
      <c r="AB22" s="71"/>
      <c r="AC22" s="54"/>
      <c r="AD22" s="54"/>
      <c r="AE22" s="14"/>
    </row>
    <row r="23" spans="1:55" s="5" customFormat="1"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0"/>
      <c r="P23" s="71"/>
      <c r="Q23" s="71"/>
      <c r="R23" s="195"/>
      <c r="S23" s="195"/>
      <c r="T23" s="71"/>
      <c r="U23" s="71"/>
      <c r="V23" s="71"/>
      <c r="W23" s="71"/>
      <c r="X23" s="71"/>
      <c r="Y23" s="71"/>
      <c r="Z23" s="71"/>
      <c r="AA23" s="71"/>
      <c r="AB23" s="71"/>
      <c r="AC23" s="54"/>
      <c r="AD23" s="54"/>
      <c r="AE23" s="14"/>
    </row>
    <row r="24" spans="1:55" s="5" customFormat="1" ht="15" customHeight="1">
      <c r="A24" s="1"/>
      <c r="B24" s="584" t="str">
        <f>VLOOKUP(1430,Sprachindex!$A:$Z,Info!$O$7,FALSE)</f>
        <v>Beschreibung</v>
      </c>
      <c r="C24" s="585"/>
      <c r="D24" s="586"/>
      <c r="E24" s="587"/>
      <c r="F24" s="70"/>
      <c r="G24" s="88"/>
      <c r="H24" s="74" t="str">
        <f>VLOOKUP(1429,Sprachindex!$A:$Z,Info!$O$7,FALSE)</f>
        <v>Bearbeiter:</v>
      </c>
      <c r="I24" s="450"/>
      <c r="J24" s="70"/>
      <c r="K24" s="70"/>
      <c r="L24" s="70"/>
      <c r="M24" s="70"/>
      <c r="N24" s="70"/>
      <c r="O24" s="70"/>
      <c r="P24" s="71"/>
      <c r="Q24" s="71"/>
      <c r="R24" s="195"/>
      <c r="S24" s="195"/>
      <c r="T24" s="71"/>
      <c r="U24" s="71"/>
      <c r="V24" s="71"/>
      <c r="W24" s="71"/>
      <c r="X24" s="71"/>
      <c r="Y24" s="71"/>
      <c r="Z24" s="71"/>
      <c r="AA24" s="71"/>
      <c r="AB24" s="71"/>
      <c r="AC24" s="54"/>
      <c r="AD24" s="54"/>
      <c r="AE24" s="14"/>
    </row>
    <row r="25" spans="1:55" s="5" customFormat="1" ht="15" customHeight="1">
      <c r="A25" s="1"/>
      <c r="B25" s="584"/>
      <c r="C25" s="585"/>
      <c r="D25" s="586"/>
      <c r="E25" s="587"/>
      <c r="F25" s="70"/>
      <c r="G25" s="88"/>
      <c r="H25" s="74" t="str">
        <f>VLOOKUP(2243,Sprachindex!$A:$Z,Info!$O$7,FALSE)</f>
        <v>Projekt-ID:</v>
      </c>
      <c r="I25" s="450"/>
      <c r="J25" s="70"/>
      <c r="K25" s="70"/>
      <c r="L25" s="70"/>
      <c r="M25" s="70"/>
      <c r="N25" s="70"/>
      <c r="O25" s="70"/>
      <c r="P25" s="71"/>
      <c r="Q25" s="71"/>
      <c r="R25" s="195"/>
      <c r="S25" s="195"/>
      <c r="T25" s="71"/>
      <c r="U25" s="71"/>
      <c r="V25" s="71"/>
      <c r="W25" s="71"/>
      <c r="X25" s="71"/>
      <c r="Y25" s="71"/>
      <c r="Z25" s="71"/>
      <c r="AA25" s="71"/>
      <c r="AB25" s="71"/>
      <c r="AC25" s="54"/>
      <c r="AD25" s="54"/>
      <c r="AE25" s="14"/>
    </row>
    <row r="26" spans="1:55" s="5" customFormat="1" ht="15" customHeight="1">
      <c r="A26" s="1"/>
      <c r="B26" s="584"/>
      <c r="C26" s="585"/>
      <c r="D26" s="586"/>
      <c r="E26" s="587"/>
      <c r="F26" s="70"/>
      <c r="G26" s="88"/>
      <c r="H26" s="74" t="str">
        <f>VLOOKUP(286,Sprachindex!$A:$Z,Info!$O$7,FALSE)</f>
        <v>Datum:</v>
      </c>
      <c r="I26" s="550">
        <f ca="1">TODAY()</f>
        <v>45580</v>
      </c>
      <c r="J26" s="70"/>
      <c r="K26" s="70"/>
      <c r="L26" s="70"/>
      <c r="M26" s="70"/>
      <c r="N26" s="70"/>
      <c r="O26" s="70"/>
      <c r="P26" s="71"/>
      <c r="Q26" s="71"/>
      <c r="R26" s="195"/>
      <c r="S26" s="195"/>
      <c r="T26" s="71"/>
      <c r="U26" s="71"/>
      <c r="V26" s="71"/>
      <c r="W26" s="71"/>
      <c r="X26" s="71"/>
      <c r="Y26" s="71"/>
      <c r="Z26" s="71"/>
      <c r="AA26" s="71"/>
      <c r="AB26" s="71"/>
      <c r="AC26" s="54"/>
      <c r="AD26" s="54"/>
      <c r="AE26" s="14"/>
    </row>
    <row r="27" spans="1:55" s="5" customFormat="1" ht="15" customHeight="1">
      <c r="A27" s="1"/>
      <c r="B27" s="584"/>
      <c r="C27" s="585"/>
      <c r="D27" s="586"/>
      <c r="E27" s="587"/>
      <c r="F27" s="70"/>
      <c r="L27" s="70"/>
      <c r="M27" s="70"/>
      <c r="N27" s="70"/>
      <c r="O27" s="70"/>
      <c r="P27" s="71"/>
      <c r="Q27" s="71"/>
      <c r="R27" s="195"/>
      <c r="S27" s="195"/>
      <c r="T27" s="71"/>
      <c r="U27" s="71"/>
      <c r="V27" s="71"/>
      <c r="W27" s="71"/>
      <c r="X27" s="71"/>
      <c r="Y27" s="71"/>
      <c r="Z27" s="71"/>
      <c r="AA27" s="71"/>
      <c r="AB27" s="71"/>
      <c r="AC27" s="54"/>
      <c r="AD27" s="54"/>
      <c r="AE27" s="14"/>
    </row>
    <row r="28" spans="1:55" ht="15" customHeight="1">
      <c r="B28" s="74"/>
      <c r="C28" s="70"/>
      <c r="D28" s="70"/>
      <c r="E28" s="70"/>
      <c r="F28" s="70"/>
      <c r="G28" s="70"/>
      <c r="H28" s="70"/>
      <c r="I28" s="95"/>
      <c r="J28" s="70"/>
      <c r="K28" s="70"/>
      <c r="L28" s="70"/>
      <c r="O28" s="70"/>
      <c r="P28" s="71"/>
      <c r="Q28" s="71"/>
      <c r="AE28" s="4"/>
    </row>
    <row r="29" spans="1:55" s="70" customFormat="1" ht="15" customHeight="1" thickBot="1">
      <c r="A29" s="100" t="str">
        <f>VLOOKUP(392,Sprachindex!$A:$Z,Info!$O$7,FALSE)</f>
        <v>Filter:</v>
      </c>
      <c r="B29" s="598"/>
      <c r="C29" s="598"/>
      <c r="D29" s="598"/>
      <c r="E29" s="598"/>
      <c r="P29" s="71"/>
      <c r="Q29" s="71"/>
      <c r="R29" s="195"/>
      <c r="S29" s="195"/>
      <c r="T29" s="71"/>
      <c r="U29" s="71"/>
      <c r="V29" s="71"/>
      <c r="W29" s="71"/>
      <c r="X29" s="71"/>
      <c r="Y29" s="71"/>
      <c r="Z29" s="71"/>
      <c r="AA29" s="71"/>
      <c r="AB29" s="71"/>
      <c r="AD29" s="591" t="s">
        <v>25</v>
      </c>
      <c r="AE29" s="591"/>
      <c r="AH29" s="45" t="s">
        <v>26</v>
      </c>
      <c r="AI29" s="13"/>
      <c r="AJ29" s="13"/>
      <c r="AK29" s="13"/>
      <c r="AL29" s="13"/>
      <c r="AM29" s="13"/>
      <c r="AN29" s="13"/>
      <c r="AO29" s="13"/>
      <c r="AP29" s="13"/>
      <c r="AQ29" s="13"/>
      <c r="AR29" s="45" t="s">
        <v>27</v>
      </c>
      <c r="AS29" s="13"/>
      <c r="AT29" s="13"/>
      <c r="AU29" s="13"/>
      <c r="AV29" s="13"/>
      <c r="AW29" s="13"/>
      <c r="AX29" s="13"/>
      <c r="AY29" s="13"/>
      <c r="AZ29" s="13"/>
      <c r="BA29" s="46"/>
      <c r="BB29" s="277" t="s">
        <v>28</v>
      </c>
      <c r="BC29" s="277" t="s">
        <v>29</v>
      </c>
    </row>
    <row r="30" spans="1:55" s="70" customFormat="1"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P30" s="5"/>
      <c r="Q30" s="5"/>
      <c r="R30" s="78" t="str">
        <f>VLOOKUP(1786,Sprachindex!$A:$Z,Info!$O$7,FALSE)</f>
        <v>Preis</v>
      </c>
      <c r="S30" s="78" t="str">
        <f>VLOOKUP(1786,Sprachindex!$A:$Z,Info!$O$7,FALSE)</f>
        <v>Preis</v>
      </c>
      <c r="T30" s="71"/>
      <c r="U30" s="71"/>
      <c r="V30" s="71"/>
      <c r="W30" s="71"/>
      <c r="X30" s="71"/>
      <c r="Y30" s="71"/>
      <c r="Z30" s="71"/>
      <c r="AA30" s="71"/>
      <c r="AB30" s="71"/>
      <c r="AD30" s="163" t="s">
        <v>31</v>
      </c>
      <c r="AE30" s="163" t="s">
        <v>32</v>
      </c>
      <c r="AH30" s="101" t="s">
        <v>33</v>
      </c>
      <c r="AI30" s="101" t="s">
        <v>34</v>
      </c>
      <c r="AJ30" s="101" t="s">
        <v>35</v>
      </c>
      <c r="AK30" s="101" t="s">
        <v>36</v>
      </c>
      <c r="AL30" s="101" t="s">
        <v>37</v>
      </c>
      <c r="AM30" s="101" t="s">
        <v>38</v>
      </c>
      <c r="AN30" s="101" t="s">
        <v>39</v>
      </c>
      <c r="AO30" s="101" t="s">
        <v>40</v>
      </c>
      <c r="AP30" s="101" t="s">
        <v>41</v>
      </c>
      <c r="AQ30" s="101" t="s">
        <v>42</v>
      </c>
      <c r="AR30" s="101" t="s">
        <v>33</v>
      </c>
      <c r="AS30" s="101" t="s">
        <v>34</v>
      </c>
      <c r="AT30" s="101" t="s">
        <v>35</v>
      </c>
      <c r="AU30" s="101" t="s">
        <v>36</v>
      </c>
      <c r="AV30" s="101" t="s">
        <v>37</v>
      </c>
      <c r="AW30" s="101" t="s">
        <v>38</v>
      </c>
      <c r="AX30" s="101" t="s">
        <v>39</v>
      </c>
      <c r="AY30" s="101" t="s">
        <v>40</v>
      </c>
      <c r="AZ30" s="101" t="s">
        <v>41</v>
      </c>
      <c r="BA30" s="101" t="s">
        <v>42</v>
      </c>
    </row>
    <row r="31" spans="1:55" ht="32.1" customHeight="1">
      <c r="A31" s="98"/>
      <c r="B31" s="77" t="str">
        <f>VLOOKUP(588,Sprachindex!$A:$Z,Info!$O$7,FALSE)</f>
        <v>m²</v>
      </c>
      <c r="C31" s="103"/>
      <c r="D31" s="503">
        <f>IF($O$9=1,BC31,BB31)</f>
        <v>0</v>
      </c>
      <c r="E31" s="595" t="str">
        <f>VLOOKUP(273,Sprachindex!$A:$Z,Info!$O$7,FALSE)</f>
        <v>Dachschindel</v>
      </c>
      <c r="F31" s="596"/>
      <c r="G31" s="596"/>
      <c r="H31" s="596"/>
      <c r="I31" s="596"/>
      <c r="J31" s="596"/>
      <c r="K31" s="597"/>
      <c r="L31" s="77" t="str">
        <f>IF(A31=0,"",IF($O$11=1,AD31,AE31))</f>
        <v/>
      </c>
      <c r="M31" s="432" t="str">
        <f>B31</f>
        <v>m²</v>
      </c>
      <c r="N31" s="437"/>
      <c r="O31" s="202" t="str">
        <f>IF(ISNUMBER(A31), IF(O21=7, $L31*S31, $L31*R31), "")</f>
        <v/>
      </c>
      <c r="R31" s="200">
        <v>39.450000000000003</v>
      </c>
      <c r="S31" s="200">
        <v>40.47</v>
      </c>
      <c r="AC31" s="1"/>
      <c r="AD31" s="164">
        <f>ROUNDUP($A31/10,0)*10</f>
        <v>0</v>
      </c>
      <c r="AE31" s="165">
        <f>ROUNDUP($A31/1,0)*1</f>
        <v>0</v>
      </c>
      <c r="AH31" s="470">
        <v>110720</v>
      </c>
      <c r="AI31" s="470">
        <v>110721</v>
      </c>
      <c r="AJ31" s="470">
        <v>110722</v>
      </c>
      <c r="AK31" s="470">
        <v>110723</v>
      </c>
      <c r="AL31" s="470">
        <v>110724</v>
      </c>
      <c r="AM31" s="470">
        <v>110725</v>
      </c>
      <c r="AN31" s="470">
        <v>110726</v>
      </c>
      <c r="AO31" s="470">
        <v>110727</v>
      </c>
      <c r="AP31" s="470">
        <v>110728</v>
      </c>
      <c r="AQ31" s="470"/>
      <c r="AR31" s="469">
        <v>110730</v>
      </c>
      <c r="AS31" s="469">
        <v>110731</v>
      </c>
      <c r="AT31" s="469">
        <v>110732</v>
      </c>
      <c r="AU31" s="469">
        <v>110733</v>
      </c>
      <c r="AV31" s="469">
        <v>110734</v>
      </c>
      <c r="AW31" s="469">
        <v>110735</v>
      </c>
      <c r="AX31" s="469">
        <v>110736</v>
      </c>
      <c r="AY31" s="469">
        <v>110737</v>
      </c>
      <c r="AZ31" s="469">
        <v>110738</v>
      </c>
      <c r="BA31" s="469">
        <v>110739</v>
      </c>
      <c r="BB31" s="468">
        <f>IF($O$21=1,AH31,IF($O$21=4,AI31,IF($O$21=5,AJ31,IF($O$21=11,AK31,IF($O$21=7,AL31,IF($O$21=3,AM31,IF($O$21=6,AN31,IF($O$21=9,AO31,IF($O$21=2,AP31,IF($O$21=8,AQ31,0))))))))))</f>
        <v>0</v>
      </c>
      <c r="BC31" s="468">
        <f>IF($O$21=1,AR31,IF($O$21=4,AS31,IF($O$21=5,AT31,IF($O$21=11,AU31,IF($O$21=7,AV31,IF($O$21=3,AW31,IF($O$21=6,AX31,IF($O$21=9,AY31,IF($O$21=2,AZ31,IF($O$21=8,BA31,0))))))))))</f>
        <v>0</v>
      </c>
    </row>
    <row r="32" spans="1:55" ht="32.1" customHeight="1">
      <c r="A32" s="98"/>
      <c r="B32" s="79" t="str">
        <f>VLOOKUP(878,Sprachindex!$A:$Z,Info!$O$7,FALSE)</f>
        <v>Stk.</v>
      </c>
      <c r="C32" s="78"/>
      <c r="D32" s="78">
        <f>IF($O$9=1,BC32,BB32)</f>
        <v>0</v>
      </c>
      <c r="E32" s="561" t="str">
        <f>VLOOKUP(650,Sprachindex!$A:$Z,Info!$O$7,FALSE)</f>
        <v>Passschindel für Anschlüsse (840 × 240 mm)</v>
      </c>
      <c r="F32" s="562"/>
      <c r="G32" s="562"/>
      <c r="H32" s="562"/>
      <c r="I32" s="562"/>
      <c r="J32" s="562"/>
      <c r="K32" s="563"/>
      <c r="L32" s="79" t="str">
        <f>IF(A32=0,"",IF($O$11=1,AD32,AE32))</f>
        <v/>
      </c>
      <c r="M32" s="433" t="str">
        <f t="shared" ref="M32:M95" si="0">B32</f>
        <v>Stk.</v>
      </c>
      <c r="N32" s="80"/>
      <c r="O32" s="202" t="str">
        <f>IF(ISNUMBER(A32), IF(O21=7, $L32*S32, $L32*R32), "")</f>
        <v/>
      </c>
      <c r="R32" s="200">
        <v>11.67</v>
      </c>
      <c r="S32" s="195">
        <v>12.09</v>
      </c>
      <c r="AC32" s="1"/>
      <c r="AD32" s="149">
        <f>ROUNDUP($A32/10,0)*10</f>
        <v>0</v>
      </c>
      <c r="AE32" s="149">
        <f>ROUNDUP($A32,0)</f>
        <v>0</v>
      </c>
      <c r="AH32" s="470">
        <v>110740</v>
      </c>
      <c r="AI32" s="470">
        <v>110741</v>
      </c>
      <c r="AJ32" s="470">
        <v>110742</v>
      </c>
      <c r="AK32" s="470">
        <v>110743</v>
      </c>
      <c r="AL32" s="470">
        <v>110744</v>
      </c>
      <c r="AM32" s="470">
        <v>110745</v>
      </c>
      <c r="AN32" s="470">
        <v>110746</v>
      </c>
      <c r="AO32" s="470">
        <v>110747</v>
      </c>
      <c r="AP32" s="470">
        <v>110748</v>
      </c>
      <c r="AQ32" s="470"/>
      <c r="AR32" s="469">
        <v>110750</v>
      </c>
      <c r="AS32" s="469">
        <v>110751</v>
      </c>
      <c r="AT32" s="469">
        <v>110752</v>
      </c>
      <c r="AU32" s="469">
        <v>110753</v>
      </c>
      <c r="AV32" s="469">
        <v>110754</v>
      </c>
      <c r="AW32" s="469">
        <v>110755</v>
      </c>
      <c r="AX32" s="469">
        <v>110756</v>
      </c>
      <c r="AY32" s="469">
        <v>110757</v>
      </c>
      <c r="AZ32" s="469">
        <v>110758</v>
      </c>
      <c r="BA32" s="469">
        <v>110759</v>
      </c>
      <c r="BB32" s="468">
        <f>IF($O$21=1,AH32,IF($O$21=4,AI32,IF($O$21=5,AJ32,IF($O$21=11,AK32,IF($O$21=7,AL32,IF($O$21=3,AM32,IF($O$21=6,AN32,IF($O$21=9,AO32,IF($O$21=2,AP32,IF($O$21=8,AQ32,0))))))))))</f>
        <v>0</v>
      </c>
      <c r="BC32" s="468">
        <f>IF($O$21=1,AR32,IF($O$21=4,AS32,IF($O$21=5,AT32,IF($O$21=11,AU32,IF($O$21=7,AV32,IF($O$21=3,AW32,IF($O$21=6,AX32,IF($O$21=9,AY32,IF($O$21=2,AZ32,IF($O$21=8,BA32,0))))))))))</f>
        <v>0</v>
      </c>
    </row>
    <row r="33" spans="1:55" ht="32.1" customHeight="1">
      <c r="A33" s="98"/>
      <c r="B33" s="79" t="str">
        <f>VLOOKUP(878,Sprachindex!$A:$Z,Info!$O$7,FALSE)</f>
        <v>Stk.</v>
      </c>
      <c r="C33" s="78"/>
      <c r="D33" s="78">
        <v>505001</v>
      </c>
      <c r="E33" s="561" t="str">
        <f>VLOOKUP(652,Sprachindex!$A:$Z,Info!$O$7,FALSE)</f>
        <v>Patenthaft für Dachplatte und Dachschindel</v>
      </c>
      <c r="F33" s="562"/>
      <c r="G33" s="562"/>
      <c r="H33" s="562"/>
      <c r="I33" s="562"/>
      <c r="J33" s="562"/>
      <c r="K33" s="563"/>
      <c r="L33" s="79" t="str">
        <f>IF(A33=0,"",IF($O$11=1,AD33,AE33))</f>
        <v/>
      </c>
      <c r="M33" s="433" t="str">
        <f t="shared" si="0"/>
        <v>Stk.</v>
      </c>
      <c r="N33" s="80"/>
      <c r="O33" s="202" t="str">
        <f>IF(ISNUMBER(A33),$L33*R33, "")</f>
        <v/>
      </c>
      <c r="R33" s="200">
        <v>0.03</v>
      </c>
      <c r="AC33" s="1"/>
      <c r="AD33" s="149">
        <f>ROUNDUP($A33/840,0)*840</f>
        <v>0</v>
      </c>
      <c r="AE33" s="149">
        <f>ROUNDUP($A33,0)</f>
        <v>0</v>
      </c>
    </row>
    <row r="34" spans="1:55" ht="32.1" customHeight="1">
      <c r="A34" s="98"/>
      <c r="B34" s="79" t="str">
        <f>VLOOKUP(1512,Sprachindex!$A:$Z,Info!$O$7,FALSE)</f>
        <v>lfm</v>
      </c>
      <c r="C34" s="78"/>
      <c r="D34" s="82">
        <v>562005</v>
      </c>
      <c r="E34" s="561" t="str">
        <f>VLOOKUP(768,Sprachindex!$A:$Z,Info!$O$7,FALSE)</f>
        <v>Saumstreifen (1.800 × 158 × 1,00 mm)</v>
      </c>
      <c r="F34" s="562"/>
      <c r="G34" s="562"/>
      <c r="H34" s="562"/>
      <c r="I34" s="562"/>
      <c r="J34" s="562"/>
      <c r="K34" s="563"/>
      <c r="L34" s="79" t="str">
        <f>IF(A34=0,"",IF($O$11=1,AD34,AE34))</f>
        <v/>
      </c>
      <c r="M34" s="433" t="str">
        <f t="shared" si="0"/>
        <v>lfm</v>
      </c>
      <c r="N34" s="80"/>
      <c r="O34" s="202" t="str">
        <f>IF(ISNUMBER(A34),$L34*R34, "")</f>
        <v/>
      </c>
      <c r="R34" s="200">
        <v>6.54</v>
      </c>
      <c r="AC34" s="1"/>
      <c r="AD34" s="147">
        <f>ROUNDUP($A34/1.8,0)*1.8</f>
        <v>0</v>
      </c>
      <c r="AE34" s="147">
        <f>ROUNDUP($A34/1.8,0)*1.8</f>
        <v>0</v>
      </c>
    </row>
    <row r="35" spans="1:55" ht="32.1" customHeight="1">
      <c r="A35" s="98"/>
      <c r="B35" s="79" t="str">
        <f>VLOOKUP(531,Sprachindex!$A:$Z,Info!$O$7,FALSE)</f>
        <v>kg</v>
      </c>
      <c r="C35" s="78"/>
      <c r="D35" s="78" t="str">
        <f>IF(H35=Formeln!A2,340392,IF(H35=Formeln!A3,340394,IF(H35=Formeln!A4,341392,"")))</f>
        <v/>
      </c>
      <c r="E35" s="561" t="str">
        <f>VLOOKUP(707,Sprachindex!$A:$Z,Info!$O$7,FALSE)</f>
        <v>Rillennagel (verzinkt)</v>
      </c>
      <c r="F35" s="562"/>
      <c r="G35" s="562"/>
      <c r="H35" s="572"/>
      <c r="I35" s="573"/>
      <c r="J35" s="573"/>
      <c r="K35" s="574"/>
      <c r="L35" s="79" t="str">
        <f>IF(A35=0,"",IF(H35=Formeln!$A$1,"",IF($O$11=1,AD35,AE35)))</f>
        <v/>
      </c>
      <c r="M35" s="433" t="str">
        <f t="shared" si="0"/>
        <v>kg</v>
      </c>
      <c r="N35" s="80"/>
      <c r="O35" s="202" t="str">
        <f>IF(ISNUMBER(A35),$L35*R35, "")</f>
        <v/>
      </c>
      <c r="R35" s="200">
        <v>9.35</v>
      </c>
      <c r="T35" s="135"/>
      <c r="AC35" s="1"/>
      <c r="AD35" s="148">
        <f>IF(OR($H35=Formeln!$A$2,$H35=Formeln!$A$3),ROUNDUP($A35/2.5,0)*2.5,ROUNDUP($A35/2,0)*2)</f>
        <v>0</v>
      </c>
      <c r="AE35" s="148">
        <f>ROUNDUP($A35,2)</f>
        <v>0</v>
      </c>
      <c r="AF35" s="6">
        <f>IF(H35=Formeln!A2,570,IF(H35=Formeln!A3,480,IF(H35=Formeln!A4,380,0)))</f>
        <v>0</v>
      </c>
    </row>
    <row r="36" spans="1:55" ht="32.1" customHeight="1">
      <c r="A36" s="98"/>
      <c r="B36" s="79" t="str">
        <f>VLOOKUP(878,Sprachindex!$A:$Z,Info!$O$7,FALSE)</f>
        <v>Stk.</v>
      </c>
      <c r="C36" s="78"/>
      <c r="D36" s="81">
        <f>IF(H36=Formeln!A5,341395,IF(H36=Formeln!A6,341396,IF(H36=Formeln!A7,341398,0)))</f>
        <v>341395</v>
      </c>
      <c r="E36" s="561" t="str">
        <f>VLOOKUP(2186,Sprachindex!$A:$Z,Info!$O$7,FALSE)</f>
        <v>Rillennägel gebunden</v>
      </c>
      <c r="F36" s="562"/>
      <c r="G36" s="562"/>
      <c r="H36" s="572"/>
      <c r="I36" s="573"/>
      <c r="J36" s="573"/>
      <c r="K36" s="574"/>
      <c r="L36" s="141" t="str">
        <f>IF($A36=0,"",IF($H36=Formeln!$A$5,"",IF($O$11=1,AD36,AE36)))</f>
        <v/>
      </c>
      <c r="M36" s="433" t="str">
        <f t="shared" si="0"/>
        <v>Stk.</v>
      </c>
      <c r="N36" s="80"/>
      <c r="O36" s="202" t="str">
        <f>IF(ISNUMBER(A36),IF(H36=Formeln!A7,$L36*S36/1000,IF(H36=Formeln!A6,$L36*R36/1000,L36*T36/1000))," ")</f>
        <v xml:space="preserve"> </v>
      </c>
      <c r="R36" s="200">
        <v>34.4</v>
      </c>
      <c r="S36" s="200">
        <v>51.6</v>
      </c>
      <c r="T36" s="200">
        <v>64.400000000000006</v>
      </c>
      <c r="AC36" s="135"/>
      <c r="AD36" s="148">
        <f>ROUNDUP($A36/$AF36,0)*$AF36</f>
        <v>0</v>
      </c>
      <c r="AE36" s="149">
        <f>ROUNDUP($A36/1000,0)*1000</f>
        <v>0</v>
      </c>
      <c r="AF36" s="150">
        <f>IF($H36=Formeln!$A$7,2400,3200)</f>
        <v>3200</v>
      </c>
    </row>
    <row r="37" spans="1:55" ht="32.1" customHeight="1">
      <c r="A37" s="98"/>
      <c r="B37" s="79" t="str">
        <f>VLOOKUP(1512,Sprachindex!$A:$Z,Info!$O$7,FALSE)</f>
        <v>lfm</v>
      </c>
      <c r="C37" s="78"/>
      <c r="D37" s="78">
        <f>IF($O$21=1,AH37,IF($O$21=4,AI37,IF($O$21=5,AJ37,IF($O$21=11,AK37,IF($O$21=7,AL37,IF($O$21=3,AM37,IF($O$21=6,AN37,IF($O$21=9,AO37,IF($O$21=2,AP37,IF($O$21=8,AQ37,0))))))))))</f>
        <v>0</v>
      </c>
      <c r="E37" s="561" t="str">
        <f>VLOOKUP(333,Sprachindex!$A:$Z,Info!$O$7,FALSE)</f>
        <v>Einlaufblech</v>
      </c>
      <c r="F37" s="562"/>
      <c r="G37" s="562"/>
      <c r="H37" s="562"/>
      <c r="I37" s="562"/>
      <c r="J37" s="562"/>
      <c r="K37" s="563"/>
      <c r="L37" s="79" t="str">
        <f>IF(A37=0,"",IF($O$11=1,AD37,AE37))</f>
        <v/>
      </c>
      <c r="M37" s="433" t="str">
        <f t="shared" si="0"/>
        <v>lfm</v>
      </c>
      <c r="N37" s="80"/>
      <c r="O37" s="202" t="str">
        <f>IF(ISNUMBER(A37),$L37*R37, "")</f>
        <v/>
      </c>
      <c r="R37" s="200">
        <v>8.65</v>
      </c>
      <c r="AC37" s="135"/>
      <c r="AD37" s="149">
        <f>ROUNDUP($A37/2,0)*2</f>
        <v>0</v>
      </c>
      <c r="AE37" s="149">
        <f>ROUNDUP($A37,0)</f>
        <v>0</v>
      </c>
      <c r="AF37" s="145"/>
      <c r="AH37" s="181">
        <v>212100</v>
      </c>
      <c r="AI37" s="181"/>
      <c r="AJ37" s="181">
        <v>212102</v>
      </c>
      <c r="AK37" s="181">
        <v>212101</v>
      </c>
      <c r="AL37" s="181"/>
      <c r="AM37" s="181"/>
      <c r="AN37" s="181">
        <v>212106</v>
      </c>
      <c r="AO37" s="181"/>
      <c r="AP37" s="181">
        <v>212104</v>
      </c>
      <c r="AQ37" s="181">
        <v>212103</v>
      </c>
    </row>
    <row r="38" spans="1:55" ht="32.1" customHeight="1">
      <c r="A38" s="98"/>
      <c r="B38" s="79" t="str">
        <f>VLOOKUP(1512,Sprachindex!$A:$Z,Info!$O$7,FALSE)</f>
        <v>lfm</v>
      </c>
      <c r="C38" s="82"/>
      <c r="D38" s="82" t="str">
        <f>IF(H38=Formeln!A10,507403,IF(H38=Formeln!A11,507404,IF(H38=Formeln!A12,507402,IF(H38=Formeln!A13,507405,IF(H38=Formeln!A14,507412,IF(H38=Formeln!A15,507413,""))))))</f>
        <v/>
      </c>
      <c r="E38" s="561" t="str">
        <f>VLOOKUP(586,Sprachindex!$A:$Z,Info!$O$7,FALSE)</f>
        <v>Lüftungsband</v>
      </c>
      <c r="F38" s="562"/>
      <c r="G38" s="562"/>
      <c r="H38" s="572"/>
      <c r="I38" s="573"/>
      <c r="J38" s="573"/>
      <c r="K38" s="574"/>
      <c r="L38" s="79" t="str">
        <f>IF($H38=Formeln!$A$9," ",IF(A38=0,"",IF($O$11=1,AD38,AE38)))</f>
        <v xml:space="preserve"> </v>
      </c>
      <c r="M38" s="433" t="str">
        <f t="shared" si="0"/>
        <v>lfm</v>
      </c>
      <c r="N38" s="80"/>
      <c r="O38" s="202" t="str">
        <f>IF(ISNUMBER(A38), IF(OR(H38=Formeln!A10,H38=Formeln!A11), $L38*R38, $L38*S38), "")</f>
        <v/>
      </c>
      <c r="R38" s="200">
        <v>13.23</v>
      </c>
      <c r="S38" s="200">
        <v>21.27</v>
      </c>
      <c r="AC38" s="1"/>
      <c r="AD38" s="149">
        <f>ROUNDUP($A38/40,0)*40</f>
        <v>0</v>
      </c>
      <c r="AE38" s="149">
        <f>$A38</f>
        <v>0</v>
      </c>
    </row>
    <row r="39" spans="1:55" ht="31.95" customHeight="1">
      <c r="A39" s="98"/>
      <c r="B39" s="79" t="str">
        <f>VLOOKUP(1512,Sprachindex!$A:$Z,Info!$O$7,FALSE)</f>
        <v>lfm</v>
      </c>
      <c r="C39" s="78"/>
      <c r="D39" s="78">
        <v>507300</v>
      </c>
      <c r="E39" s="561" t="str">
        <f>VLOOKUP(986,Sprachindex!$A:$Z,Info!$O$7,FALSE)</f>
        <v>Vogelschutzgitter (Braun/Anthrazit; 125 × 2.000 × 0,7 mm)</v>
      </c>
      <c r="F39" s="562"/>
      <c r="G39" s="562"/>
      <c r="H39" s="562"/>
      <c r="I39" s="562"/>
      <c r="J39" s="562"/>
      <c r="K39" s="563"/>
      <c r="L39" s="79" t="str">
        <f t="shared" ref="L39:L54" si="1">IF(A39=0,"",IF($O$11=1,AD39,AE39))</f>
        <v/>
      </c>
      <c r="M39" s="433" t="str">
        <f t="shared" si="0"/>
        <v>lfm</v>
      </c>
      <c r="N39" s="80"/>
      <c r="O39" s="202" t="str">
        <f t="shared" ref="O39:O47" si="2">IF(ISNUMBER(A39),$L39*R39, "")</f>
        <v/>
      </c>
      <c r="R39" s="200">
        <v>4.01</v>
      </c>
      <c r="AC39" s="1"/>
      <c r="AD39" s="149">
        <f>ROUNDUP($A39/2,0)*2</f>
        <v>0</v>
      </c>
      <c r="AE39" s="149">
        <f>ROUNDUP($A39/2,0)*2</f>
        <v>0</v>
      </c>
    </row>
    <row r="40" spans="1:55" ht="32.1" customHeight="1">
      <c r="A40" s="98"/>
      <c r="B40" s="79" t="str">
        <f>VLOOKUP(1512,Sprachindex!$A:$Z,Info!$O$7,FALSE)</f>
        <v>lfm</v>
      </c>
      <c r="C40" s="78"/>
      <c r="D40" s="78">
        <f>IF($O$9=1,BC40,BB40)</f>
        <v>0</v>
      </c>
      <c r="E40" s="561" t="str">
        <f>VLOOKUP(647,Sprachindex!$A:$Z,Info!$O$7,FALSE)</f>
        <v>Ortgangstreifen (95 × 2.000 × 0,70 mm)</v>
      </c>
      <c r="F40" s="562"/>
      <c r="G40" s="562"/>
      <c r="H40" s="562"/>
      <c r="I40" s="562"/>
      <c r="J40" s="562"/>
      <c r="K40" s="563"/>
      <c r="L40" s="79" t="str">
        <f t="shared" si="1"/>
        <v/>
      </c>
      <c r="M40" s="433" t="str">
        <f t="shared" si="0"/>
        <v>lfm</v>
      </c>
      <c r="N40" s="80"/>
      <c r="O40" s="202" t="str">
        <f t="shared" si="2"/>
        <v/>
      </c>
      <c r="R40" s="200">
        <v>9.57</v>
      </c>
      <c r="AC40" s="1"/>
      <c r="AD40" s="149">
        <f>ROUNDUP($A40/2,0)*2</f>
        <v>0</v>
      </c>
      <c r="AE40" s="149">
        <f>ROUNDUP($A40/2,0)*2</f>
        <v>0</v>
      </c>
      <c r="AH40" s="470">
        <v>110500</v>
      </c>
      <c r="AI40" s="470">
        <v>110501</v>
      </c>
      <c r="AJ40" s="470">
        <v>110502</v>
      </c>
      <c r="AK40" s="470">
        <v>110503</v>
      </c>
      <c r="AL40" s="470">
        <v>110504</v>
      </c>
      <c r="AM40" s="470">
        <v>110505</v>
      </c>
      <c r="AN40" s="470">
        <v>110506</v>
      </c>
      <c r="AO40" s="470">
        <v>110507</v>
      </c>
      <c r="AP40" s="470">
        <v>110508</v>
      </c>
      <c r="AQ40" s="470"/>
      <c r="AR40" s="469">
        <v>110510</v>
      </c>
      <c r="AS40" s="469">
        <v>110511</v>
      </c>
      <c r="AT40" s="469">
        <v>110512</v>
      </c>
      <c r="AU40" s="469">
        <v>110513</v>
      </c>
      <c r="AV40" s="469">
        <v>110514</v>
      </c>
      <c r="AW40" s="469">
        <v>110515</v>
      </c>
      <c r="AX40" s="469">
        <v>110516</v>
      </c>
      <c r="AY40" s="469">
        <v>110517</v>
      </c>
      <c r="AZ40" s="469">
        <v>110518</v>
      </c>
      <c r="BA40" s="469">
        <v>110519</v>
      </c>
      <c r="BB40" s="468">
        <f t="shared" ref="BB40:BB46" si="3">IF($O$21=1,AH40,IF($O$21=4,AI40,IF($O$21=5,AJ40,IF($O$21=11,AK40,IF($O$21=7,AL40,IF($O$21=3,AM40,IF($O$21=6,AN40,IF($O$21=9,AO40,IF($O$21=2,AP40,IF($O$21=8,AQ40,0))))))))))</f>
        <v>0</v>
      </c>
      <c r="BC40" s="468">
        <f t="shared" ref="BC40:BC46" si="4">IF($O$21=1,AR40,IF($O$21=4,AS40,IF($O$21=5,AT40,IF($O$21=11,AU40,IF($O$21=7,AV40,IF($O$21=3,AW40,IF($O$21=6,AX40,IF($O$21=9,AY40,IF($O$21=2,AZ40,IF($O$21=8,BA40,0))))))))))</f>
        <v>0</v>
      </c>
    </row>
    <row r="41" spans="1:55" ht="32.1" customHeight="1">
      <c r="A41" s="98"/>
      <c r="B41" s="79" t="str">
        <f>VLOOKUP(1512,Sprachindex!$A:$Z,Info!$O$7,FALSE)</f>
        <v>lfm</v>
      </c>
      <c r="C41" s="78"/>
      <c r="D41" s="78">
        <f t="shared" ref="D41:D46" si="5">IF($O$9=1,BC41,BB41)</f>
        <v>0</v>
      </c>
      <c r="E41" s="561" t="str">
        <f>VLOOKUP(825,Sprachindex!$A:$Z,Info!$O$7,FALSE)</f>
        <v>Sicherheitskehle (stucco; Länge: 3.000 mm)</v>
      </c>
      <c r="F41" s="562"/>
      <c r="G41" s="562"/>
      <c r="H41" s="562"/>
      <c r="I41" s="562"/>
      <c r="J41" s="562"/>
      <c r="K41" s="563"/>
      <c r="L41" s="79" t="str">
        <f t="shared" si="1"/>
        <v/>
      </c>
      <c r="M41" s="433" t="str">
        <f t="shared" si="0"/>
        <v>lfm</v>
      </c>
      <c r="N41" s="80"/>
      <c r="O41" s="202" t="str">
        <f t="shared" si="2"/>
        <v/>
      </c>
      <c r="R41" s="200">
        <v>32.14</v>
      </c>
      <c r="AC41" s="1"/>
      <c r="AD41" s="149">
        <f>ROUNDUP($A41/3,0)*3</f>
        <v>0</v>
      </c>
      <c r="AE41" s="149">
        <f>ROUNDUP($A41/3,0)*3</f>
        <v>0</v>
      </c>
      <c r="AH41" s="470">
        <v>110520</v>
      </c>
      <c r="AI41" s="470">
        <v>110521</v>
      </c>
      <c r="AJ41" s="470">
        <v>110522</v>
      </c>
      <c r="AK41" s="470">
        <v>110523</v>
      </c>
      <c r="AL41" s="470">
        <v>110524</v>
      </c>
      <c r="AM41" s="470">
        <v>110525</v>
      </c>
      <c r="AN41" s="470">
        <v>110526</v>
      </c>
      <c r="AO41" s="470">
        <v>110527</v>
      </c>
      <c r="AP41" s="470">
        <v>110528</v>
      </c>
      <c r="AQ41" s="470"/>
      <c r="AR41" s="469">
        <v>110530</v>
      </c>
      <c r="AS41" s="469">
        <v>110531</v>
      </c>
      <c r="AT41" s="469">
        <v>110532</v>
      </c>
      <c r="AU41" s="469">
        <v>110533</v>
      </c>
      <c r="AV41" s="469">
        <v>110534</v>
      </c>
      <c r="AW41" s="469">
        <v>110535</v>
      </c>
      <c r="AX41" s="469">
        <v>110536</v>
      </c>
      <c r="AY41" s="469">
        <v>110537</v>
      </c>
      <c r="AZ41" s="469">
        <v>110538</v>
      </c>
      <c r="BA41" s="469">
        <v>110539</v>
      </c>
      <c r="BB41" s="468">
        <f t="shared" si="3"/>
        <v>0</v>
      </c>
      <c r="BC41" s="468">
        <f t="shared" si="4"/>
        <v>0</v>
      </c>
    </row>
    <row r="42" spans="1:55" ht="32.1" customHeight="1">
      <c r="A42" s="98"/>
      <c r="B42" s="79" t="str">
        <f>VLOOKUP(1512,Sprachindex!$A:$Z,Info!$O$7,FALSE)</f>
        <v>lfm</v>
      </c>
      <c r="C42" s="78"/>
      <c r="D42" s="78">
        <f t="shared" si="5"/>
        <v>0</v>
      </c>
      <c r="E42" s="561" t="str">
        <f>VLOOKUP(440,Sprachindex!$A:$Z,Info!$O$7,FALSE)</f>
        <v>Grat- und Firstreiter (500 × 1,00 mm; stucco) inkl. Niro-Schraube 4,5 × 45 mm und Dichtscheibe</v>
      </c>
      <c r="F42" s="562"/>
      <c r="G42" s="562"/>
      <c r="H42" s="562"/>
      <c r="I42" s="562"/>
      <c r="J42" s="562"/>
      <c r="K42" s="563"/>
      <c r="L42" s="79" t="str">
        <f t="shared" si="1"/>
        <v/>
      </c>
      <c r="M42" s="433" t="str">
        <f t="shared" si="0"/>
        <v>lfm</v>
      </c>
      <c r="N42" s="80"/>
      <c r="O42" s="202" t="str">
        <f t="shared" si="2"/>
        <v/>
      </c>
      <c r="R42" s="200">
        <v>14.77</v>
      </c>
      <c r="AC42" s="1"/>
      <c r="AD42" s="149">
        <f>ROUNDUP($A42/10,0)*10</f>
        <v>0</v>
      </c>
      <c r="AE42" s="149">
        <f>ROUNDUP($A42/0.5,0)*0.5</f>
        <v>0</v>
      </c>
      <c r="AH42" s="470">
        <v>110340</v>
      </c>
      <c r="AI42" s="470">
        <v>110341</v>
      </c>
      <c r="AJ42" s="470">
        <v>110342</v>
      </c>
      <c r="AK42" s="470">
        <v>110343</v>
      </c>
      <c r="AL42" s="470">
        <v>110344</v>
      </c>
      <c r="AM42" s="470">
        <v>110345</v>
      </c>
      <c r="AN42" s="470">
        <v>110346</v>
      </c>
      <c r="AO42" s="470">
        <v>110347</v>
      </c>
      <c r="AP42" s="470">
        <v>110348</v>
      </c>
      <c r="AQ42" s="470"/>
      <c r="AR42" s="469">
        <v>110350</v>
      </c>
      <c r="AS42" s="469">
        <v>110351</v>
      </c>
      <c r="AT42" s="469">
        <v>110352</v>
      </c>
      <c r="AU42" s="469">
        <v>110353</v>
      </c>
      <c r="AV42" s="469">
        <v>110354</v>
      </c>
      <c r="AW42" s="469">
        <v>110355</v>
      </c>
      <c r="AX42" s="469">
        <v>110356</v>
      </c>
      <c r="AY42" s="469">
        <v>110357</v>
      </c>
      <c r="AZ42" s="469">
        <v>110358</v>
      </c>
      <c r="BA42" s="469">
        <v>110359</v>
      </c>
      <c r="BB42" s="468">
        <f t="shared" si="3"/>
        <v>0</v>
      </c>
      <c r="BC42" s="468">
        <f t="shared" si="4"/>
        <v>0</v>
      </c>
    </row>
    <row r="43" spans="1:55" ht="32.1" customHeight="1">
      <c r="A43" s="98"/>
      <c r="B43" s="79" t="str">
        <f>VLOOKUP(878,Sprachindex!$A:$Z,Info!$O$7,FALSE)</f>
        <v>Stk.</v>
      </c>
      <c r="C43" s="78"/>
      <c r="D43" s="78">
        <f t="shared" si="5"/>
        <v>0</v>
      </c>
      <c r="E43" s="561" t="str">
        <f>VLOOKUP(441,Sprachindex!$A:$Z,Info!$O$7,FALSE)</f>
        <v>Gratreitervorkopf (stucco)</v>
      </c>
      <c r="F43" s="562"/>
      <c r="G43" s="562"/>
      <c r="H43" s="562"/>
      <c r="I43" s="562"/>
      <c r="J43" s="562"/>
      <c r="K43" s="563"/>
      <c r="L43" s="79" t="str">
        <f t="shared" si="1"/>
        <v/>
      </c>
      <c r="M43" s="433" t="str">
        <f t="shared" si="0"/>
        <v>Stk.</v>
      </c>
      <c r="N43" s="80"/>
      <c r="O43" s="202" t="str">
        <f t="shared" si="2"/>
        <v/>
      </c>
      <c r="R43" s="200">
        <v>8.02</v>
      </c>
      <c r="AC43" s="1"/>
      <c r="AD43" s="149">
        <f>ROUNDUP($A43/10,0)*10</f>
        <v>0</v>
      </c>
      <c r="AE43" s="149">
        <f>ROUNDUP($A43/1,0)*1</f>
        <v>0</v>
      </c>
      <c r="AH43" s="470">
        <v>110320</v>
      </c>
      <c r="AI43" s="470">
        <v>110321</v>
      </c>
      <c r="AJ43" s="470">
        <v>110322</v>
      </c>
      <c r="AK43" s="470">
        <v>110323</v>
      </c>
      <c r="AL43" s="470">
        <v>110324</v>
      </c>
      <c r="AM43" s="470">
        <v>110325</v>
      </c>
      <c r="AN43" s="470">
        <v>110326</v>
      </c>
      <c r="AO43" s="470">
        <v>110327</v>
      </c>
      <c r="AP43" s="470">
        <v>110328</v>
      </c>
      <c r="AQ43" s="470"/>
      <c r="AR43" s="469">
        <v>110330</v>
      </c>
      <c r="AS43" s="469">
        <v>110331</v>
      </c>
      <c r="AT43" s="469">
        <v>110332</v>
      </c>
      <c r="AU43" s="469">
        <v>110333</v>
      </c>
      <c r="AV43" s="469">
        <v>110334</v>
      </c>
      <c r="AW43" s="469">
        <v>110335</v>
      </c>
      <c r="AX43" s="469">
        <v>110336</v>
      </c>
      <c r="AY43" s="469">
        <v>110337</v>
      </c>
      <c r="AZ43" s="469">
        <v>110338</v>
      </c>
      <c r="BA43" s="469">
        <v>110339</v>
      </c>
      <c r="BB43" s="468">
        <f t="shared" si="3"/>
        <v>0</v>
      </c>
      <c r="BC43" s="468">
        <f t="shared" si="4"/>
        <v>0</v>
      </c>
    </row>
    <row r="44" spans="1:55" ht="32.1" customHeight="1">
      <c r="A44" s="98"/>
      <c r="B44" s="79" t="str">
        <f>VLOOKUP(1512,Sprachindex!$A:$Z,Info!$O$7,FALSE)</f>
        <v>lfm</v>
      </c>
      <c r="C44" s="78"/>
      <c r="D44" s="78">
        <f t="shared" si="5"/>
        <v>0</v>
      </c>
      <c r="E44" s="561" t="str">
        <f>VLOOKUP(501,Sprachindex!$A:$Z,Info!$O$7,FALSE)</f>
        <v>Jet-Lüfter (stucco; 1.200 mm); inkl. Niro-Schraube und Dichtscheibe</v>
      </c>
      <c r="F44" s="562"/>
      <c r="G44" s="562"/>
      <c r="H44" s="562"/>
      <c r="I44" s="562"/>
      <c r="J44" s="562"/>
      <c r="K44" s="563"/>
      <c r="L44" s="79" t="str">
        <f t="shared" si="1"/>
        <v/>
      </c>
      <c r="M44" s="433" t="str">
        <f t="shared" si="0"/>
        <v>lfm</v>
      </c>
      <c r="N44" s="80"/>
      <c r="O44" s="202" t="str">
        <f t="shared" si="2"/>
        <v/>
      </c>
      <c r="R44" s="200">
        <v>67.2</v>
      </c>
      <c r="AC44" s="1"/>
      <c r="AD44" s="149">
        <f>ROUNDUP($A44/1.2,0)*1.2</f>
        <v>0</v>
      </c>
      <c r="AE44" s="149">
        <f>ROUNDUP($A44/1.2,0)*1.2</f>
        <v>0</v>
      </c>
      <c r="AH44" s="470">
        <v>110640</v>
      </c>
      <c r="AI44" s="470">
        <v>110641</v>
      </c>
      <c r="AJ44" s="470">
        <v>110642</v>
      </c>
      <c r="AK44" s="470">
        <v>110643</v>
      </c>
      <c r="AL44" s="470">
        <v>110644</v>
      </c>
      <c r="AM44" s="470">
        <v>110645</v>
      </c>
      <c r="AN44" s="470">
        <v>110646</v>
      </c>
      <c r="AO44" s="470">
        <v>110647</v>
      </c>
      <c r="AP44" s="470">
        <v>110648</v>
      </c>
      <c r="AQ44" s="470"/>
      <c r="AR44" s="469">
        <v>110650</v>
      </c>
      <c r="AS44" s="469">
        <v>110651</v>
      </c>
      <c r="AT44" s="469">
        <v>110652</v>
      </c>
      <c r="AU44" s="469">
        <v>110653</v>
      </c>
      <c r="AV44" s="469">
        <v>110654</v>
      </c>
      <c r="AW44" s="469">
        <v>110655</v>
      </c>
      <c r="AX44" s="469">
        <v>110656</v>
      </c>
      <c r="AY44" s="469">
        <v>110657</v>
      </c>
      <c r="AZ44" s="469">
        <v>110658</v>
      </c>
      <c r="BA44" s="469">
        <v>110659</v>
      </c>
      <c r="BB44" s="468">
        <f t="shared" si="3"/>
        <v>0</v>
      </c>
      <c r="BC44" s="468">
        <f t="shared" si="4"/>
        <v>0</v>
      </c>
    </row>
    <row r="45" spans="1:55" ht="32.1" customHeight="1">
      <c r="A45" s="98"/>
      <c r="B45" s="79" t="str">
        <f>VLOOKUP(1512,Sprachindex!$A:$Z,Info!$O$7,FALSE)</f>
        <v>lfm</v>
      </c>
      <c r="C45" s="78"/>
      <c r="D45" s="78">
        <f t="shared" si="5"/>
        <v>0</v>
      </c>
      <c r="E45" s="561" t="str">
        <f>VLOOKUP(502,Sprachindex!$A:$Z,Info!$O$7,FALSE)</f>
        <v>Jet-Lüfter (stucco; 3.000 mm); inkl. Niro-Schraube und Dichtscheibe</v>
      </c>
      <c r="F45" s="562"/>
      <c r="G45" s="562"/>
      <c r="H45" s="562"/>
      <c r="I45" s="562"/>
      <c r="J45" s="562"/>
      <c r="K45" s="563"/>
      <c r="L45" s="79" t="str">
        <f t="shared" si="1"/>
        <v/>
      </c>
      <c r="M45" s="433" t="str">
        <f t="shared" si="0"/>
        <v>lfm</v>
      </c>
      <c r="N45" s="80"/>
      <c r="O45" s="202" t="str">
        <f t="shared" si="2"/>
        <v/>
      </c>
      <c r="R45" s="200">
        <v>60.69</v>
      </c>
      <c r="AC45" s="1"/>
      <c r="AD45" s="149">
        <f>ROUNDUP($A45/9,0)*9</f>
        <v>0</v>
      </c>
      <c r="AE45" s="149">
        <f>ROUNDUP($A45/3,0)*3</f>
        <v>0</v>
      </c>
      <c r="AH45" s="470">
        <v>110620</v>
      </c>
      <c r="AI45" s="470">
        <v>110621</v>
      </c>
      <c r="AJ45" s="470">
        <v>110622</v>
      </c>
      <c r="AK45" s="470">
        <v>110623</v>
      </c>
      <c r="AL45" s="470">
        <v>110624</v>
      </c>
      <c r="AM45" s="470">
        <v>110625</v>
      </c>
      <c r="AN45" s="470">
        <v>110626</v>
      </c>
      <c r="AO45" s="470">
        <v>110627</v>
      </c>
      <c r="AP45" s="470">
        <v>110628</v>
      </c>
      <c r="AQ45" s="470"/>
      <c r="AR45" s="469">
        <v>110630</v>
      </c>
      <c r="AS45" s="469">
        <v>110631</v>
      </c>
      <c r="AT45" s="469">
        <v>110632</v>
      </c>
      <c r="AU45" s="469">
        <v>110633</v>
      </c>
      <c r="AV45" s="469">
        <v>110634</v>
      </c>
      <c r="AW45" s="469">
        <v>110635</v>
      </c>
      <c r="AX45" s="469">
        <v>110636</v>
      </c>
      <c r="AY45" s="469">
        <v>110637</v>
      </c>
      <c r="AZ45" s="469">
        <v>110638</v>
      </c>
      <c r="BA45" s="469">
        <v>110639</v>
      </c>
      <c r="BB45" s="468">
        <f t="shared" si="3"/>
        <v>0</v>
      </c>
      <c r="BC45" s="468">
        <f t="shared" si="4"/>
        <v>0</v>
      </c>
    </row>
    <row r="46" spans="1:55" ht="32.1" customHeight="1">
      <c r="A46" s="98"/>
      <c r="B46" s="79" t="str">
        <f>VLOOKUP(878,Sprachindex!$A:$Z,Info!$O$7,FALSE)</f>
        <v>Stk.</v>
      </c>
      <c r="C46" s="78"/>
      <c r="D46" s="78">
        <f t="shared" si="5"/>
        <v>0</v>
      </c>
      <c r="E46" s="561" t="str">
        <f>VLOOKUP(503,Sprachindex!$A:$Z,Info!$O$7,FALSE)</f>
        <v>Jet-Lüfter-Vorkopf (stucco)</v>
      </c>
      <c r="F46" s="562"/>
      <c r="G46" s="562"/>
      <c r="H46" s="562"/>
      <c r="I46" s="562"/>
      <c r="J46" s="562"/>
      <c r="K46" s="563"/>
      <c r="L46" s="79" t="str">
        <f t="shared" si="1"/>
        <v/>
      </c>
      <c r="M46" s="433" t="str">
        <f t="shared" si="0"/>
        <v>Stk.</v>
      </c>
      <c r="N46" s="80"/>
      <c r="O46" s="202" t="str">
        <f t="shared" si="2"/>
        <v/>
      </c>
      <c r="R46" s="200">
        <v>8.7100000000000009</v>
      </c>
      <c r="AC46" s="1"/>
      <c r="AD46" s="149">
        <f>ROUNDUP($A46/2,0)*2</f>
        <v>0</v>
      </c>
      <c r="AE46" s="149">
        <f>ROUNDUP($A46/1,0)*1</f>
        <v>0</v>
      </c>
      <c r="AH46" s="470">
        <v>110600</v>
      </c>
      <c r="AI46" s="470">
        <v>110601</v>
      </c>
      <c r="AJ46" s="470">
        <v>110602</v>
      </c>
      <c r="AK46" s="470">
        <v>110603</v>
      </c>
      <c r="AL46" s="470">
        <v>110604</v>
      </c>
      <c r="AM46" s="470">
        <v>110605</v>
      </c>
      <c r="AN46" s="470">
        <v>110606</v>
      </c>
      <c r="AO46" s="470">
        <v>110607</v>
      </c>
      <c r="AP46" s="470">
        <v>110608</v>
      </c>
      <c r="AQ46" s="470"/>
      <c r="AR46" s="469">
        <v>110610</v>
      </c>
      <c r="AS46" s="469">
        <v>110611</v>
      </c>
      <c r="AT46" s="469">
        <v>110612</v>
      </c>
      <c r="AU46" s="469">
        <v>110613</v>
      </c>
      <c r="AV46" s="469">
        <v>110614</v>
      </c>
      <c r="AW46" s="469">
        <v>110615</v>
      </c>
      <c r="AX46" s="469">
        <v>110616</v>
      </c>
      <c r="AY46" s="469">
        <v>110617</v>
      </c>
      <c r="AZ46" s="469">
        <v>110618</v>
      </c>
      <c r="BA46" s="469">
        <v>110619</v>
      </c>
      <c r="BB46" s="468">
        <f t="shared" si="3"/>
        <v>0</v>
      </c>
      <c r="BC46" s="468">
        <f t="shared" si="4"/>
        <v>0</v>
      </c>
    </row>
    <row r="47" spans="1:55" ht="32.1" customHeight="1">
      <c r="A47" s="98"/>
      <c r="B47" s="79" t="str">
        <f>VLOOKUP(878,Sprachindex!$A:$Z,Info!$O$7,FALSE)</f>
        <v>Stk.</v>
      </c>
      <c r="C47" s="78"/>
      <c r="D47" s="78">
        <f>IF($O$21=1,AH47,IF($O$21=4,AI47,IF($O$21=5,AJ47,IF($O$21=11,AK47,IF($O$21=7,AL47,IF($O$21=3,AM47,IF($O$21=6,AN47,IF($O$21=9,AO47,IF($O$21=2,AP47,IF($O$21=8,AQ47,0))))))))))</f>
        <v>0</v>
      </c>
      <c r="E47" s="561" t="str">
        <f>VLOOKUP(2187,Sprachindex!$A:$Z,Info!$O$7,FALSE)</f>
        <v>Dichtschraube NIRO, 4,5x25</v>
      </c>
      <c r="F47" s="562"/>
      <c r="G47" s="562"/>
      <c r="H47" s="562"/>
      <c r="I47" s="562"/>
      <c r="J47" s="562"/>
      <c r="K47" s="563"/>
      <c r="L47" s="79" t="str">
        <f t="shared" si="1"/>
        <v/>
      </c>
      <c r="M47" s="433" t="str">
        <f t="shared" si="0"/>
        <v>Stk.</v>
      </c>
      <c r="N47" s="80"/>
      <c r="O47" s="202" t="str">
        <f t="shared" si="2"/>
        <v/>
      </c>
      <c r="R47" s="200">
        <v>0.46</v>
      </c>
      <c r="S47" s="195">
        <v>0.35</v>
      </c>
      <c r="AC47" s="1"/>
      <c r="AD47" s="149">
        <f>ROUNDUP($A47/200,0)*200</f>
        <v>0</v>
      </c>
      <c r="AE47" s="149">
        <f t="shared" ref="AE47:AE80" si="6">ROUNDUP($A47,0)</f>
        <v>0</v>
      </c>
      <c r="AH47" s="44">
        <v>340041</v>
      </c>
      <c r="AI47" s="44">
        <v>340042</v>
      </c>
      <c r="AJ47" s="44">
        <v>340043</v>
      </c>
      <c r="AK47" s="44">
        <v>340044</v>
      </c>
      <c r="AL47" s="138"/>
      <c r="AM47" s="44">
        <v>340045</v>
      </c>
      <c r="AN47" s="44">
        <v>340046</v>
      </c>
      <c r="AO47" s="44">
        <v>340047</v>
      </c>
      <c r="AP47" s="44">
        <v>340048</v>
      </c>
      <c r="AQ47" s="44">
        <v>340049</v>
      </c>
      <c r="AR47" s="1" t="s">
        <v>95</v>
      </c>
    </row>
    <row r="48" spans="1:55" ht="32.1" customHeight="1">
      <c r="A48" s="98"/>
      <c r="B48" s="79" t="str">
        <f>VLOOKUP(878,Sprachindex!$A:$Z,Info!$O$7,FALSE)</f>
        <v>Stk.</v>
      </c>
      <c r="C48" s="78"/>
      <c r="D48" s="78">
        <f>IF(H48=Formeln!A17,IF($O$21=1,AH48,IF($O$21=4,AI48,IF($O$21=5,AJ48,IF($O$21=11,AK48,IF($O$21=7,AL48,IF($O$21=3,AM48,IF($O$21=6,AN48,IF($O$21=9,AO48,IF($O$21=2,AP48,IF($O$21=8,AQ48,0)))))))))),IF(H48=Formeln!A18,AR48,0))</f>
        <v>0</v>
      </c>
      <c r="E48" s="561" t="str">
        <f>VLOOKUP(2188,Sprachindex!$A:$Z,Info!$O$7,FALSE)</f>
        <v>Dichtschraube NIRO 4,5 x 45 mm, für Grat- und Firstreiter</v>
      </c>
      <c r="F48" s="562"/>
      <c r="G48" s="562"/>
      <c r="H48" s="572"/>
      <c r="I48" s="573"/>
      <c r="J48" s="573"/>
      <c r="K48" s="574"/>
      <c r="L48" s="79" t="str">
        <f t="shared" si="1"/>
        <v/>
      </c>
      <c r="M48" s="433" t="str">
        <f t="shared" si="0"/>
        <v>Stk.</v>
      </c>
      <c r="N48" s="80"/>
      <c r="O48" s="226" t="str">
        <f>IF(ISNUMBER(A48),IF(H48=Formeln!A19,L48*S48,$L48*R48), "")</f>
        <v/>
      </c>
      <c r="R48" s="104">
        <v>0.68</v>
      </c>
      <c r="S48" s="195">
        <v>0.6</v>
      </c>
      <c r="AC48" s="1"/>
      <c r="AD48" s="149">
        <f>ROUNDUP($A48/250,0)*250</f>
        <v>0</v>
      </c>
      <c r="AE48" s="149">
        <f t="shared" si="6"/>
        <v>0</v>
      </c>
      <c r="AH48" s="44">
        <v>340001</v>
      </c>
      <c r="AI48" s="44">
        <v>340004</v>
      </c>
      <c r="AJ48" s="44">
        <v>340003</v>
      </c>
      <c r="AK48" s="44">
        <v>340104</v>
      </c>
      <c r="AM48" s="44">
        <v>340002</v>
      </c>
      <c r="AN48" s="44">
        <v>340016</v>
      </c>
      <c r="AO48" s="44">
        <v>340011</v>
      </c>
      <c r="AP48" s="44">
        <v>340014</v>
      </c>
      <c r="AQ48" s="44">
        <v>340013</v>
      </c>
      <c r="AR48" s="1">
        <v>340103</v>
      </c>
    </row>
    <row r="49" spans="1:474" ht="32.1" customHeight="1">
      <c r="A49" s="98"/>
      <c r="B49" s="79" t="str">
        <f>VLOOKUP(878,Sprachindex!$A:$Z,Info!$O$7,FALSE)</f>
        <v>Stk.</v>
      </c>
      <c r="C49" s="78"/>
      <c r="D49" s="78">
        <f>IF(H49=Formeln!A20,IF($O$21=1,AH49,IF($O$21=4,AI49,IF($O$21=5,AJ49,IF($O$21=11,AK49,IF($O$21=7,AL49,IF($O$21=3,AM49,IF($O$21=6,AN49,IF($O$21=9,AO49,IF($O$21=2,AP49,IF($O$21=8,AQ49,0)))))))))),IF(H49=Formeln!A21,AR49,0))</f>
        <v>0</v>
      </c>
      <c r="E49" s="561" t="str">
        <f>VLOOKUP(2189,Sprachindex!$A:$Z,Info!$O$7,FALSE)</f>
        <v>Dichtschraube NIRO 4,5 x 60 mm, für Jet-Lüfter</v>
      </c>
      <c r="F49" s="562"/>
      <c r="G49" s="562"/>
      <c r="H49" s="572"/>
      <c r="I49" s="573"/>
      <c r="J49" s="573"/>
      <c r="K49" s="574"/>
      <c r="L49" s="79" t="str">
        <f t="shared" si="1"/>
        <v/>
      </c>
      <c r="M49" s="433" t="str">
        <f t="shared" si="0"/>
        <v>Stk.</v>
      </c>
      <c r="N49" s="80"/>
      <c r="O49" s="226" t="str">
        <f>IF(ISNUMBER(A49),IF(H49=Formeln!A22,L49*S49,$L49*R49), "")</f>
        <v/>
      </c>
      <c r="R49" s="104">
        <v>0.86</v>
      </c>
      <c r="S49" s="195">
        <v>0.68</v>
      </c>
      <c r="AC49" s="1"/>
      <c r="AD49" s="149">
        <f>ROUNDUP($A49/100,0)*100</f>
        <v>0</v>
      </c>
      <c r="AE49" s="149">
        <f t="shared" si="6"/>
        <v>0</v>
      </c>
      <c r="AH49" s="44">
        <v>340020</v>
      </c>
      <c r="AI49" s="44">
        <v>340024</v>
      </c>
      <c r="AJ49" s="44">
        <v>340022</v>
      </c>
      <c r="AK49" s="44">
        <v>340021</v>
      </c>
      <c r="AM49" s="44">
        <v>340025</v>
      </c>
      <c r="AN49" s="44">
        <v>340032</v>
      </c>
      <c r="AO49" s="44">
        <v>340027</v>
      </c>
      <c r="AP49" s="44">
        <v>340030</v>
      </c>
      <c r="AQ49" s="44">
        <v>340036</v>
      </c>
      <c r="AR49" s="1">
        <v>340106</v>
      </c>
    </row>
    <row r="50" spans="1:474" ht="32.1" customHeight="1">
      <c r="A50" s="98"/>
      <c r="B50" s="79" t="str">
        <f>VLOOKUP(878,Sprachindex!$A:$Z,Info!$O$7,FALSE)</f>
        <v>Stk.</v>
      </c>
      <c r="C50" s="78"/>
      <c r="D50" s="78">
        <f>IF($O$21=1,AH50,IF($O$21=4,AI50,IF($O$21=5,AJ50,IF($O$21=11,AK50,IF($O$21=7,AL50,IF($O$21=3,AM50,IF($O$21=6,AN50,IF($O$21=9,AO50,IF($O$21=2,AP50,IF($O$21=8,AQ50,0))))))))))</f>
        <v>0</v>
      </c>
      <c r="E50" s="561" t="str">
        <f>VLOOKUP(409,Sprachindex!$A:$Z,Info!$O$7,FALSE)</f>
        <v>Froschmaullukenhaube</v>
      </c>
      <c r="F50" s="562"/>
      <c r="G50" s="562"/>
      <c r="H50" s="562"/>
      <c r="I50" s="562"/>
      <c r="J50" s="562"/>
      <c r="K50" s="563"/>
      <c r="L50" s="79" t="str">
        <f t="shared" si="1"/>
        <v/>
      </c>
      <c r="M50" s="433" t="str">
        <f t="shared" si="0"/>
        <v>Stk.</v>
      </c>
      <c r="N50" s="80"/>
      <c r="O50" s="202" t="str">
        <f>IF(ISNUMBER(A50),$L50*R50, "")</f>
        <v/>
      </c>
      <c r="R50" s="200">
        <v>24.65</v>
      </c>
      <c r="AC50" s="1"/>
      <c r="AD50" s="149">
        <f>ROUNDUP($A50/20,0)*20</f>
        <v>0</v>
      </c>
      <c r="AE50" s="149">
        <f t="shared" si="6"/>
        <v>0</v>
      </c>
      <c r="AH50" s="44">
        <v>110100</v>
      </c>
      <c r="AI50" s="44">
        <v>110101</v>
      </c>
      <c r="AJ50" s="44">
        <v>110102</v>
      </c>
      <c r="AK50" s="44">
        <v>110103</v>
      </c>
      <c r="AL50" s="44">
        <v>110104</v>
      </c>
      <c r="AM50" s="44">
        <v>110105</v>
      </c>
      <c r="AN50" s="44">
        <v>110106</v>
      </c>
      <c r="AO50" s="44">
        <v>110107</v>
      </c>
      <c r="AP50" s="44">
        <v>110108</v>
      </c>
      <c r="AQ50" s="44">
        <v>121005</v>
      </c>
    </row>
    <row r="51" spans="1:474" ht="32.1" customHeight="1">
      <c r="A51" s="98"/>
      <c r="B51" s="79" t="str">
        <f>VLOOKUP(878,Sprachindex!$A:$Z,Info!$O$7,FALSE)</f>
        <v>Stk.</v>
      </c>
      <c r="C51" s="78"/>
      <c r="D51" s="78">
        <f>IF($O$9=1,BC51,BB51)</f>
        <v>0</v>
      </c>
      <c r="E51" s="561" t="str">
        <f>VLOOKUP(408,Sprachindex!$A:$Z,Info!$O$7,FALSE)</f>
        <v>Froschmaulluke (stucco) für Dachschindel 420 × 240 mm Lüftungsquerschnitt: ca. 30 cm²</v>
      </c>
      <c r="F51" s="562"/>
      <c r="G51" s="562"/>
      <c r="H51" s="562"/>
      <c r="I51" s="562"/>
      <c r="J51" s="562"/>
      <c r="K51" s="563"/>
      <c r="L51" s="79" t="str">
        <f t="shared" si="1"/>
        <v/>
      </c>
      <c r="M51" s="433" t="str">
        <f t="shared" si="0"/>
        <v>Stk.</v>
      </c>
      <c r="N51" s="80"/>
      <c r="O51" s="202" t="str">
        <f>IF(ISNUMBER(A51),$L51*R51, "")</f>
        <v/>
      </c>
      <c r="R51" s="200">
        <v>43.71</v>
      </c>
      <c r="AC51" s="1"/>
      <c r="AD51" s="149">
        <f>ROUNDUP($A51/15,0)*15</f>
        <v>0</v>
      </c>
      <c r="AE51" s="149">
        <f t="shared" si="6"/>
        <v>0</v>
      </c>
      <c r="AH51" s="470">
        <v>110130</v>
      </c>
      <c r="AI51" s="470">
        <v>110131</v>
      </c>
      <c r="AJ51" s="470">
        <v>110132</v>
      </c>
      <c r="AK51" s="470">
        <v>110133</v>
      </c>
      <c r="AL51" s="470">
        <v>110134</v>
      </c>
      <c r="AM51" s="470">
        <v>110135</v>
      </c>
      <c r="AN51" s="470">
        <v>110136</v>
      </c>
      <c r="AO51" s="470">
        <v>110137</v>
      </c>
      <c r="AP51" s="470">
        <v>110138</v>
      </c>
      <c r="AQ51" s="470"/>
      <c r="AR51" s="469">
        <v>110140</v>
      </c>
      <c r="AS51" s="469">
        <v>110141</v>
      </c>
      <c r="AT51" s="469">
        <v>110142</v>
      </c>
      <c r="AU51" s="469">
        <v>110143</v>
      </c>
      <c r="AV51" s="469">
        <v>110144</v>
      </c>
      <c r="AW51" s="469">
        <v>110145</v>
      </c>
      <c r="AX51" s="469">
        <v>110146</v>
      </c>
      <c r="AY51" s="469">
        <v>110147</v>
      </c>
      <c r="AZ51" s="469">
        <v>110148</v>
      </c>
      <c r="BA51" s="469">
        <v>110149</v>
      </c>
      <c r="BB51" s="468">
        <f t="shared" ref="BB51" si="7">IF($O$21=1,AH51,IF($O$21=4,AI51,IF($O$21=5,AJ51,IF($O$21=11,AK51,IF($O$21=7,AL51,IF($O$21=3,AM51,IF($O$21=6,AN51,IF($O$21=9,AO51,IF($O$21=2,AP51,IF($O$21=8,AQ51,0))))))))))</f>
        <v>0</v>
      </c>
      <c r="BC51" s="468">
        <f t="shared" ref="BC51" si="8">IF($O$21=1,AR51,IF($O$21=4,AS51,IF($O$21=5,AT51,IF($O$21=11,AU51,IF($O$21=7,AV51,IF($O$21=3,AW51,IF($O$21=6,AX51,IF($O$21=9,AY51,IF($O$21=2,AZ51,IF($O$21=8,BA51,0))))))))))</f>
        <v>0</v>
      </c>
    </row>
    <row r="52" spans="1:474" ht="32.1" customHeight="1">
      <c r="A52" s="98"/>
      <c r="B52" s="79" t="str">
        <f>VLOOKUP(878,Sprachindex!$A:$Z,Info!$O$7,FALSE)</f>
        <v>Stk.</v>
      </c>
      <c r="C52" s="78"/>
      <c r="D52" s="78">
        <v>545106</v>
      </c>
      <c r="E52" s="588" t="str">
        <f>VLOOKUP(1874,Sprachindex!$A:$Z,Info!$O$7,FALSE)</f>
        <v>Einfassung Vario, 120-600 mm, stucco</v>
      </c>
      <c r="F52" s="589"/>
      <c r="G52" s="589"/>
      <c r="H52" s="589"/>
      <c r="I52" s="589"/>
      <c r="J52" s="589"/>
      <c r="K52" s="590"/>
      <c r="L52" s="79" t="str">
        <f t="shared" si="1"/>
        <v/>
      </c>
      <c r="M52" s="433" t="str">
        <f t="shared" si="0"/>
        <v>Stk.</v>
      </c>
      <c r="N52" s="80"/>
      <c r="O52" s="202" t="str">
        <f>IF(ISNUMBER(A52),$L52*R52, "")</f>
        <v/>
      </c>
      <c r="R52" s="200"/>
      <c r="AC52" s="1"/>
      <c r="AD52" s="149">
        <f>ROUNDUP($A52,0)</f>
        <v>0</v>
      </c>
      <c r="AE52" s="149">
        <f t="shared" si="6"/>
        <v>0</v>
      </c>
    </row>
    <row r="53" spans="1:474" ht="32.1" customHeight="1">
      <c r="A53" s="98"/>
      <c r="B53" s="79" t="str">
        <f>VLOOKUP(878,Sprachindex!$A:$Z,Info!$O$7,FALSE)</f>
        <v>Stk.</v>
      </c>
      <c r="C53" s="78"/>
      <c r="D53" s="78">
        <v>545106</v>
      </c>
      <c r="E53" s="588" t="str">
        <f>VLOOKUP(1875,Sprachindex!$A:$Z,Info!$O$7,FALSE)</f>
        <v>Einfassung Vario, 600-1.020 mm, stucco</v>
      </c>
      <c r="F53" s="589"/>
      <c r="G53" s="589"/>
      <c r="H53" s="589"/>
      <c r="I53" s="589"/>
      <c r="J53" s="589"/>
      <c r="K53" s="590"/>
      <c r="L53" s="79" t="str">
        <f t="shared" si="1"/>
        <v/>
      </c>
      <c r="M53" s="433" t="str">
        <f t="shared" si="0"/>
        <v>Stk.</v>
      </c>
      <c r="N53" s="80"/>
      <c r="O53" s="202" t="str">
        <f>IF(ISNUMBER(A53),$L53*R53, "")</f>
        <v/>
      </c>
      <c r="R53" s="200"/>
      <c r="AC53" s="1"/>
      <c r="AD53" s="149">
        <f>ROUNDUP($A53,0)</f>
        <v>0</v>
      </c>
      <c r="AE53" s="149">
        <f t="shared" si="6"/>
        <v>0</v>
      </c>
    </row>
    <row r="54" spans="1:474" ht="32.1" customHeight="1">
      <c r="A54" s="98"/>
      <c r="B54" s="79" t="str">
        <f>VLOOKUP(878,Sprachindex!$A:$Z,Info!$O$7,FALSE)</f>
        <v>Stk.</v>
      </c>
      <c r="C54" s="78"/>
      <c r="D54" s="78">
        <f>IF($O$9=1,BC54,BB54)</f>
        <v>0</v>
      </c>
      <c r="E54" s="588" t="str">
        <f>VLOOKUP(254,Sprachindex!$A:$Z,Info!$O$7,FALSE)</f>
        <v>Dachluke (600 × 600 mm); komplett mit Holzrahmen</v>
      </c>
      <c r="F54" s="589"/>
      <c r="G54" s="589"/>
      <c r="H54" s="589"/>
      <c r="I54" s="589"/>
      <c r="J54" s="589"/>
      <c r="K54" s="590"/>
      <c r="L54" s="79" t="str">
        <f t="shared" si="1"/>
        <v/>
      </c>
      <c r="M54" s="433" t="str">
        <f t="shared" si="0"/>
        <v>Stk.</v>
      </c>
      <c r="N54" s="80"/>
      <c r="O54" s="202" t="str">
        <f>IF(ISNUMBER(A54),$L54*R54, "")</f>
        <v/>
      </c>
      <c r="R54" s="200">
        <v>247.5</v>
      </c>
      <c r="AC54" s="1"/>
      <c r="AD54" s="149">
        <f t="shared" ref="AD54:AD63" si="9">ROUNDUP($A54,0)</f>
        <v>0</v>
      </c>
      <c r="AE54" s="149">
        <f t="shared" si="6"/>
        <v>0</v>
      </c>
      <c r="AH54" s="470">
        <v>110020</v>
      </c>
      <c r="AI54" s="470">
        <v>110021</v>
      </c>
      <c r="AJ54" s="470">
        <v>110022</v>
      </c>
      <c r="AK54" s="470">
        <v>110023</v>
      </c>
      <c r="AL54" s="470">
        <v>110024</v>
      </c>
      <c r="AM54" s="470">
        <v>110025</v>
      </c>
      <c r="AN54" s="470">
        <v>110026</v>
      </c>
      <c r="AO54" s="470">
        <v>110027</v>
      </c>
      <c r="AP54" s="470">
        <v>110028</v>
      </c>
      <c r="AQ54" s="470"/>
      <c r="AR54" s="469">
        <v>110030</v>
      </c>
      <c r="AS54" s="469">
        <v>110031</v>
      </c>
      <c r="AT54" s="469">
        <v>110032</v>
      </c>
      <c r="AU54" s="469">
        <v>110033</v>
      </c>
      <c r="AV54" s="469">
        <v>110034</v>
      </c>
      <c r="AW54" s="469">
        <v>110035</v>
      </c>
      <c r="AX54" s="469">
        <v>110036</v>
      </c>
      <c r="AY54" s="469">
        <v>110037</v>
      </c>
      <c r="AZ54" s="469">
        <v>110038</v>
      </c>
      <c r="BA54" s="469">
        <v>110039</v>
      </c>
      <c r="BB54" s="468">
        <f t="shared" ref="BB54" si="10">IF($O$21=1,AH54,IF($O$21=4,AI54,IF($O$21=5,AJ54,IF($O$21=11,AK54,IF($O$21=7,AL54,IF($O$21=3,AM54,IF($O$21=6,AN54,IF($O$21=9,AO54,IF($O$21=2,AP54,IF($O$21=8,AQ54,0))))))))))</f>
        <v>0</v>
      </c>
      <c r="BC54" s="468">
        <f t="shared" ref="BC54" si="11">IF($O$21=1,AR54,IF($O$21=4,AS54,IF($O$21=5,AT54,IF($O$21=11,AU54,IF($O$21=7,AV54,IF($O$21=3,AW54,IF($O$21=6,AX54,IF($O$21=9,AY54,IF($O$21=2,AZ54,IF($O$21=8,BA54,0))))))))))</f>
        <v>0</v>
      </c>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98"/>
      <c r="B55" s="79" t="str">
        <f>VLOOKUP(878,Sprachindex!$A:$Z,Info!$O$7,FALSE)</f>
        <v>Stk.</v>
      </c>
      <c r="C55" s="78"/>
      <c r="D55" s="78">
        <f>IF(Info!V7=2,'Velux DE Artikelnummern'!C29,Q55)</f>
        <v>0</v>
      </c>
      <c r="E55" s="561" t="str">
        <f>VLOOKUP(324,Sprachindex!$A:$Z,Info!$O$7,FALSE)</f>
        <v>Einfassung für Velux-Dachflächenfenster (stucco)</v>
      </c>
      <c r="F55" s="562"/>
      <c r="G55" s="562"/>
      <c r="H55" s="562"/>
      <c r="I55" s="84" t="str">
        <f>VLOOKUP(591,Sprachindex!$A:$Z,Info!$O$7,FALSE)</f>
        <v>Maße:</v>
      </c>
      <c r="J55" s="572"/>
      <c r="K55" s="574"/>
      <c r="L55" s="79" t="str">
        <f>IF($A55=0,"",IF($J55=Formeln!$A$30," ",IF($O$11=1,AD55,AE55)))</f>
        <v/>
      </c>
      <c r="M55" s="433" t="str">
        <f t="shared" si="0"/>
        <v>Stk.</v>
      </c>
      <c r="N55" s="80"/>
      <c r="O55" s="202" t="str">
        <f>IF(ISNUMBER(L55),IF(OR(J55=Formeln!A30,J55=Formeln!A31,J55=Formeln!A32),R55,IF(OR(J55=Formeln!A33,J55=Formeln!A34,J55=Formeln!A35),S55,IF(OR(J55=Formeln!A36,J55=Formeln!A37,J55=Formeln!A38),T55,IF(OR(J55=Formeln!A39,J55=Formeln!A40),U55,IF(OR(J55=Formeln!A41,J55=Formeln!A42,J55=Formeln!A43),V55,IF(OR(J55=Formeln!A44),W55,IF(OR(J55=Formeln!A45,J55=Formeln!A46),X55,IF(OR(J55=Formeln!A47),Y55,IF(OR(J55=Formeln!A48,J55=Formeln!A49),Z55,IF(OR(J55=Formeln!A50),AA55,0)))))))))), "")</f>
        <v/>
      </c>
      <c r="Q55" s="1">
        <f>IF(J55=Formeln!$A$31,BB55,IF(J55=Formeln!$A$32,BW55,IF(J55=Formeln!$A$33,CR55,IF(J55=Formeln!$A$34,DM55,IF(J55=Formeln!$A$35,EH55,IF(J55=Formeln!$A$36,FC55,IF(J55=Formeln!$A$37,FX55,IF(J55=Formeln!$A$38,GS55,IF(J55=Formeln!$A$39,HN55,IF(J55=Formeln!$A$40,II55,IF(J55=Formeln!$A$41,JD55,IF(J55=Formeln!$A$42,JY55,IF(J55=Formeln!$A$43,KT55,IF(J55=Formeln!$A$44,LO55,IF(J55=Formeln!$A$45,MJ55,IF(J55=Formeln!$A$46,NE55,IF(J55=Formeln!$A$47,NZ55,IF(J55=Formeln!$A$48,OU55,IF(J55=Formeln!$A$49,PP55,IF(J55=Formeln!$A$50,QK55,IF(J55=Formeln!$A$51,RF55,0)))))))))))))))))))))</f>
        <v>0</v>
      </c>
      <c r="R55" s="200">
        <v>264.7</v>
      </c>
      <c r="S55" s="200">
        <v>271.8</v>
      </c>
      <c r="T55" s="200">
        <v>272.3</v>
      </c>
      <c r="U55" s="200">
        <v>285.8</v>
      </c>
      <c r="V55" s="200">
        <v>328.1</v>
      </c>
      <c r="W55" s="200">
        <v>335.1</v>
      </c>
      <c r="X55" s="200">
        <v>335.1</v>
      </c>
      <c r="Y55" s="200">
        <v>335.1</v>
      </c>
      <c r="Z55" s="200">
        <v>337.4</v>
      </c>
      <c r="AA55" s="200">
        <v>337.4</v>
      </c>
      <c r="AC55" s="1"/>
      <c r="AD55" s="149">
        <f t="shared" si="9"/>
        <v>0</v>
      </c>
      <c r="AE55" s="149">
        <f t="shared" si="6"/>
        <v>0</v>
      </c>
      <c r="AH55" s="44"/>
      <c r="AI55" s="44"/>
      <c r="AJ55" s="44"/>
      <c r="AK55" s="44"/>
      <c r="AL55" s="44"/>
      <c r="AM55" s="44"/>
      <c r="AN55" s="44"/>
      <c r="AO55" s="44"/>
      <c r="AP55" s="44"/>
      <c r="AQ55" s="44"/>
      <c r="AR55" s="48">
        <v>111100</v>
      </c>
      <c r="AS55" s="48">
        <v>111101</v>
      </c>
      <c r="AT55" s="48">
        <v>111102</v>
      </c>
      <c r="AU55" s="48">
        <v>111103</v>
      </c>
      <c r="AV55" s="48">
        <v>111104</v>
      </c>
      <c r="AW55" s="48">
        <v>111105</v>
      </c>
      <c r="AX55" s="48">
        <v>111106</v>
      </c>
      <c r="AY55" s="48">
        <v>111107</v>
      </c>
      <c r="AZ55" s="48">
        <v>111108</v>
      </c>
      <c r="BA55" s="174">
        <v>111109</v>
      </c>
      <c r="BB55" s="50">
        <f>IF(AND($O$9=2,$O$21=1),AH55,IF(AND($O$9=2,$O$21=4),AI55,IF(AND($O$9=2,$O$21=5),AJ55,IF(AND($O$9=2,$O$21=11),AK55,IF(AND($O$9=2,$O$21=7),AL55,IF(AND($O$9=2,$O$21=3),AM55,IF(AND($O$9=2,$O$21=6),AN55,IF(AND($O$9=2,$O$21=9),AO55,IF(AND($O$9=2,$O$21=2),AP55,IF(AND($O$9=2,$O$21=8),AQ55,IF(AND($O$9=1,$O$21=1),AR55,IF(AND($O$9=1,$O$21=1),AR55,IF(AND($O$9=1,$O$21=4),AS55,IF(AND($O$9=1,$O$21=5),AT55,IF(AND($O$9=1,$O$21=11),AU55,IF(AND($O$9=1,$O$21=7),AV55,IF(AND($O$9=1,$O$21=3),AW55,IF(AND($O$9=1,$O$21=6),AX55,IF(AND($O$9=1,$O$21=9),AY55,IF(AND($O$9=1,$O$21=2),AZ55,IF(AND($O$9=1,$O$21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74">
        <v>111109</v>
      </c>
      <c r="BW55" s="50">
        <f>IF(AND($O$9=2,$O$21=1),BC55,IF(AND($O$9=2,$O$21=4),BD55,IF(AND($O$9=2,$O$21=5),BE55,IF(AND($O$9=2,$O$21=11),BF55,IF(AND($O$9=2,$O$21=7),BG55,IF(AND($O$9=2,$O$21=3),BH55,IF(AND($O$9=2,$O$21=6),BI55,IF(AND($O$9=2,$O$21=9),BJ55,IF(AND($O$9=2,$O$21=2),BK55,IF(AND($O$9=2,$O$21=8),BL55,IF(AND($O$9=1,$O$21=1),BM55,IF(AND($O$9=1,$O$21=1),BM55,IF(AND($O$9=1,$O$21=4),BN55,IF(AND($O$9=1,$O$21=5),BO55,IF(AND($O$9=1,$O$21=11),BP55,IF(AND($O$9=1,$O$21=7),BQ55,IF(AND($O$9=1,$O$21=3),BR55,IF(AND($O$9=1,$O$21=6),BS55,IF(AND($O$9=1,$O$21=9),BT55,IF(AND($O$9=1,$O$21=2),BU55,IF(AND($O$9=1,$O$21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74">
        <v>111109</v>
      </c>
      <c r="CR55" s="50">
        <f>IF(AND($O$9=2,$O$21=1),BX55,IF(AND($O$9=2,$O$21=4),BY55,IF(AND($O$9=2,$O$21=5),BZ55,IF(AND($O$9=2,$O$21=11),CA55,IF(AND($O$9=2,$O$21=7),CB55,IF(AND($O$9=2,$O$21=3),CC55,IF(AND($O$9=2,$O$21=6),CD55,IF(AND($O$9=2,$O$21=9),CE55,IF(AND($O$9=2,$O$21=2),CF55,IF(AND($O$9=2,$O$21=8),CG55,IF(AND($O$9=1,$O$21=1),CH55,IF(AND($O$9=1,$O$21=1),CH55,IF(AND($O$9=1,$O$21=4),CI55,IF(AND($O$9=1,$O$21=5),CJ55,IF(AND($O$9=1,$O$21=11),CK55,IF(AND($O$9=1,$O$21=7),CL55,IF(AND($O$9=1,$O$21=3),CM55,IF(AND($O$9=1,$O$21=6),CN55,IF(AND($O$9=1,$O$21=9),CO55,IF(AND($O$9=1,$O$21=2),CP55,IF(AND($O$9=1,$O$21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74">
        <v>111129</v>
      </c>
      <c r="DM55" s="50">
        <f>IF(AND($O$9=2,$O$21=1),CS55,IF(AND($O$9=2,$O$21=4),CT55,IF(AND($O$9=2,$O$21=5),CU55,IF(AND($O$9=2,$O$21=11),CV55,IF(AND($O$9=2,$O$21=7),CW55,IF(AND($O$9=2,$O$21=3),CX55,IF(AND($O$9=2,$O$21=6),CY55,IF(AND($O$9=2,$O$21=9),CZ55,IF(AND($O$9=2,$O$21=2),DA55,IF(AND($O$9=2,$O$21=8),DB55,IF(AND($O$9=1,$O$21=1),DC55,IF(AND($O$9=1,$O$21=1),DC55,IF(AND($O$9=1,$O$21=4),DD55,IF(AND($O$9=1,$O$21=5),DE55,IF(AND($O$9=1,$O$21=11),DF55,IF(AND($O$9=1,$O$21=7),DG55,IF(AND($O$9=1,$O$21=3),DH55,IF(AND($O$9=1,$O$21=6),DI55,IF(AND($O$9=1,$O$21=9),DJ55,IF(AND($O$9=1,$O$21=2),DK55,IF(AND($O$9=1,$O$21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74">
        <v>111129</v>
      </c>
      <c r="EH55" s="50">
        <f>IF(AND($O$9=2,$O$21=1),DN55,IF(AND($O$9=2,$O$21=4),DO55,IF(AND($O$9=2,$O$21=5),DP55,IF(AND($O$9=2,$O$21=11),DQ55,IF(AND($O$9=2,$O$21=7),DR55,IF(AND($O$9=2,$O$21=3),DS55,IF(AND($O$9=2,$O$21=6),DT55,IF(AND($O$9=2,$O$21=9),DU55,IF(AND($O$9=2,$O$21=2),DV55,IF(AND($O$9=2,$O$21=8),DW55,IF(AND($O$9=1,$O$21=1),DX55,IF(AND($O$9=1,$O$21=1),DX55,IF(AND($O$9=1,$O$21=4),DY55,IF(AND($O$9=1,$O$21=5),DZ55,IF(AND($O$9=1,$O$21=11),EA55,IF(AND($O$9=1,$O$21=7),EB55,IF(AND($O$9=1,$O$21=3),EC55,IF(AND($O$9=1,$O$21=6),ED55,IF(AND($O$9=1,$O$21=9),EE55,IF(AND($O$9=1,$O$21=2),EF55,IF(AND($O$9=1,$O$21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74">
        <v>111129</v>
      </c>
      <c r="FC55" s="50">
        <f>IF(AND($O$9=2,$O$21=1),EI55,IF(AND($O$9=2,$O$21=4),EJ55,IF(AND($O$9=2,$O$21=5),EK55,IF(AND($O$9=2,$O$21=11),EL55,IF(AND($O$9=2,$O$21=7),EM55,IF(AND($O$9=2,$O$21=3),EN55,IF(AND($O$9=2,$O$21=6),EO55,IF(AND($O$9=2,$O$21=9),EP55,IF(AND($O$9=2,$O$21=2),EQ55,IF(AND($O$9=2,$O$21=8),ER55,IF(AND($O$9=1,$O$21=1),ES55,IF(AND($O$9=1,$O$21=1),ES55,IF(AND($O$9=1,$O$21=4),ET55,IF(AND($O$9=1,$O$21=5),EU55,IF(AND($O$9=1,$O$21=11),EV55,IF(AND($O$9=1,$O$21=7),EW55,IF(AND($O$9=1,$O$21=3),EX55,IF(AND($O$9=1,$O$21=6),EY55,IF(AND($O$9=1,$O$21=9),EZ55,IF(AND($O$9=1,$O$21=2),FA55,IF(AND($O$9=1,$O$21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74">
        <v>111169</v>
      </c>
      <c r="FX55" s="50">
        <f>IF(AND($O$9=2,$O$21=1),FD55,IF(AND($O$9=2,$O$21=4),FE55,IF(AND($O$9=2,$O$21=5),FF55,IF(AND($O$9=2,$O$21=11),FG55,IF(AND($O$9=2,$O$21=7),FH55,IF(AND($O$9=2,$O$21=3),FI55,IF(AND($O$9=2,$O$21=6),FJ55,IF(AND($O$9=2,$O$21=9),FK55,IF(AND($O$9=2,$O$21=2),FL55,IF(AND($O$9=2,$O$21=8),FM55,IF(AND($O$9=1,$O$21=1),FN55,IF(AND($O$9=1,$O$21=1),FN55,IF(AND($O$9=1,$O$21=4),FO55,IF(AND($O$9=1,$O$21=5),FP55,IF(AND($O$9=1,$O$21=11),FQ55,IF(AND($O$9=1,$O$21=7),FR55,IF(AND($O$9=1,$O$21=3),FS55,IF(AND($O$9=1,$O$21=6),FT55,IF(AND($O$9=1,$O$21=9),FU55,IF(AND($O$9=1,$O$21=2),FV55,IF(AND($O$9=1,$O$21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74">
        <v>111169</v>
      </c>
      <c r="GS55" s="50">
        <f>IF(AND($O$9=2,$O$21=1),FY55,IF(AND($O$9=2,$O$21=4),FZ55,IF(AND($O$9=2,$O$21=5),GA55,IF(AND($O$9=2,$O$21=11),GB55,IF(AND($O$9=2,$O$21=7),GC55,IF(AND($O$9=2,$O$21=3),GD55,IF(AND($O$9=2,$O$21=6),GE55,IF(AND($O$9=2,$O$21=9),GF55,IF(AND($O$9=2,$O$21=2),GG55,IF(AND($O$9=2,$O$21=8),GH55,IF(AND($O$9=1,$O$21=1),GI55,IF(AND($O$9=1,$O$21=1),GI55,IF(AND($O$9=1,$O$21=4),GJ55,IF(AND($O$9=1,$O$21=5),GK55,IF(AND($O$9=1,$O$21=11),GL55,IF(AND($O$9=1,$O$21=7),GM55,IF(AND($O$9=1,$O$21=3),GN55,IF(AND($O$9=1,$O$21=6),GO55,IF(AND($O$9=1,$O$21=9),GP55,IF(AND($O$9=1,$O$21=2),GQ55,IF(AND($O$9=1,$O$21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75">
        <v>111169</v>
      </c>
      <c r="HN55" s="50">
        <f>IF(AND($O$9=2,$O$21=1),GT55,IF(AND($O$9=2,$O$21=4),GU55,IF(AND($O$9=2,$O$21=5),GV55,IF(AND($O$9=2,$O$21=11),GW55,IF(AND($O$9=2,$O$21=7),GX55,IF(AND($O$9=2,$O$21=3),GY55,IF(AND($O$9=2,$O$21=6),GZ55,IF(AND($O$9=2,$O$21=9),HA55,IF(AND($O$9=2,$O$21=2),HB55,IF(AND($O$9=2,$O$21=8),HC55,IF(AND($O$9=1,$O$21=1),HD55,IF(AND($O$9=1,$O$21=1),HD55,IF(AND($O$9=1,$O$21=4),HE55,IF(AND($O$9=1,$O$21=5),HF55,IF(AND($O$9=1,$O$21=11),HG55,IF(AND($O$9=1,$O$21=7),HH55,IF(AND($O$9=1,$O$21=3),HI55,IF(AND($O$9=1,$O$21=6),HJ55,IF(AND($O$9=1,$O$21=9),HK55,IF(AND($O$9=1,$O$21=2),HL55,IF(AND($O$9=1,$O$21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75">
        <v>111289</v>
      </c>
      <c r="II55" s="50">
        <f>IF(AND($O$9=2,$O$21=1),HO55,IF(AND($O$9=2,$O$21=4),HP55,IF(AND($O$9=2,$O$21=5),HQ55,IF(AND($O$9=2,$O$21=11),HR55,IF(AND($O$9=2,$O$21=7),HS55,IF(AND($O$9=2,$O$21=3),HT55,IF(AND($O$9=2,$O$21=6),HU55,IF(AND($O$9=2,$O$21=9),HV55,IF(AND($O$9=2,$O$21=2),HW55,IF(AND($O$9=2,$O$21=8),HX55,IF(AND($O$9=1,$O$21=1),HY55,IF(AND($O$9=1,$O$21=1),HY55,IF(AND($O$9=1,$O$21=4),HZ55,IF(AND($O$9=1,$O$21=5),IA55,IF(AND($O$9=1,$O$21=11),IB55,IF(AND($O$9=1,$O$21=7),IC55,IF(AND($O$9=1,$O$21=3),ID55,IF(AND($O$9=1,$O$21=6),IE55,IF(AND($O$9=1,$O$21=9),IF55,IF(AND($O$9=1,$O$21=2),IG55,IF(AND($O$9=1,$O$21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75">
        <v>111289</v>
      </c>
      <c r="JD55" s="50">
        <f>IF(AND($O$9=2,$O$21=1),IJ55,IF(AND($O$9=2,$O$21=4),IK55,IF(AND($O$9=2,$O$21=5),IL55,IF(AND($O$9=2,$O$21=11),IM55,IF(AND($O$9=2,$O$21=7),IN55,IF(AND($O$9=2,$O$21=3),IO55,IF(AND($O$9=2,$O$21=6),IP55,IF(AND($O$9=2,$O$21=9),IQ55,IF(AND($O$9=2,$O$21=2),IR55,IF(AND($O$9=2,$O$21=8),IS55,IF(AND($O$9=1,$O$21=1),IT55,IF(AND($O$9=1,$O$21=1),IT55,IF(AND($O$9=1,$O$21=4),IU55,IF(AND($O$9=1,$O$21=5),IV55,IF(AND($O$9=1,$O$21=11),IW55,IF(AND($O$9=1,$O$21=7),IX55,IF(AND($O$9=1,$O$21=3),IY55,IF(AND($O$9=1,$O$21=6),IZ55,IF(AND($O$9=1,$O$21=9),JA55,IF(AND($O$9=1,$O$21=2),JB55,IF(AND($O$9=1,$O$21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75">
        <v>111189</v>
      </c>
      <c r="JY55" s="50">
        <f>IF(AND($O$9=2,$O$21=1),JE55,IF(AND($O$9=2,$O$21=4),JF55,IF(AND($O$9=2,$O$21=5),JG55,IF(AND($O$9=2,$O$21=11),JH55,IF(AND($O$9=2,$O$21=7),JI55,IF(AND($O$9=2,$O$21=3),JJ55,IF(AND($O$9=2,$O$21=6),JK55,IF(AND($O$9=2,$O$21=9),JL55,IF(AND($O$9=2,$O$21=2),JM55,IF(AND($O$9=2,$O$21=8),JN55,IF(AND($O$9=1,$O$21=1),JO55,IF(AND($O$9=1,$O$21=1),JO55,IF(AND($O$9=1,$O$21=4),JP55,IF(AND($O$9=1,$O$21=5),JQ55,IF(AND($O$9=1,$O$21=11),JR55,IF(AND($O$9=1,$O$21=7),JS55,IF(AND($O$9=1,$O$21=3),JT55,IF(AND($O$9=1,$O$21=6),JU55,IF(AND($O$9=1,$O$21=9),JV55,IF(AND($O$9=1,$O$21=2),JW55,IF(AND($O$9=1,$O$21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75">
        <v>111189</v>
      </c>
      <c r="KT55" s="50">
        <f>IF(AND($O$9=2,$O$21=1),JZ55,IF(AND($O$9=2,$O$21=4),KA55,IF(AND($O$9=2,$O$21=5),KB55,IF(AND($O$9=2,$O$21=11),KC55,IF(AND($O$9=2,$O$21=7),KD55,IF(AND($O$9=2,$O$21=3),KE55,IF(AND($O$9=2,$O$21=6),KF55,IF(AND($O$9=2,$O$21=9),KG55,IF(AND($O$9=2,$O$21=2),KH55,IF(AND($O$9=2,$O$21=8),KI55,IF(AND($O$9=1,$O$21=1),KJ55,IF(AND($O$9=1,$O$21=1),KJ55,IF(AND($O$9=1,$O$21=4),KK55,IF(AND($O$9=1,$O$21=5),KL55,IF(AND($O$9=1,$O$21=11),KM55,IF(AND($O$9=1,$O$21=7),KN55,IF(AND($O$9=1,$O$21=3),KO55,IF(AND($O$9=1,$O$21=6),KP55,IF(AND($O$9=1,$O$21=9),KQ55,IF(AND($O$9=1,$O$21=2),KR55,IF(AND($O$9=1,$O$21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75">
        <v>111189</v>
      </c>
      <c r="LO55" s="50">
        <f>IF(AND($O$9=2,$O$21=1),KU55,IF(AND($O$9=2,$O$21=4),KV55,IF(AND($O$9=2,$O$21=5),KW55,IF(AND($O$9=2,$O$21=11),KX55,IF(AND($O$9=2,$O$21=7),KY55,IF(AND($O$9=2,$O$21=3),KZ55,IF(AND($O$9=2,$O$21=6),LA55,IF(AND($O$9=2,$O$21=9),LB55,IF(AND($O$9=2,$O$21=2),LC55,IF(AND($O$9=2,$O$21=8),LD55,IF(AND($O$9=1,$O$21=1),LE55,IF(AND($O$9=1,$O$21=1),LE55,IF(AND($O$9=1,$O$21=4),LF55,IF(AND($O$9=1,$O$21=5),LG55,IF(AND($O$9=1,$O$21=11),LH55,IF(AND($O$9=1,$O$21=7),LI55,IF(AND($O$9=1,$O$21=3),LJ55,IF(AND($O$9=1,$O$21=6),LK55,IF(AND($O$9=1,$O$21=9),LL55,IF(AND($O$9=1,$O$21=2),LM55,IF(AND($O$9=1,$O$21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75">
        <v>111209</v>
      </c>
      <c r="MJ55" s="50">
        <f>IF(AND($O$9=2,$O$21=1),LP55,IF(AND($O$9=2,$O$21=4),LQ55,IF(AND($O$9=2,$O$21=5),LR55,IF(AND($O$9=2,$O$21=11),LS55,IF(AND($O$9=2,$O$21=7),LT55,IF(AND($O$9=2,$O$21=3),LU55,IF(AND($O$9=2,$O$21=6),LV55,IF(AND($O$9=2,$O$21=9),LW55,IF(AND($O$9=2,$O$21=2),LX55,IF(AND($O$9=2,$O$21=8),LY55,IF(AND($O$9=1,$O$21=1),LZ55,IF(AND($O$9=1,$O$21=1),LZ55,IF(AND($O$9=1,$O$21=4),MA55,IF(AND($O$9=1,$O$21=5),MB55,IF(AND($O$9=1,$O$21=11),MC55,IF(AND($O$9=1,$O$21=7),MD55,IF(AND($O$9=1,$O$21=3),ME55,IF(AND($O$9=1,$O$21=6),MF55,IF(AND($O$9=1,$O$21=9),MG55,IF(AND($O$9=1,$O$21=2),MH55,IF(AND($O$9=1,$O$21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75">
        <v>111229</v>
      </c>
      <c r="NE55" s="50">
        <f>IF(AND($O$9=2,$O$21=1),MK55,IF(AND($O$9=2,$O$21=4),ML55,IF(AND($O$9=2,$O$21=5),MM55,IF(AND($O$9=2,$O$21=11),MN55,IF(AND($O$9=2,$O$21=7),MO55,IF(AND($O$9=2,$O$21=3),MP55,IF(AND($O$9=2,$O$21=6),MQ55,IF(AND($O$9=2,$O$21=9),MR55,IF(AND($O$9=2,$O$21=2),MS55,IF(AND($O$9=2,$O$21=8),MT55,IF(AND($O$9=1,$O$21=1),MU55,IF(AND($O$9=1,$O$21=1),MU55,IF(AND($O$9=1,$O$21=4),MV55,IF(AND($O$9=1,$O$21=5),MW55,IF(AND($O$9=1,$O$21=11),MX55,IF(AND($O$9=1,$O$21=7),MY55,IF(AND($O$9=1,$O$21=3),MZ55,IF(AND($O$9=1,$O$21=6),NA55,IF(AND($O$9=1,$O$21=9),NB55,IF(AND($O$9=1,$O$21=2),NC55,IF(AND($O$9=1,$O$21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75">
        <v>111229</v>
      </c>
      <c r="NZ55" s="50">
        <f>IF(AND($O$9=2,$O$21=1),NF55,IF(AND($O$9=2,$O$21=4),NG55,IF(AND($O$9=2,$O$21=5),NH55,IF(AND($O$9=2,$O$21=11),NI55,IF(AND($O$9=2,$O$21=7),NJ55,IF(AND($O$9=2,$O$21=3),NK55,IF(AND($O$9=2,$O$21=6),NL55,IF(AND($O$9=2,$O$21=9),NM55,IF(AND($O$9=2,$O$21=2),NN55,IF(AND($O$9=2,$O$21=8),NO55,IF(AND($O$9=1,$O$21=1),NP55,IF(AND($O$9=1,$O$21=1),NP55,IF(AND($O$9=1,$O$21=4),NQ55,IF(AND($O$9=1,$O$21=5),NR55,IF(AND($O$9=1,$O$21=11),NS55,IF(AND($O$9=1,$O$21=7),NT55,IF(AND($O$9=1,$O$21=3),NU55,IF(AND($O$9=1,$O$21=6),NV55,IF(AND($O$9=1,$O$21=9),NW55,IF(AND($O$9=1,$O$21=2),NX55,IF(AND($O$9=1,$O$21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75">
        <v>111609</v>
      </c>
      <c r="OU55" s="50">
        <f>IF(AND($O$9=2,$O$21=1),OA55,IF(AND($O$9=2,$O$21=4),OB55,IF(AND($O$9=2,$O$21=5),OC55,IF(AND($O$9=2,$O$21=11),OD55,IF(AND($O$9=2,$O$21=7),OE55,IF(AND($O$9=2,$O$21=3),OF55,IF(AND($O$9=2,$O$21=6),OG55,IF(AND($O$9=2,$O$21=9),OH55,IF(AND($O$9=2,$O$21=2),OI55,IF(AND($O$9=2,$O$21=8),OJ55,IF(AND($O$9=1,$O$21=1),OK55,IF(AND($O$9=1,$O$21=1),OK55,IF(AND($O$9=1,$O$21=4),OL55,IF(AND($O$9=1,$O$21=5),OM55,IF(AND($O$9=1,$O$21=11),ON55,IF(AND($O$9=1,$O$21=7),OO55,IF(AND($O$9=1,$O$21=3),OP55,IF(AND($O$9=1,$O$21=6),OQ55,IF(AND($O$9=1,$O$21=9),OR55,IF(AND($O$9=1,$O$21=2),OS55,IF(AND($O$9=1,$O$21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75">
        <v>111249</v>
      </c>
      <c r="PP55" s="50">
        <f>IF(AND($O$9=2,$O$21=1),OV55,IF(AND($O$9=2,$O$21=4),OW55,IF(AND($O$9=2,$O$21=5),OX55,IF(AND($O$9=2,$O$21=11),OY55,IF(AND($O$9=2,$O$21=7),OZ55,IF(AND($O$9=2,$O$21=3),PA55,IF(AND($O$9=2,$O$21=6),PB55,IF(AND($O$9=2,$O$21=9),PC55,IF(AND($O$9=2,$O$21=2),PD55,IF(AND($O$9=2,$O$21=8),PE55,IF(AND($O$9=1,$O$21=1),PF55,IF(AND($O$9=1,$O$21=1),PF55,IF(AND($O$9=1,$O$21=4),PG55,IF(AND($O$9=1,$O$21=5),PH55,IF(AND($O$9=1,$O$21=11),PI55,IF(AND($O$9=1,$O$21=7),PJ55,IF(AND($O$9=1,$O$21=3),PK55,IF(AND($O$9=1,$O$21=6),PL55,IF(AND($O$9=1,$O$21=9),PM55,IF(AND($O$9=1,$O$21=2),PN55,IF(AND($O$9=1,$O$21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75">
        <v>111249</v>
      </c>
      <c r="QK55" s="50">
        <f>IF(AND($O$9=2,$O$21=1),PQ55,IF(AND($O$9=2,$O$21=4),PR55,IF(AND($O$9=2,$O$21=5),PS55,IF(AND($O$9=2,$O$21=11),PT55,IF(AND($O$9=2,$O$21=7),PU55,IF(AND($O$9=2,$O$21=3),PV55,IF(AND($O$9=2,$O$21=6),PW55,IF(AND($O$9=2,$O$21=9),PX55,IF(AND($O$9=2,$O$21=2),PY55,IF(AND($O$9=2,$O$21=8),PZ55,IF(AND($O$9=1,$O$21=1),QA55,IF(AND($O$9=1,$O$21=1),QA55,IF(AND($O$9=1,$O$21=4),QB55,IF(AND($O$9=1,$O$21=5),QC55,IF(AND($O$9=1,$O$21=11),QD55,IF(AND($O$9=1,$O$21=7),QE55,IF(AND($O$9=1,$O$21=3),QF55,IF(AND($O$9=1,$O$21=6),QG55,IF(AND($O$9=1,$O$21=9),QH55,IF(AND($O$9=1,$O$21=2),QI55,IF(AND($O$9=1,$O$21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75">
        <v>111629</v>
      </c>
      <c r="RF55" s="50">
        <f>IF(AND($O$9=2,$O$21=1),QL55,IF(AND($O$9=2,$O$21=4),QM55,IF(AND($O$9=2,$O$21=5),QN55,IF(AND($O$9=2,$O$21=11),QO55,IF(AND($O$9=2,$O$21=7),QP55,IF(AND($O$9=2,$O$21=3),QQ55,IF(AND($O$9=2,$O$21=6),QR55,IF(AND($O$9=2,$O$21=9),QS55,IF(AND($O$9=2,$O$21=2),QT55,IF(AND($O$9=2,$O$21=8),QU55,IF(AND($O$9=1,$O$21=1),QV55,IF(AND($O$9=1,$O$21=1),QV55,IF(AND($O$9=1,$O$21=4),QW55,IF(AND($O$9=1,$O$21=5),QX55,IF(AND($O$9=1,$O$21=11),QY55,IF(AND($O$9=1,$O$21=7),QZ55,IF(AND($O$9=1,$O$21=3),RA55,IF(AND($O$9=1,$O$21=6),RB55,IF(AND($O$9=1,$O$21=9),RC55,IF(AND($O$9=1,$O$21=2),RD55,IF(AND($O$9=1,$O$21=8),RE55,0)))))))))))))))))))))</f>
        <v>0</v>
      </c>
    </row>
    <row r="56" spans="1:474" ht="32.1" customHeight="1">
      <c r="A56" s="98"/>
      <c r="B56" s="79" t="str">
        <f>VLOOKUP(878,Sprachindex!$A:$Z,Info!$O$7,FALSE)</f>
        <v>Stk.</v>
      </c>
      <c r="C56" s="78"/>
      <c r="D56" s="78">
        <f>IF(OR(J56=Formeln!$A$54,J56=Formeln!$A$55,J56=Formeln!$A$56,J56=Formeln!$A$80,J56=Formeln!$A$81,J56=Formeln!$A$82),BB56,IF(OR(J56=Formeln!$A$57,J56=Formeln!$A$58,J56=Formeln!$A$59,J56=Formeln!$A$83,J56=Formeln!$A$84,J56=Formeln!$A$85),BW56,IF(OR(J56=Formeln!$A$60,J56=Formeln!$A$61,J56=Formeln!$A$62,J56=Formeln!$A$86,J56=Formeln!$A$87,J56=Formeln!$A$88),CR56,IF(OR(J56=Formeln!$A$63,J56=Formeln!$A$64,J56=Formeln!$A$89,J56=Formeln!$A$90),DM56,IF(OR(J56=Formeln!$A$65,J56=Formeln!$A$66,J56=Formeln!$A$67,J56=Formeln!$A$91,J56=Formeln!$A$92,J56=Formeln!$A$93),EH56,IF(OR(J56=Formeln!$A$68,J56=Formeln!$A$69,J56=Formeln!$A$94,J56=Formeln!$A$95),FC56,IF(OR(J56=Formeln!$A$70,J56=Formeln!$A$71,J56=Formeln!$A$72,J56=Formeln!$A$73,J56=Formeln!$A$74,J56=Formeln!$A$96,J56=Formeln!$A$97,J56=Formeln!$A$98,J56=Formeln!$A$99,J56=Formeln!$A$100),FX56,IF(OR(J56=Formeln!$A$75,J56=Formeln!$A$76,J56=Formeln!$A$77,J56=Formeln!$A$101,J56=Formeln!$A$102,J56=Formeln!$A$103),GS56,0))))))))</f>
        <v>0</v>
      </c>
      <c r="E56" s="561" t="str">
        <f>VLOOKUP(321,Sprachindex!$A:$Z,Info!$O$7,FALSE)</f>
        <v>Einfassung für Roto-Dachflächenfenster (stucco)</v>
      </c>
      <c r="F56" s="562"/>
      <c r="G56" s="562"/>
      <c r="H56" s="562"/>
      <c r="I56" s="84" t="str">
        <f>VLOOKUP(591,Sprachindex!$A:$Z,Info!$O$7,FALSE)</f>
        <v>Maße:</v>
      </c>
      <c r="J56" s="572"/>
      <c r="K56" s="574"/>
      <c r="L56" s="79" t="str">
        <f>IF($A56=0,"",IF($J56=Formeln!$A$52," ",IF($O$11=1,AD56,AE56)))</f>
        <v/>
      </c>
      <c r="M56" s="433" t="str">
        <f t="shared" si="0"/>
        <v>Stk.</v>
      </c>
      <c r="N56" s="80"/>
      <c r="O56" s="202" t="str">
        <f>IF(ISNUMBER(L56),IF(OR(J56=Formeln!A53,J56=Formeln!A54,J56=Formeln!A55,J56=Formeln!A79,J56=Formeln!A80,J56=Formeln!A81),R56,IF(OR(J56=Formeln!A56,J56=Formeln!A57,J56=Formeln!A58,J56=Formeln!A82,J56=Formeln!A83,J56=Formeln!A84),S56,IF(OR(J56=Formeln!A59,J56=Formeln!A60,J56=Formeln!A61,J56=Formeln!A85,J56=Formeln!A86,J56=Formeln!A87),T56,IF(OR(J56=Formeln!A62,J56=Formeln!A63,J56=Formeln!A88,J56=Formeln!A89),U56,IF(OR(J56=Formeln!A64,J56=Formeln!A65,J56=Formeln!A66,J56=Formeln!A90,J56=Formeln!A91,J56=Formeln!A92),V56,IF(OR(J56=Formeln!A67,J56=Formeln!A68,J56=Formeln!A93,J56=Formeln!A94),W56,IF(OR(J56=Formeln!A69,J56=Formeln!A70,J56=Formeln!A71,J56=Formeln!A72,J56=Formeln!A73,J56=Formeln!A95,J56=Formeln!A96,J56=Formeln!A97,J56=Formeln!A98,J56=Formeln!A99),X56,IF(OR(J56=Formeln!A74,J56=Formeln!A75,J56=Formeln!A76,J56=Formeln!A100,J56=Formeln!A101,J56=Formeln!A102),Y56,0)))))))), "")</f>
        <v/>
      </c>
      <c r="R56" s="200">
        <v>264.7</v>
      </c>
      <c r="S56" s="200">
        <v>271.8</v>
      </c>
      <c r="T56" s="200">
        <v>271.8</v>
      </c>
      <c r="U56" s="200">
        <v>285.8</v>
      </c>
      <c r="V56" s="200">
        <v>328.1</v>
      </c>
      <c r="W56" s="200">
        <v>335.1</v>
      </c>
      <c r="X56" s="200">
        <v>335.1</v>
      </c>
      <c r="Y56" s="200">
        <v>337.4</v>
      </c>
      <c r="Z56" s="195"/>
      <c r="AA56" s="195"/>
      <c r="AC56" s="1"/>
      <c r="AD56" s="149">
        <f t="shared" si="9"/>
        <v>0</v>
      </c>
      <c r="AE56" s="149">
        <f t="shared" si="6"/>
        <v>0</v>
      </c>
      <c r="AH56" s="44"/>
      <c r="AI56" s="44"/>
      <c r="AJ56" s="44"/>
      <c r="AK56" s="44"/>
      <c r="AL56" s="44"/>
      <c r="AM56" s="44"/>
      <c r="AN56" s="44"/>
      <c r="AO56" s="44"/>
      <c r="AP56" s="44"/>
      <c r="AQ56" s="44"/>
      <c r="AR56" s="44">
        <v>111300</v>
      </c>
      <c r="AS56" s="44">
        <v>111301</v>
      </c>
      <c r="AT56" s="44">
        <v>111302</v>
      </c>
      <c r="AU56" s="44">
        <v>111303</v>
      </c>
      <c r="AV56" s="44">
        <v>111304</v>
      </c>
      <c r="AW56" s="44">
        <v>111305</v>
      </c>
      <c r="AX56" s="44">
        <v>111306</v>
      </c>
      <c r="AY56" s="44">
        <v>111307</v>
      </c>
      <c r="AZ56" s="44">
        <v>111308</v>
      </c>
      <c r="BA56" s="174">
        <v>111309</v>
      </c>
      <c r="BB56" s="50">
        <f>IF(AND($O$9=2,$O$21=1),AH56,IF(AND($O$9=2,$O$21=4),AI56,IF(AND($O$9=2,$O$21=5),AJ56,IF(AND($O$9=2,$O$21=11),AK56,IF(AND($O$9=2,$O$21=7),AL56,IF(AND($O$9=2,$O$21=3),AM56,IF(AND($O$9=2,$O$21=6),AN56,IF(AND($O$9=2,$O$21=9),AO56,IF(AND($O$9=2,$O$21=2),AP56,IF(AND($O$9=2,$O$21=8),AQ56,IF(AND($O$9=1,$O$21=1),AR56,IF(AND($O$9=1,$O$21=1),AR56,IF(AND($O$9=1,$O$21=4),AS56,IF(AND($O$9=1,$O$21=5),AT56,IF(AND($O$9=1,$O$21=11),AU56,IF(AND($O$9=1,$O$21=7),AV56,IF(AND($O$9=1,$O$21=3),AW56,IF(AND($O$9=1,$O$21=6),AX56,IF(AND($O$9=1,$O$21=9),AY56,IF(AND($O$9=1,$O$21=2),AZ56,IF(AND($O$9=1,$O$21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74">
        <v>111329</v>
      </c>
      <c r="BW56" s="50">
        <f>IF(AND($O$9=2,$O$21=1),BC56,IF(AND($O$9=2,$O$21=4),BD56,IF(AND($O$9=2,$O$21=5),BE56,IF(AND($O$9=2,$O$21=11),BF56,IF(AND($O$9=2,$O$21=7),BG56,IF(AND($O$9=2,$O$21=3),BH56,IF(AND($O$9=2,$O$21=6),BI56,IF(AND($O$9=2,$O$21=9),BJ56,IF(AND($O$9=2,$O$21=2),BK56,IF(AND($O$9=2,$O$21=8),BL56,IF(AND($O$9=1,$O$21=1),BM56,IF(AND($O$9=1,$O$21=1),BM56,IF(AND($O$9=1,$O$21=4),BN56,IF(AND($O$9=1,$O$21=5),BO56,IF(AND($O$9=1,$O$21=11),BP56,IF(AND($O$9=1,$O$21=7),BQ56,IF(AND($O$9=1,$O$21=3),BR56,IF(AND($O$9=1,$O$21=6),BS56,IF(AND($O$9=1,$O$21=9),BT56,IF(AND($O$9=1,$O$21=2),BU56,IF(AND($O$9=1,$O$21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74">
        <v>111349</v>
      </c>
      <c r="CR56" s="50">
        <f>IF(AND($O$9=2,$O$21=1),BX56,IF(AND($O$9=2,$O$21=4),BY56,IF(AND($O$9=2,$O$21=5),BZ56,IF(AND($O$9=2,$O$21=11),CA56,IF(AND($O$9=2,$O$21=7),CB56,IF(AND($O$9=2,$O$21=3),CC56,IF(AND($O$9=2,$O$21=6),CD56,IF(AND($O$9=2,$O$21=9),CE56,IF(AND($O$9=2,$O$21=2),CF56,IF(AND($O$9=2,$O$21=8),CG56,IF(AND($O$9=1,$O$21=1),CH56,IF(AND($O$9=1,$O$21=1),CH56,IF(AND($O$9=1,$O$21=4),CI56,IF(AND($O$9=1,$O$21=5),CJ56,IF(AND($O$9=1,$O$21=11),CK56,IF(AND($O$9=1,$O$21=7),CL56,IF(AND($O$9=1,$O$21=3),CM56,IF(AND($O$9=1,$O$21=6),CN56,IF(AND($O$9=1,$O$21=9),CO56,IF(AND($O$9=1,$O$21=2),CP56,IF(AND($O$9=1,$O$21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74">
        <v>111369</v>
      </c>
      <c r="DM56" s="50">
        <f>IF(AND($O$9=2,$O$21=1),BX56,IF(AND($O$9=2,$O$21=4),BY56,IF(AND($O$9=2,$O$21=5),BZ56,IF(AND($O$9=2,$O$21=11),CA56,IF(AND($O$9=2,$O$21=7),CB56,IF(AND($O$9=2,$O$21=3),CC56,IF(AND($O$9=2,$O$21=6),CD56,IF(AND($O$9=2,$O$21=9),CE56,IF(AND($O$9=2,$O$21=2),CF56,IF(AND($O$9=2,$O$21=8),CG56,IF(AND($O$9=1,$O$21=1),DC56,IF(AND($O$9=1,$O$21=1),DC56,IF(AND($O$9=1,$O$21=4),DD56,IF(AND($O$9=1,$O$21=5),DE56,IF(AND($O$9=1,$O$21=11),DF56,IF(AND($O$9=1,$O$21=7),DG56,IF(AND($O$9=1,$O$21=3),DH56,IF(AND($O$9=1,$O$21=6),DI56,IF(AND($O$9=1,$O$21=9),DJ56,IF(AND($O$9=1,$O$21=2),DK56,IF(AND($O$9=1,$O$21=8),DL56,0)))))))))))))))))))))</f>
        <v>0</v>
      </c>
      <c r="DX56" s="44">
        <v>111380</v>
      </c>
      <c r="DY56" s="44">
        <v>111381</v>
      </c>
      <c r="DZ56" s="44">
        <v>111382</v>
      </c>
      <c r="EA56" s="44">
        <v>111383</v>
      </c>
      <c r="EB56" s="44">
        <v>111384</v>
      </c>
      <c r="EC56" s="44">
        <v>111385</v>
      </c>
      <c r="ED56" s="44">
        <v>111386</v>
      </c>
      <c r="EE56" s="44">
        <v>111387</v>
      </c>
      <c r="EF56" s="44">
        <v>111388</v>
      </c>
      <c r="EG56" s="174">
        <v>111389</v>
      </c>
      <c r="EH56" s="50">
        <f>IF(AND($O$9=2,$O$21=1),CS56,IF(AND($O$9=2,$O$21=4),CT56,IF(AND($O$9=2,$O$21=5),CU56,IF(AND($O$9=2,$O$21=11),CV56,IF(AND($O$9=2,$O$21=7),CW56,IF(AND($O$9=2,$O$21=3),CX56,IF(AND($O$9=2,$O$21=6),CY56,IF(AND($O$9=2,$O$21=9),CZ56,IF(AND($O$9=2,$O$21=2),DA56,IF(AND($O$9=2,$O$21=8),DB56,IF(AND($O$9=1,$O$21=1),DX56,IF(AND($O$9=1,$O$21=1),DX56,IF(AND($O$9=1,$O$21=4),DY56,IF(AND($O$9=1,$O$21=5),DZ56,IF(AND($O$9=1,$O$21=11),EA56,IF(AND($O$9=1,$O$21=7),EB56,IF(AND($O$9=1,$O$21=3),EC56,IF(AND($O$9=1,$O$21=6),ED56,IF(AND($O$9=1,$O$21=9),EE56,IF(AND($O$9=1,$O$21=2),EF56,IF(AND($O$9=1,$O$21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74">
        <v>111409</v>
      </c>
      <c r="FC56" s="50">
        <f>IF(AND($O$9=2,$O$21=1),EI56,IF(AND($O$9=2,$O$21=4),EJ56,IF(AND($O$9=2,$O$21=5),EK56,IF(AND($O$9=2,$O$21=11),EL56,IF(AND($O$9=2,$O$21=7),EM56,IF(AND($O$9=2,$O$21=3),EN56,IF(AND($O$9=2,$O$21=6),EO56,IF(AND($O$9=2,$O$21=9),EP56,IF(AND($O$9=2,$O$21=2),EQ56,IF(AND($O$9=2,$O$21=8),ER56,IF(AND($O$9=1,$O$21=1),ES56,IF(AND($O$9=1,$O$21=1),ES56,IF(AND($O$9=1,$O$21=4),ET56,IF(AND($O$9=1,$O$21=5),EU56,IF(AND($O$9=1,$O$21=11),EV56,IF(AND($O$9=1,$O$21=7),EW56,IF(AND($O$9=1,$O$21=3),EX56,IF(AND($O$9=1,$O$21=6),EY56,IF(AND($O$9=1,$O$21=9),EZ56,IF(AND($O$9=1,$O$21=2),FA56,IF(AND($O$9=1,$O$21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74">
        <v>111429</v>
      </c>
      <c r="FX56" s="50">
        <f>IF(AND($O$9=2,$O$21=1),FD56,IF(AND($O$9=2,$O$21=4),FE56,IF(AND($O$9=2,$O$21=5),FF56,IF(AND($O$9=2,$O$21=11),FG56,IF(AND($O$9=2,$O$21=7),FH56,IF(AND($O$9=2,$O$21=3),FI56,IF(AND($O$9=2,$O$21=6),FJ56,IF(AND($O$9=2,$O$21=9),FK56,IF(AND($O$9=2,$O$21=2),FL56,IF(AND($O$9=2,$O$21=8),FM56,IF(AND($O$9=1,$O$21=1),FN56,IF(AND($O$9=1,$O$21=1),FN56,IF(AND($O$9=1,$O$21=4),FO56,IF(AND($O$9=1,$O$21=5),FP56,IF(AND($O$9=1,$O$21=11),FQ56,IF(AND($O$9=1,$O$21=7),FR56,IF(AND($O$9=1,$O$21=3),FS56,IF(AND($O$9=1,$O$21=6),FT56,IF(AND($O$9=1,$O$21=9),FU56,IF(AND($O$9=1,$O$21=2),FV56,IF(AND($O$9=1,$O$21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74">
        <v>111449</v>
      </c>
      <c r="GS56" s="50">
        <f>IF(AND($O$9=2,$O$21=1),FY56,IF(AND($O$9=2,$O$21=4),FZ56,IF(AND($O$9=2,$O$21=5),GA56,IF(AND($O$9=2,$O$21=11),GB56,IF(AND($O$9=2,$O$21=7),GC56,IF(AND($O$9=2,$O$21=3),GD56,IF(AND($O$9=2,$O$21=6),GE56,IF(AND($O$9=2,$O$21=9),GF56,IF(AND($O$9=2,$O$21=2),GG56,IF(AND($O$9=2,$O$21=8),GH56,IF(AND($O$9=1,$O$21=1),GI56,IF(AND($O$9=1,$O$21=1),GI56,IF(AND($O$9=1,$O$21=4),GJ56,IF(AND($O$9=1,$O$21=5),GK56,IF(AND($O$9=1,$O$21=11),GL56,IF(AND($O$9=1,$O$21=7),GM56,IF(AND($O$9=1,$O$21=3),GN56,IF(AND($O$9=1,$O$21=6),GO56,IF(AND($O$9=1,$O$21=9),GP56,IF(AND($O$9=1,$O$21=2),GQ56,IF(AND($O$9=1,$O$21=8),GR56,0)))))))))))))))))))))</f>
        <v>0</v>
      </c>
      <c r="HN56" s="50"/>
      <c r="II56" s="50"/>
      <c r="JD56" s="50"/>
      <c r="JY56" s="50"/>
      <c r="KT56" s="50"/>
      <c r="LO56" s="50"/>
      <c r="MJ56" s="50"/>
      <c r="NE56" s="50"/>
      <c r="NZ56" s="50"/>
      <c r="OU56" s="50"/>
      <c r="PP56" s="50"/>
      <c r="QK56" s="50"/>
      <c r="RF56" s="50"/>
    </row>
    <row r="57" spans="1:474" ht="32.1" customHeight="1">
      <c r="A57" s="98"/>
      <c r="B57" s="79" t="str">
        <f>VLOOKUP(878,Sprachindex!$A:$Z,Info!$O$7,FALSE)</f>
        <v>Stk.</v>
      </c>
      <c r="C57" s="78"/>
      <c r="D57" s="78">
        <v>111700</v>
      </c>
      <c r="E57" s="561" t="str">
        <f>VLOOKUP(322,Sprachindex!$A:$Z,Info!$O$7,FALSE)</f>
        <v>Einfassung für Roto-Q-Serie (stucco)</v>
      </c>
      <c r="F57" s="562"/>
      <c r="G57" s="562"/>
      <c r="H57" s="562"/>
      <c r="I57" s="84" t="str">
        <f>VLOOKUP(591,Sprachindex!$A:$Z,Info!$O$7,FALSE)</f>
        <v>Maße:</v>
      </c>
      <c r="J57" s="572"/>
      <c r="K57" s="574"/>
      <c r="L57" s="79" t="str">
        <f>IF($A57=0,"",IF($J57=Formeln!$A$52," ",IF($O$11=1,AD57,AE57)))</f>
        <v/>
      </c>
      <c r="M57" s="433" t="str">
        <f t="shared" si="0"/>
        <v>Stk.</v>
      </c>
      <c r="N57" s="80"/>
      <c r="O57" s="202" t="str">
        <f>IF(ISNUMBER(L57),IF(OR(J57=Formeln!C53,J57=Formeln!C54,J57=Formeln!C55,J57=Formeln!C83,J57=Formeln!C84,J57=Formeln!C85),R57,IF(OR(J57=Formeln!C56,J57=Formeln!C57,J57=Formeln!C58,J57=Formeln!C86,J57=Formeln!C87,J57=Formeln!C88),S57,IF(OR(J57=Formeln!C59,J57=Formeln!C60,J57=Formeln!C61,J57=Formeln!C62,J57=Formeln!C63,J57=Formeln!C89,J57=Formeln!C90,J57=Formeln!C91,J57=Formeln!C92,J57=Formeln!C93),T57,IF(OR(J57=Formeln!C64,J57=Formeln!C65,J57=Formeln!C66,J57=Formeln!C67,J57=Formeln!C68,J57=Formeln!C69,J57=Formeln!C94,J57=Formeln!C95,J57=Formeln!C96,J57=Formeln!C97,J57=Formeln!C98,J57=Formeln!C99),U57,IF(OR(J57=Formeln!C70,J57=Formeln!C71,J57=Formeln!C72,J57=Formeln!C73,J57=Formeln!C74,J57=Formeln!C75,J57=Formeln!C100,J57=Formeln!C101,J57=Formeln!C102,J57=Formeln!C103,J57=Formeln!C104,J57=Formeln!C105),V57,IF(OR(J57=Formeln!C76,J57=Formeln!C77,J57=Formeln!C78,J57=Formeln!C79,J57=Formeln!C80,J57=Formeln!C106,J57=Formeln!C107,J57=Formeln!C108,J57=Formeln!C109,J57=Formeln!C110),W57,0)))))), "")</f>
        <v/>
      </c>
      <c r="R57" s="200">
        <v>291.25</v>
      </c>
      <c r="S57" s="200">
        <v>298.98</v>
      </c>
      <c r="T57" s="200">
        <v>298.98</v>
      </c>
      <c r="U57" s="200">
        <v>360.78</v>
      </c>
      <c r="V57" s="200">
        <v>368.64</v>
      </c>
      <c r="W57" s="200">
        <v>371.17</v>
      </c>
      <c r="X57" s="195"/>
      <c r="Y57" s="195"/>
      <c r="Z57" s="195"/>
      <c r="AA57" s="195"/>
      <c r="AC57" s="1"/>
      <c r="AD57" s="149">
        <f t="shared" si="9"/>
        <v>0</v>
      </c>
      <c r="AE57" s="149">
        <f t="shared" si="6"/>
        <v>0</v>
      </c>
      <c r="BB57" s="50">
        <f>IF(AND($O$9=2,$O$21=1),AH57,IF(AND($O$9=2,$O$21=4),AI57,IF(AND($O$9=2,$O$21=5),AJ57,IF(AND($O$9=2,$O$21=11),AK57,IF(AND($O$9=2,$O$21=7),AL57,IF(AND($O$9=2,$O$21=3),AM57,IF(AND($O$9=2,$O$21=6),AN57,IF(AND($O$9=2,$O$21=9),AO57,IF(AND($O$9=2,$O$21=2),AP57,IF(AND($O$9=2,$O$21=8),AQ57,IF(AND($O$9=1,$O$21=1),AR57,IF(AND($O$9=1,$O$21=1),AR57,IF(AND($O$9=1,$O$21=4),AS57,IF(AND($O$9=1,$O$21=5),AT57,IF(AND($O$9=1,$O$21=11),AU57,IF(AND($O$9=1,$O$21=7),AV57,IF(AND($O$9=1,$O$21=3),AW57,IF(AND($O$9=1,$O$21=6),AX57,IF(AND($O$9=1,$O$21=9),AY57,IF(AND($O$9=1,$O$21=2),AZ57,0))))))))))))))))))))</f>
        <v>0</v>
      </c>
      <c r="BC57" s="44"/>
      <c r="BD57" s="44"/>
      <c r="BE57" s="44"/>
      <c r="BF57" s="44"/>
      <c r="BG57" s="44"/>
      <c r="BH57" s="44"/>
      <c r="BI57" s="44"/>
      <c r="BJ57" s="44"/>
      <c r="BK57" s="44"/>
      <c r="BM57" s="127"/>
      <c r="BN57" s="127"/>
      <c r="BO57" s="127"/>
      <c r="BP57" s="127"/>
      <c r="BQ57" s="127"/>
      <c r="BR57" s="127"/>
      <c r="BS57" s="127"/>
      <c r="BT57" s="127"/>
      <c r="BU57" s="127"/>
      <c r="BV57" s="176"/>
      <c r="BW57" s="50">
        <f>IF(AND($O$9=2,$O$21=1),BC57,IF(AND($O$9=2,$O$21=4),BD57,IF(AND($O$9=2,$O$21=5),BE57,IF(AND($O$9=2,$O$21=11),BF57,IF(AND($O$9=2,$O$21=7),BG57,IF(AND($O$9=2,$O$21=3),BH57,IF(AND($O$9=2,$O$21=6),BI57,IF(AND($O$9=2,$O$21=9),BJ57,IF(AND($O$9=2,$O$21=2),BK57,IF(AND($O$9=2,$O$21=8),BL57,IF(AND($O$9=1,$O$21=1),BM57,IF(AND($O$9=1,$O$21=1),BM57,IF(AND($O$9=1,$O$21=4),BN57,IF(AND($O$9=1,$O$21=5),BO57,IF(AND($O$9=1,$O$21=11),BP57,IF(AND($O$9=1,$O$21=7),BQ57,IF(AND($O$9=1,$O$21=3),BR57,IF(AND($O$9=1,$O$21=6),BS57,IF(AND($O$9=1,$O$21=9),BT57,IF(AND($O$9=1,$O$21=2),BU57,0))))))))))))))))))))</f>
        <v>0</v>
      </c>
      <c r="BX57" s="44"/>
      <c r="BY57" s="44"/>
      <c r="BZ57" s="44"/>
      <c r="CA57" s="44"/>
      <c r="CB57" s="44"/>
      <c r="CC57" s="44"/>
      <c r="CD57" s="44"/>
      <c r="CE57" s="44"/>
      <c r="CF57" s="44"/>
      <c r="CH57" s="127"/>
      <c r="CI57" s="127"/>
      <c r="CJ57" s="127"/>
      <c r="CK57" s="127"/>
      <c r="CL57" s="127"/>
      <c r="CM57" s="127"/>
      <c r="CN57" s="127"/>
      <c r="CO57" s="127"/>
      <c r="CP57" s="127"/>
      <c r="CQ57" s="176"/>
      <c r="CR57" s="50">
        <f>IF(AND($O$9=2,$O$21=1),BX57,IF(AND($O$9=2,$O$21=4),BY57,IF(AND($O$9=2,$O$21=5),BZ57,IF(AND($O$9=2,$O$21=11),CA57,IF(AND($O$9=2,$O$21=7),CB57,IF(AND($O$9=2,$O$21=3),CC57,IF(AND($O$9=2,$O$21=6),CD57,IF(AND($O$9=2,$O$21=9),CE57,IF(AND($O$9=2,$O$21=2),CF57,IF(AND($O$9=2,$O$21=8),CG57,IF(AND($O$9=1,$O$21=1),CH57,IF(AND($O$9=1,$O$21=1),CH57,IF(AND($O$9=1,$O$21=4),CI57,IF(AND($O$9=1,$O$21=5),CJ57,IF(AND($O$9=1,$O$21=11),CK57,IF(AND($O$9=1,$O$21=7),CL57,IF(AND($O$9=1,$O$21=3),CM57,IF(AND($O$9=1,$O$21=6),CN57,IF(AND($O$9=1,$O$21=9),CO57,IF(AND($O$9=1,$O$21=2),CP57,0))))))))))))))))))))</f>
        <v>0</v>
      </c>
      <c r="CS57" s="44"/>
      <c r="CT57" s="44"/>
      <c r="CU57" s="44"/>
      <c r="CV57" s="44"/>
      <c r="CW57" s="44"/>
      <c r="CX57" s="44"/>
      <c r="CY57" s="44"/>
      <c r="CZ57" s="44"/>
      <c r="DA57" s="44"/>
      <c r="DC57" s="127"/>
      <c r="DD57" s="127"/>
      <c r="DE57" s="127"/>
      <c r="DF57" s="127"/>
      <c r="DG57" s="127"/>
      <c r="DH57" s="127"/>
      <c r="DI57" s="127"/>
      <c r="DJ57" s="127"/>
      <c r="DK57" s="127"/>
      <c r="DL57" s="176"/>
      <c r="DM57" s="50">
        <f>IF(AND($O$9=2,$O$21=1),BX57,IF(AND($O$9=2,$O$21=4),BY57,IF(AND($O$9=2,$O$21=5),BZ57,IF(AND($O$9=2,$O$21=11),CA57,IF(AND($O$9=2,$O$21=7),CB57,IF(AND($O$9=2,$O$21=3),CC57,IF(AND($O$9=2,$O$21=6),CD57,IF(AND($O$9=2,$O$21=9),CE57,IF(AND($O$9=2,$O$21=2),CF57,IF(AND($O$9=2,$O$21=8),CG57,IF(AND($O$9=1,$O$21=1),DC57,IF(AND($O$9=1,$O$21=1),DC57,IF(AND($O$9=1,$O$21=4),DD57,IF(AND($O$9=1,$O$21=5),DE57,IF(AND($O$9=1,$O$21=11),DF57,IF(AND($O$9=1,$O$21=7),DG57,IF(AND($O$9=1,$O$21=3),DH57,IF(AND($O$9=1,$O$21=6),DI57,IF(AND($O$9=1,$O$21=9),DJ57,IF(AND($O$9=1,$O$21=2),DK57,0))))))))))))))))))))</f>
        <v>0</v>
      </c>
      <c r="DX57" s="127"/>
      <c r="DY57" s="127"/>
      <c r="DZ57" s="127"/>
      <c r="EA57" s="127"/>
      <c r="EB57" s="127"/>
      <c r="EC57" s="127"/>
      <c r="ED57" s="127"/>
      <c r="EE57" s="127"/>
      <c r="EF57" s="127"/>
      <c r="EG57" s="176"/>
      <c r="EH57" s="50">
        <f>IF(AND($O$9=2,$O$21=1),CS57,IF(AND($O$9=2,$O$21=4),CT57,IF(AND($O$9=2,$O$21=5),CU57,IF(AND($O$9=2,$O$21=11),CV57,IF(AND($O$9=2,$O$21=7),CW57,IF(AND($O$9=2,$O$21=3),CX57,IF(AND($O$9=2,$O$21=6),CY57,IF(AND($O$9=2,$O$21=9),CZ57,IF(AND($O$9=2,$O$21=2),DA57,IF(AND($O$9=2,$O$21=8),DB57,IF(AND($O$9=1,$O$21=1),DX57,IF(AND($O$9=1,$O$21=1),DX57,IF(AND($O$9=1,$O$21=4),DY57,IF(AND($O$9=1,$O$21=5),DZ57,IF(AND($O$9=1,$O$21=11),EA57,IF(AND($O$9=1,$O$21=7),EB57,IF(AND($O$9=1,$O$21=3),EC57,IF(AND($O$9=1,$O$21=6),ED57,IF(AND($O$9=1,$O$21=9),EE57,IF(AND($O$9=1,$O$21=2),EF57,0))))))))))))))))))))</f>
        <v>0</v>
      </c>
      <c r="EI57" s="44"/>
      <c r="EJ57" s="44"/>
      <c r="EK57" s="44"/>
      <c r="EL57" s="44"/>
      <c r="EM57" s="44"/>
      <c r="EN57" s="44"/>
      <c r="EO57" s="44"/>
      <c r="EP57" s="44"/>
      <c r="EQ57" s="44"/>
      <c r="ES57" s="127"/>
      <c r="ET57" s="127"/>
      <c r="EU57" s="127"/>
      <c r="EV57" s="127"/>
      <c r="EW57" s="127"/>
      <c r="EX57" s="127"/>
      <c r="EY57" s="127"/>
      <c r="EZ57" s="127"/>
      <c r="FA57" s="127"/>
      <c r="FB57" s="176"/>
      <c r="FC57" s="50">
        <f>IF(AND($O$9=2,$O$21=1),EI57,IF(AND($O$9=2,$O$21=4),EJ57,IF(AND($O$9=2,$O$21=5),EK57,IF(AND($O$9=2,$O$21=11),EL57,IF(AND($O$9=2,$O$21=7),EM57,IF(AND($O$9=2,$O$21=3),EN57,IF(AND($O$9=2,$O$21=6),EO57,IF(AND($O$9=2,$O$21=9),EP57,IF(AND($O$9=2,$O$21=2),EQ57,IF(AND($O$9=2,$O$21=8),ER57,IF(AND($O$9=1,$O$21=1),ES57,IF(AND($O$9=1,$O$21=1),ES57,IF(AND($O$9=1,$O$21=4),ET57,IF(AND($O$9=1,$O$21=5),EU57,IF(AND($O$9=1,$O$21=11),EV57,IF(AND($O$9=1,$O$21=7),EW57,IF(AND($O$9=1,$O$21=3),EX57,IF(AND($O$9=1,$O$21=6),EY57,IF(AND($O$9=1,$O$21=9),EZ57,IF(AND($O$9=1,$O$21=2),FA57,0))))))))))))))))))))</f>
        <v>0</v>
      </c>
      <c r="HK57" s="126"/>
      <c r="IF57" s="126"/>
      <c r="JA57" s="126"/>
      <c r="JV57" s="126"/>
      <c r="KQ57" s="126"/>
      <c r="LL57" s="126"/>
      <c r="MG57" s="126"/>
      <c r="NB57" s="126"/>
      <c r="NW57" s="126"/>
      <c r="OR57" s="126"/>
      <c r="PM57" s="126"/>
      <c r="QH57" s="126"/>
      <c r="RC57" s="126"/>
    </row>
    <row r="58" spans="1:474" ht="32.1" customHeight="1">
      <c r="A58" s="98"/>
      <c r="B58" s="79" t="str">
        <f>VLOOKUP(878,Sprachindex!$A:$Z,Info!$O$7,FALSE)</f>
        <v>Stk.</v>
      </c>
      <c r="C58" s="78"/>
      <c r="D58" s="78">
        <f>IF($O$21=1,AH58,IF($O$21=4,AI58,IF($O$21=5,AJ58,IF($O$21=11,AK58,IF($O$21=7,AL58,IF($O$21=3,AM58,IF($O$21=6,AN58,IF($O$21=9,AO58,IF($O$21=2,AP58,IF($O$21=8,AQ58,0))))))))))</f>
        <v>0</v>
      </c>
      <c r="E58" s="561" t="str">
        <f>VLOOKUP(345,Sprachindex!$A:$Z,Info!$O$7,FALSE)</f>
        <v>Einzeltritt (inkl. zwei Fußteile)</v>
      </c>
      <c r="F58" s="562"/>
      <c r="G58" s="562"/>
      <c r="H58" s="562"/>
      <c r="I58" s="562"/>
      <c r="J58" s="562"/>
      <c r="K58" s="563"/>
      <c r="L58" s="79" t="str">
        <f t="shared" ref="L58:L96" si="12">IF(A58=0,"",IF($O$11=1,AD58,AE58))</f>
        <v/>
      </c>
      <c r="M58" s="433" t="str">
        <f t="shared" si="0"/>
        <v>Stk.</v>
      </c>
      <c r="N58" s="80"/>
      <c r="O58" s="202" t="str">
        <f t="shared" ref="O58:O102" si="13">IF(ISNUMBER(A58),$L58*R58, "")</f>
        <v/>
      </c>
      <c r="R58" s="200">
        <v>70.75</v>
      </c>
      <c r="AC58" s="1"/>
      <c r="AD58" s="149">
        <f t="shared" si="9"/>
        <v>0</v>
      </c>
      <c r="AE58" s="149">
        <f t="shared" si="6"/>
        <v>0</v>
      </c>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98"/>
      <c r="B59" s="79" t="str">
        <f>VLOOKUP(878,Sprachindex!$A:$Z,Info!$O$7,FALSE)</f>
        <v>Stk.</v>
      </c>
      <c r="C59" s="78"/>
      <c r="D59" s="78">
        <f>IF($O$21=1,AH59,IF($O$21=4,AI59,IF($O$21=5,AJ59,IF($O$21=11,AK59,IF($O$21=7,AL59,IF($O$21=3,AM59,IF($O$21=6,AN59,IF($O$21=9,AO59,IF($O$21=2,AP59,IF($O$21=8,AQ59,0))))))))))</f>
        <v>0</v>
      </c>
      <c r="E59" s="561" t="str">
        <f>VLOOKUP(567,Sprachindex!$A:$Z,Info!$O$7,FALSE)</f>
        <v>Laufstegstütze auf einem Fußteil</v>
      </c>
      <c r="F59" s="562"/>
      <c r="G59" s="562"/>
      <c r="H59" s="562"/>
      <c r="I59" s="562"/>
      <c r="J59" s="562"/>
      <c r="K59" s="563"/>
      <c r="L59" s="79" t="str">
        <f t="shared" si="12"/>
        <v/>
      </c>
      <c r="M59" s="433" t="str">
        <f t="shared" si="0"/>
        <v>Stk.</v>
      </c>
      <c r="N59" s="80"/>
      <c r="O59" s="202" t="str">
        <f t="shared" si="13"/>
        <v/>
      </c>
      <c r="R59" s="200">
        <v>52.32</v>
      </c>
      <c r="AC59" s="1"/>
      <c r="AD59" s="149">
        <f t="shared" si="9"/>
        <v>0</v>
      </c>
      <c r="AE59" s="149">
        <f t="shared" si="6"/>
        <v>0</v>
      </c>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98"/>
      <c r="B60" s="79" t="str">
        <f>VLOOKUP(878,Sprachindex!$A:$Z,Info!$O$7,FALSE)</f>
        <v>Stk.</v>
      </c>
      <c r="C60" s="78"/>
      <c r="D60" s="78">
        <v>649304</v>
      </c>
      <c r="E60" s="561" t="str">
        <f>VLOOKUP(568,Sprachindex!$A:$Z,Info!$O$7,FALSE)</f>
        <v>Laufstegstütze auf zwei Fußteilen</v>
      </c>
      <c r="F60" s="562"/>
      <c r="G60" s="562"/>
      <c r="H60" s="562"/>
      <c r="I60" s="562"/>
      <c r="J60" s="562"/>
      <c r="K60" s="563"/>
      <c r="L60" s="79" t="str">
        <f t="shared" si="12"/>
        <v/>
      </c>
      <c r="M60" s="433" t="str">
        <f t="shared" si="0"/>
        <v>Stk.</v>
      </c>
      <c r="N60" s="80"/>
      <c r="O60" s="202" t="str">
        <f t="shared" si="13"/>
        <v/>
      </c>
      <c r="R60" s="200">
        <v>74.13</v>
      </c>
      <c r="AC60" s="1"/>
      <c r="AD60" s="149">
        <f t="shared" si="9"/>
        <v>0</v>
      </c>
      <c r="AE60" s="149">
        <f t="shared" si="6"/>
        <v>0</v>
      </c>
      <c r="AH60" s="44"/>
      <c r="AI60" s="44"/>
      <c r="AJ60" s="44"/>
      <c r="AK60" s="44"/>
      <c r="AL60" s="44"/>
      <c r="AM60" s="44"/>
      <c r="AN60" s="44"/>
      <c r="AO60" s="44"/>
      <c r="AP60" s="44"/>
      <c r="AQ60" s="44"/>
    </row>
    <row r="61" spans="1:474" ht="32.1" customHeight="1">
      <c r="A61" s="98"/>
      <c r="B61" s="79" t="str">
        <f>VLOOKUP(878,Sprachindex!$A:$Z,Info!$O$7,FALSE)</f>
        <v>Stk.</v>
      </c>
      <c r="C61" s="78"/>
      <c r="D61" s="78">
        <f>IF($O$21=1,AH61,IF($O$21=4,AI61,IF($O$21=5,AJ61,IF($O$21=11,AK61,IF($O$21=7,AL61,IF($O$21=3,AM61,IF($O$21=6,AN61,IF($O$21=9,AO61,IF($O$21=2,AP61,IF($O$21=8,AQ61,0))))))))))</f>
        <v>0</v>
      </c>
      <c r="E61" s="561" t="str">
        <f>VLOOKUP(560,Sprachindex!$A:$Z,Info!$O$7,FALSE)</f>
        <v>Laufsteg (250 × 1.200 mm)</v>
      </c>
      <c r="F61" s="562"/>
      <c r="G61" s="562"/>
      <c r="H61" s="562"/>
      <c r="I61" s="562"/>
      <c r="J61" s="562"/>
      <c r="K61" s="563"/>
      <c r="L61" s="79" t="str">
        <f t="shared" si="12"/>
        <v/>
      </c>
      <c r="M61" s="433" t="str">
        <f t="shared" si="0"/>
        <v>Stk.</v>
      </c>
      <c r="N61" s="80"/>
      <c r="O61" s="202" t="str">
        <f t="shared" si="13"/>
        <v/>
      </c>
      <c r="R61" s="200">
        <v>74.430000000000007</v>
      </c>
      <c r="AC61" s="1"/>
      <c r="AD61" s="149">
        <f t="shared" si="9"/>
        <v>0</v>
      </c>
      <c r="AE61" s="149">
        <f t="shared" si="6"/>
        <v>0</v>
      </c>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98"/>
      <c r="B62" s="79" t="str">
        <f>VLOOKUP(878,Sprachindex!$A:$Z,Info!$O$7,FALSE)</f>
        <v>Stk.</v>
      </c>
      <c r="C62" s="78"/>
      <c r="D62" s="78">
        <f>IF($O$21=1,AH62,IF($O$21=4,AI62,IF($O$21=5,AJ62,IF($O$21=11,AK62,IF($O$21=7,AL62,IF($O$21=3,AM62,IF($O$21=6,AN62,IF($O$21=9,AO62,IF($O$21=2,AP62,IF($O$21=8,AQ62,0))))))))))</f>
        <v>0</v>
      </c>
      <c r="E62" s="561" t="str">
        <f>VLOOKUP(563,Sprachindex!$A:$Z,Info!$O$7,FALSE)</f>
        <v>Laufsteg (250 × 800 mm)</v>
      </c>
      <c r="F62" s="562"/>
      <c r="G62" s="562"/>
      <c r="H62" s="562"/>
      <c r="I62" s="562"/>
      <c r="J62" s="562"/>
      <c r="K62" s="563"/>
      <c r="L62" s="79" t="str">
        <f t="shared" si="12"/>
        <v/>
      </c>
      <c r="M62" s="433" t="str">
        <f t="shared" si="0"/>
        <v>Stk.</v>
      </c>
      <c r="N62" s="80"/>
      <c r="O62" s="202" t="str">
        <f t="shared" si="13"/>
        <v/>
      </c>
      <c r="R62" s="200">
        <v>54.95</v>
      </c>
      <c r="AC62" s="1"/>
      <c r="AD62" s="149">
        <f t="shared" si="9"/>
        <v>0</v>
      </c>
      <c r="AE62" s="149">
        <f t="shared" si="6"/>
        <v>0</v>
      </c>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98"/>
      <c r="B63" s="79" t="str">
        <f>VLOOKUP(878,Sprachindex!$A:$Z,Info!$O$7,FALSE)</f>
        <v>Stk.</v>
      </c>
      <c r="C63" s="78"/>
      <c r="D63" s="78">
        <f>IF($O$21=1,AH63,IF($O$21=4,AI63,IF($O$21=5,AJ63,IF($O$21=11,AK63,IF($O$21=7,AL63,IF($O$21=3,AM63,IF($O$21=6,AN63,IF($O$21=9,AO63,IF($O$21=2,AP63,IF($O$21=8,AQ63,0))))))))))</f>
        <v>0</v>
      </c>
      <c r="E63" s="561" t="str">
        <f>VLOOKUP(562,Sprachindex!$A:$Z,Info!$O$7,FALSE)</f>
        <v>Laufsteg (250 × 600 mm)</v>
      </c>
      <c r="F63" s="562"/>
      <c r="G63" s="562"/>
      <c r="H63" s="562"/>
      <c r="I63" s="562"/>
      <c r="J63" s="562"/>
      <c r="K63" s="563"/>
      <c r="L63" s="79" t="str">
        <f t="shared" si="12"/>
        <v/>
      </c>
      <c r="M63" s="433" t="str">
        <f t="shared" si="0"/>
        <v>Stk.</v>
      </c>
      <c r="N63" s="80"/>
      <c r="O63" s="202" t="str">
        <f t="shared" si="13"/>
        <v/>
      </c>
      <c r="R63" s="200">
        <v>52.52</v>
      </c>
      <c r="AC63" s="1"/>
      <c r="AD63" s="149">
        <f t="shared" si="9"/>
        <v>0</v>
      </c>
      <c r="AE63" s="149">
        <f t="shared" si="6"/>
        <v>0</v>
      </c>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98"/>
      <c r="B64" s="79" t="str">
        <f>VLOOKUP(878,Sprachindex!$A:$Z,Info!$O$7,FALSE)</f>
        <v>Stk.</v>
      </c>
      <c r="C64" s="78"/>
      <c r="D64" s="78">
        <f>IF($O$21=1,AH64,IF($O$21=4,AI64,IF($O$21=5,AJ64,IF($O$21=11,AK64,IF($O$21=7,AL64,IF($O$21=3,AM64,IF($O$21=6,AN64,IF($O$21=9,AO64,IF($O$21=2,AP64,IF($O$21=8,AQ64,0))))))))))</f>
        <v>0</v>
      </c>
      <c r="E64" s="561" t="str">
        <f>VLOOKUP(561,Sprachindex!$A:$Z,Info!$O$7,FALSE)</f>
        <v>Laufsteg (250 × 420 mm)</v>
      </c>
      <c r="F64" s="562"/>
      <c r="G64" s="562"/>
      <c r="H64" s="562"/>
      <c r="I64" s="562"/>
      <c r="J64" s="562"/>
      <c r="K64" s="563"/>
      <c r="L64" s="79" t="str">
        <f t="shared" si="12"/>
        <v/>
      </c>
      <c r="M64" s="433" t="str">
        <f t="shared" si="0"/>
        <v>Stk.</v>
      </c>
      <c r="N64" s="80"/>
      <c r="O64" s="202" t="str">
        <f t="shared" si="13"/>
        <v/>
      </c>
      <c r="R64" s="200">
        <v>38.97</v>
      </c>
      <c r="AC64" s="1"/>
      <c r="AD64" s="149">
        <f>ROUNDUP($A64/4,0)*4</f>
        <v>0</v>
      </c>
      <c r="AE64" s="149">
        <f t="shared" si="6"/>
        <v>0</v>
      </c>
      <c r="AH64" s="44">
        <v>120010</v>
      </c>
      <c r="AI64" s="44">
        <v>120011</v>
      </c>
      <c r="AJ64" s="44">
        <v>120012</v>
      </c>
      <c r="AK64" s="44">
        <v>120013</v>
      </c>
      <c r="AL64" s="44">
        <v>120014</v>
      </c>
      <c r="AM64" s="44">
        <v>120015</v>
      </c>
      <c r="AN64" s="44">
        <v>120016</v>
      </c>
      <c r="AO64" s="44">
        <v>120017</v>
      </c>
      <c r="AP64" s="44">
        <v>120018</v>
      </c>
      <c r="AQ64" s="44">
        <v>120019</v>
      </c>
    </row>
    <row r="65" spans="1:55" ht="32.1" customHeight="1">
      <c r="A65" s="98"/>
      <c r="B65" s="79" t="str">
        <f>VLOOKUP(878,Sprachindex!$A:$Z,Info!$O$7,FALSE)</f>
        <v>Stk.</v>
      </c>
      <c r="C65" s="78"/>
      <c r="D65" s="78">
        <v>649305</v>
      </c>
      <c r="E65" s="561" t="str">
        <f>VLOOKUP(565,Sprachindex!$A:$Z,Info!$O$7,FALSE)</f>
        <v>Laufsteg (360 × 800 mm)</v>
      </c>
      <c r="F65" s="562"/>
      <c r="G65" s="562"/>
      <c r="H65" s="562"/>
      <c r="I65" s="562"/>
      <c r="J65" s="562"/>
      <c r="K65" s="563"/>
      <c r="L65" s="79" t="str">
        <f t="shared" si="12"/>
        <v/>
      </c>
      <c r="M65" s="433" t="str">
        <f t="shared" si="0"/>
        <v>Stk.</v>
      </c>
      <c r="N65" s="80"/>
      <c r="O65" s="202" t="str">
        <f t="shared" si="13"/>
        <v/>
      </c>
      <c r="R65" s="200">
        <v>80.81</v>
      </c>
      <c r="AC65" s="1"/>
      <c r="AD65" s="149">
        <f>ROUNDUP($A65,0)</f>
        <v>0</v>
      </c>
      <c r="AE65" s="149">
        <f t="shared" si="6"/>
        <v>0</v>
      </c>
      <c r="AH65" s="44"/>
      <c r="AI65" s="44"/>
      <c r="AJ65" s="44"/>
      <c r="AK65" s="44"/>
      <c r="AL65" s="44"/>
      <c r="AM65" s="44"/>
      <c r="AN65" s="44"/>
      <c r="AO65" s="44"/>
      <c r="AP65" s="44"/>
      <c r="AQ65" s="44"/>
    </row>
    <row r="66" spans="1:55" ht="32.1" customHeight="1">
      <c r="A66" s="98"/>
      <c r="B66" s="79" t="str">
        <f>VLOOKUP(878,Sprachindex!$A:$Z,Info!$O$7,FALSE)</f>
        <v>Stk.</v>
      </c>
      <c r="C66" s="78"/>
      <c r="D66" s="78">
        <v>649306</v>
      </c>
      <c r="E66" s="561" t="str">
        <f>VLOOKUP(564,Sprachindex!$A:$Z,Info!$O$7,FALSE)</f>
        <v>Laufsteg (360 × 1.200 mm)</v>
      </c>
      <c r="F66" s="562"/>
      <c r="G66" s="562"/>
      <c r="H66" s="562"/>
      <c r="I66" s="562"/>
      <c r="J66" s="562"/>
      <c r="K66" s="563"/>
      <c r="L66" s="79" t="str">
        <f t="shared" si="12"/>
        <v/>
      </c>
      <c r="M66" s="433" t="str">
        <f t="shared" si="0"/>
        <v>Stk.</v>
      </c>
      <c r="N66" s="80"/>
      <c r="O66" s="202" t="str">
        <f t="shared" si="13"/>
        <v/>
      </c>
      <c r="R66" s="200">
        <v>119.7</v>
      </c>
      <c r="AC66" s="1"/>
      <c r="AD66" s="149">
        <f>ROUNDUP($A66,0)</f>
        <v>0</v>
      </c>
      <c r="AE66" s="149">
        <f t="shared" si="6"/>
        <v>0</v>
      </c>
      <c r="AH66" s="44"/>
      <c r="AI66" s="44"/>
      <c r="AJ66" s="44"/>
      <c r="AK66" s="44"/>
      <c r="AL66" s="44"/>
      <c r="AM66" s="44"/>
      <c r="AN66" s="44"/>
      <c r="AO66" s="44"/>
      <c r="AP66" s="44"/>
      <c r="AQ66" s="44"/>
    </row>
    <row r="67" spans="1:55" ht="32.1" customHeight="1">
      <c r="A67" s="98"/>
      <c r="B67" s="79" t="str">
        <f>VLOOKUP(878,Sprachindex!$A:$Z,Info!$O$7,FALSE)</f>
        <v>Stk.</v>
      </c>
      <c r="C67" s="78"/>
      <c r="D67" s="83">
        <v>649001</v>
      </c>
      <c r="E67" s="561" t="str">
        <f>VLOOKUP(955,Sprachindex!$A:$Z,Info!$O$7,FALSE)</f>
        <v>Verbinder (verzinkt; für Laufsteg; Breite: 250 mm)</v>
      </c>
      <c r="F67" s="562"/>
      <c r="G67" s="562"/>
      <c r="H67" s="562"/>
      <c r="I67" s="562"/>
      <c r="J67" s="562"/>
      <c r="K67" s="563"/>
      <c r="L67" s="79" t="str">
        <f t="shared" si="12"/>
        <v/>
      </c>
      <c r="M67" s="433" t="str">
        <f t="shared" si="0"/>
        <v>Stk.</v>
      </c>
      <c r="N67" s="80"/>
      <c r="O67" s="202" t="str">
        <f t="shared" si="13"/>
        <v/>
      </c>
      <c r="R67" s="200">
        <v>24.02</v>
      </c>
      <c r="AC67" s="1"/>
      <c r="AD67" s="149">
        <f>ROUNDUP($A67,0)</f>
        <v>0</v>
      </c>
      <c r="AE67" s="149">
        <f t="shared" si="6"/>
        <v>0</v>
      </c>
      <c r="AH67" s="47" t="s">
        <v>33</v>
      </c>
      <c r="AI67" s="47" t="s">
        <v>34</v>
      </c>
      <c r="AJ67" s="47" t="s">
        <v>35</v>
      </c>
      <c r="AK67" s="47" t="s">
        <v>36</v>
      </c>
      <c r="AL67" s="47" t="s">
        <v>37</v>
      </c>
      <c r="AM67" s="47" t="s">
        <v>38</v>
      </c>
      <c r="AN67" s="47" t="s">
        <v>39</v>
      </c>
      <c r="AO67" s="47" t="s">
        <v>40</v>
      </c>
      <c r="AP67" s="47" t="s">
        <v>41</v>
      </c>
      <c r="AQ67" s="47" t="s">
        <v>42</v>
      </c>
      <c r="AR67" s="47" t="s">
        <v>33</v>
      </c>
      <c r="AS67" s="47" t="s">
        <v>34</v>
      </c>
      <c r="AT67" s="47" t="s">
        <v>35</v>
      </c>
      <c r="AU67" s="47" t="s">
        <v>36</v>
      </c>
      <c r="AV67" s="47" t="s">
        <v>37</v>
      </c>
      <c r="AW67" s="47" t="s">
        <v>38</v>
      </c>
      <c r="AX67" s="47" t="s">
        <v>39</v>
      </c>
      <c r="AY67" s="47" t="s">
        <v>40</v>
      </c>
      <c r="AZ67" s="47" t="s">
        <v>41</v>
      </c>
      <c r="BA67" s="47" t="s">
        <v>42</v>
      </c>
    </row>
    <row r="68" spans="1:55" ht="32.1" customHeight="1">
      <c r="A68" s="98"/>
      <c r="B68" s="79" t="str">
        <f>VLOOKUP(878,Sprachindex!$A:$Z,Info!$O$7,FALSE)</f>
        <v>Stk.</v>
      </c>
      <c r="C68" s="78"/>
      <c r="D68" s="83">
        <v>649008</v>
      </c>
      <c r="E68" s="561" t="str">
        <f>VLOOKUP(956,Sprachindex!$A:$Z,Info!$O$7,FALSE)</f>
        <v>Verbinder (verzinkt; für Laufsteg; Breite: 360 mm)</v>
      </c>
      <c r="F68" s="562"/>
      <c r="G68" s="562"/>
      <c r="H68" s="562"/>
      <c r="I68" s="562"/>
      <c r="J68" s="562"/>
      <c r="K68" s="563"/>
      <c r="L68" s="79" t="str">
        <f t="shared" si="12"/>
        <v/>
      </c>
      <c r="M68" s="433" t="str">
        <f t="shared" si="0"/>
        <v>Stk.</v>
      </c>
      <c r="N68" s="80"/>
      <c r="O68" s="202" t="str">
        <f t="shared" si="13"/>
        <v/>
      </c>
      <c r="R68" s="200">
        <v>53.07</v>
      </c>
      <c r="AC68" s="1"/>
      <c r="AD68" s="149">
        <f>ROUNDUP($A68,0)</f>
        <v>0</v>
      </c>
      <c r="AE68" s="149">
        <f t="shared" si="6"/>
        <v>0</v>
      </c>
      <c r="AH68" s="47" t="s">
        <v>33</v>
      </c>
      <c r="AI68" s="47" t="s">
        <v>34</v>
      </c>
      <c r="AJ68" s="47" t="s">
        <v>35</v>
      </c>
      <c r="AK68" s="47" t="s">
        <v>36</v>
      </c>
      <c r="AL68" s="47" t="s">
        <v>37</v>
      </c>
      <c r="AM68" s="47" t="s">
        <v>38</v>
      </c>
      <c r="AN68" s="47" t="s">
        <v>39</v>
      </c>
      <c r="AO68" s="47" t="s">
        <v>40</v>
      </c>
      <c r="AP68" s="47" t="s">
        <v>41</v>
      </c>
      <c r="AQ68" s="47" t="s">
        <v>42</v>
      </c>
      <c r="AR68" s="47" t="s">
        <v>33</v>
      </c>
      <c r="AS68" s="47" t="s">
        <v>34</v>
      </c>
      <c r="AT68" s="47" t="s">
        <v>35</v>
      </c>
      <c r="AU68" s="47" t="s">
        <v>36</v>
      </c>
      <c r="AV68" s="47" t="s">
        <v>37</v>
      </c>
      <c r="AW68" s="47" t="s">
        <v>38</v>
      </c>
      <c r="AX68" s="47" t="s">
        <v>39</v>
      </c>
      <c r="AY68" s="47" t="s">
        <v>40</v>
      </c>
      <c r="AZ68" s="47" t="s">
        <v>41</v>
      </c>
      <c r="BA68" s="47" t="s">
        <v>42</v>
      </c>
    </row>
    <row r="69" spans="1:55" ht="32.1" customHeight="1">
      <c r="A69" s="98"/>
      <c r="B69" s="79" t="str">
        <f>VLOOKUP(878,Sprachindex!$A:$Z,Info!$O$7,FALSE)</f>
        <v>Stk.</v>
      </c>
      <c r="C69" s="81"/>
      <c r="D69" s="83">
        <v>635661</v>
      </c>
      <c r="E69" s="561" t="str">
        <f>VLOOKUP(277,Sprachindex!$A:$Z,Info!$O$7,FALSE)</f>
        <v>Sicherheitsdachhaken auf Fußteilen</v>
      </c>
      <c r="F69" s="562"/>
      <c r="G69" s="562"/>
      <c r="H69" s="562"/>
      <c r="I69" s="562"/>
      <c r="J69" s="562"/>
      <c r="K69" s="563"/>
      <c r="L69" s="79" t="str">
        <f t="shared" si="12"/>
        <v/>
      </c>
      <c r="M69" s="433" t="str">
        <f t="shared" si="0"/>
        <v>Stk.</v>
      </c>
      <c r="N69" s="80"/>
      <c r="O69" s="202" t="str">
        <f t="shared" si="13"/>
        <v/>
      </c>
      <c r="R69" s="200">
        <v>119.8</v>
      </c>
      <c r="AC69" s="1"/>
      <c r="AD69" s="149">
        <f>ROUNDUP($A69,0)</f>
        <v>0</v>
      </c>
      <c r="AE69" s="149">
        <f t="shared" si="6"/>
        <v>0</v>
      </c>
      <c r="AH69" s="45" t="s">
        <v>26</v>
      </c>
      <c r="AI69" s="13"/>
      <c r="AJ69" s="13"/>
      <c r="AK69" s="13"/>
      <c r="AL69" s="13"/>
      <c r="AM69" s="13"/>
      <c r="AN69" s="13"/>
      <c r="AO69" s="13"/>
      <c r="AP69" s="13"/>
      <c r="AQ69" s="13"/>
      <c r="AR69" s="45" t="s">
        <v>27</v>
      </c>
      <c r="AS69" s="13"/>
      <c r="AT69" s="13"/>
      <c r="AU69" s="13"/>
      <c r="AV69" s="13"/>
      <c r="AW69" s="13"/>
      <c r="AX69" s="13"/>
      <c r="AY69" s="13"/>
      <c r="AZ69" s="13"/>
      <c r="BA69" s="46"/>
    </row>
    <row r="70" spans="1:55" ht="32.1" customHeight="1">
      <c r="A70" s="98"/>
      <c r="B70" s="79" t="str">
        <f>VLOOKUP(878,Sprachindex!$A:$Z,Info!$O$7,FALSE)</f>
        <v>Stk.</v>
      </c>
      <c r="C70" s="81"/>
      <c r="D70" s="78">
        <f>IF($O$21=1,AH70,IF($O$21=4,AI70,IF($O$21=5,AJ70,IF($O$21=11,AK70,IF($O$21=7,AL70,IF($O$21=3,AM70,IF($O$21=6,AN70,IF($O$21=9,AO70,IF($O$21=2,AP70,IF($O$21=8,AQ70,0))))))))))</f>
        <v>0</v>
      </c>
      <c r="E70" s="561" t="str">
        <f>VLOOKUP(822,Sprachindex!$A:$Z,Info!$O$7,FALSE)</f>
        <v>Sicherheitsdachhaken</v>
      </c>
      <c r="F70" s="562"/>
      <c r="G70" s="562"/>
      <c r="H70" s="562"/>
      <c r="I70" s="562"/>
      <c r="J70" s="562"/>
      <c r="K70" s="563"/>
      <c r="L70" s="79" t="str">
        <f t="shared" si="12"/>
        <v/>
      </c>
      <c r="M70" s="433" t="str">
        <f t="shared" si="0"/>
        <v>Stk.</v>
      </c>
      <c r="N70" s="80"/>
      <c r="O70" s="202" t="str">
        <f t="shared" si="13"/>
        <v/>
      </c>
      <c r="R70" s="200">
        <v>31.53</v>
      </c>
      <c r="AC70" s="1"/>
      <c r="AD70" s="149">
        <f>ROUNDUP($A70/12,0)*12</f>
        <v>0</v>
      </c>
      <c r="AE70" s="149">
        <f t="shared" si="6"/>
        <v>0</v>
      </c>
      <c r="AH70" s="44">
        <v>120000</v>
      </c>
      <c r="AI70" s="44">
        <v>120001</v>
      </c>
      <c r="AJ70" s="44">
        <v>120002</v>
      </c>
      <c r="AK70" s="44">
        <v>120003</v>
      </c>
      <c r="AL70" s="44">
        <v>120004</v>
      </c>
      <c r="AM70" s="44">
        <v>120005</v>
      </c>
      <c r="AN70" s="44">
        <v>120006</v>
      </c>
      <c r="AO70" s="44">
        <v>120007</v>
      </c>
      <c r="AP70" s="44">
        <v>120008</v>
      </c>
      <c r="AQ70" s="44">
        <v>120009</v>
      </c>
      <c r="BB70" s="139" t="s">
        <v>28</v>
      </c>
      <c r="BC70" s="139" t="s">
        <v>29</v>
      </c>
    </row>
    <row r="71" spans="1:55" ht="32.1" customHeight="1">
      <c r="A71" s="98"/>
      <c r="B71" s="79" t="str">
        <f>VLOOKUP(878,Sprachindex!$A:$Z,Info!$O$7,FALSE)</f>
        <v>Stk.</v>
      </c>
      <c r="C71" s="81"/>
      <c r="D71" s="78">
        <f>IF($O$9=1,BC71,BB71)</f>
        <v>0</v>
      </c>
      <c r="E71" s="561" t="str">
        <f>IF($O$9=1,VLOOKUP(2942,Sprachindex!$A:$Z,Info!$O$7,FALSE),VLOOKUP(1419,Sprachindex!$A:$Z,Info!$O$7,FALSE))</f>
        <v>Einfassungsplatte, zum Einfalzen; glatt</v>
      </c>
      <c r="F71" s="562"/>
      <c r="G71" s="562"/>
      <c r="H71" s="562"/>
      <c r="I71" s="562"/>
      <c r="J71" s="562"/>
      <c r="K71" s="563"/>
      <c r="L71" s="79" t="str">
        <f t="shared" si="12"/>
        <v/>
      </c>
      <c r="M71" s="433" t="str">
        <f t="shared" si="0"/>
        <v>Stk.</v>
      </c>
      <c r="N71" s="80"/>
      <c r="O71" s="202" t="str">
        <f t="shared" si="13"/>
        <v/>
      </c>
      <c r="R71" s="200">
        <v>112</v>
      </c>
      <c r="AC71" s="1"/>
      <c r="AD71" s="149">
        <f>ROUNDUP($A71/5,0)*5</f>
        <v>0</v>
      </c>
      <c r="AE71" s="149">
        <f t="shared" si="6"/>
        <v>0</v>
      </c>
      <c r="AH71" s="470">
        <v>110230</v>
      </c>
      <c r="AI71" s="470">
        <v>110231</v>
      </c>
      <c r="AJ71" s="470">
        <v>110232</v>
      </c>
      <c r="AK71" s="470">
        <v>110233</v>
      </c>
      <c r="AL71" s="470">
        <v>110234</v>
      </c>
      <c r="AM71" s="470">
        <v>110235</v>
      </c>
      <c r="AN71" s="470">
        <v>110236</v>
      </c>
      <c r="AO71" s="470">
        <v>110237</v>
      </c>
      <c r="AP71" s="470">
        <v>110238</v>
      </c>
      <c r="AQ71" s="470">
        <v>110239</v>
      </c>
      <c r="AR71" s="469">
        <v>112880</v>
      </c>
      <c r="AS71" s="469">
        <v>112881</v>
      </c>
      <c r="AT71" s="469">
        <v>112882</v>
      </c>
      <c r="AU71" s="469">
        <v>112883</v>
      </c>
      <c r="AV71" s="469">
        <v>112884</v>
      </c>
      <c r="AW71" s="469">
        <v>112885</v>
      </c>
      <c r="AX71" s="469">
        <v>112886</v>
      </c>
      <c r="AY71" s="469">
        <v>112887</v>
      </c>
      <c r="AZ71" s="469">
        <v>112888</v>
      </c>
      <c r="BA71" s="469">
        <v>112889</v>
      </c>
      <c r="BB71" s="468">
        <f>IF($O$21=1,AH71,IF($O$21=4,AI71,IF($O$21=5,AJ71,IF($O$21=11,AK71,IF($O$21=7,AL71,IF($O$21=3,AM71,IF($O$21=6,AN71,IF($O$21=9,AO71,IF($O$21=2,AP71,IF($O$21=8,AQ71,0))))))))))</f>
        <v>0</v>
      </c>
      <c r="BC71" s="468">
        <f>IF($O$21=1,AR71,IF($O$21=4,AS71,IF($O$21=5,AT71,IF($O$21=11,AU71,IF($O$21=7,AV71,IF($O$21=3,AW71,IF($O$21=6,AX71,IF($O$21=9,AY71,IF($O$21=2,AZ71,IF($O$21=8,BA71,0))))))))))</f>
        <v>0</v>
      </c>
    </row>
    <row r="72" spans="1:55" ht="32.1" customHeight="1">
      <c r="A72" s="98"/>
      <c r="B72" s="79" t="str">
        <f>VLOOKUP(878,Sprachindex!$A:$Z,Info!$O$7,FALSE)</f>
        <v>Stk.</v>
      </c>
      <c r="C72" s="81"/>
      <c r="D72" s="78">
        <f>IF($O$21=1,AH72,IF($O$21=4,AI72,IF($O$21=5,AJ72,IF($O$21=11,AK72,IF($O$21=7,AL72,IF($O$21=3,AM72,IF($O$21=6,AN72,IF($O$21=9,AO72,IF($O$21=2,AP72,IF($O$21=8,AQ72,0))))))))))</f>
        <v>0</v>
      </c>
      <c r="E72" s="561" t="str">
        <f>VLOOKUP(926,Sprachindex!$A:$Z,Info!$O$7,FALSE)</f>
        <v>Universaleinfassung (2-teilig); glatt; ⌀ 40–120 mm</v>
      </c>
      <c r="F72" s="562"/>
      <c r="G72" s="562"/>
      <c r="H72" s="562"/>
      <c r="I72" s="562"/>
      <c r="J72" s="562"/>
      <c r="K72" s="563"/>
      <c r="L72" s="79" t="str">
        <f t="shared" si="12"/>
        <v/>
      </c>
      <c r="M72" s="433" t="str">
        <f t="shared" si="0"/>
        <v>Stk.</v>
      </c>
      <c r="N72" s="80"/>
      <c r="O72" s="202" t="str">
        <f t="shared" si="13"/>
        <v/>
      </c>
      <c r="R72" s="200">
        <v>115.3</v>
      </c>
      <c r="AC72" s="1"/>
      <c r="AD72" s="149">
        <f>ROUNDUP($A72,0)</f>
        <v>0</v>
      </c>
      <c r="AE72" s="149">
        <f t="shared" si="6"/>
        <v>0</v>
      </c>
      <c r="AH72" s="44">
        <v>110240</v>
      </c>
      <c r="AI72" s="44">
        <v>110241</v>
      </c>
      <c r="AJ72" s="44">
        <v>110242</v>
      </c>
      <c r="AK72" s="44">
        <v>110243</v>
      </c>
      <c r="AL72" s="44">
        <v>110244</v>
      </c>
      <c r="AM72" s="44">
        <v>110245</v>
      </c>
      <c r="AN72" s="44">
        <v>110246</v>
      </c>
      <c r="AO72" s="44">
        <v>110247</v>
      </c>
      <c r="AP72" s="44">
        <v>110248</v>
      </c>
      <c r="AQ72" s="44">
        <v>110249</v>
      </c>
    </row>
    <row r="73" spans="1:55" ht="32.1" customHeight="1">
      <c r="A73" s="98"/>
      <c r="B73" s="79" t="str">
        <f>VLOOKUP(878,Sprachindex!$A:$Z,Info!$O$7,FALSE)</f>
        <v>Stk.</v>
      </c>
      <c r="C73" s="81"/>
      <c r="D73" s="78">
        <f>IF($O$21=1,AH73,IF($O$21=4,AI73,IF($O$21=5,AJ73,IF($O$21=11,AK73,IF($O$21=7,AL73,IF($O$21=3,AM73,IF($O$21=6,AN73,IF($O$21=9,AO73,IF($O$21=2,AP73,IF($O$21=8,AQ73,0))))))))))</f>
        <v>0</v>
      </c>
      <c r="E73" s="561" t="str">
        <f>VLOOKUP(364,Sprachindex!$A:$Z,Info!$O$7,FALSE)</f>
        <v>Entlüftungshaube (⌀ 100; glatt)</v>
      </c>
      <c r="F73" s="562"/>
      <c r="G73" s="562"/>
      <c r="H73" s="562"/>
      <c r="I73" s="562"/>
      <c r="J73" s="562"/>
      <c r="K73" s="563"/>
      <c r="L73" s="79" t="str">
        <f t="shared" si="12"/>
        <v/>
      </c>
      <c r="M73" s="433" t="str">
        <f t="shared" si="0"/>
        <v>Stk.</v>
      </c>
      <c r="N73" s="80"/>
      <c r="O73" s="202" t="str">
        <f t="shared" si="13"/>
        <v/>
      </c>
      <c r="R73" s="200">
        <v>186.5</v>
      </c>
      <c r="AC73" s="1"/>
      <c r="AD73" s="149">
        <f>ROUNDUP($A73,0)</f>
        <v>0</v>
      </c>
      <c r="AE73" s="149">
        <f t="shared" si="6"/>
        <v>0</v>
      </c>
      <c r="AH73" s="44">
        <v>110280</v>
      </c>
      <c r="AI73" s="44">
        <v>110281</v>
      </c>
      <c r="AJ73" s="44">
        <v>110282</v>
      </c>
      <c r="AK73" s="44">
        <v>110283</v>
      </c>
      <c r="AL73" s="44">
        <v>110284</v>
      </c>
      <c r="AM73" s="44">
        <v>110285</v>
      </c>
      <c r="AN73" s="44">
        <v>110286</v>
      </c>
      <c r="AO73" s="44">
        <v>110287</v>
      </c>
      <c r="AP73" s="44">
        <v>110288</v>
      </c>
      <c r="AQ73" s="44">
        <v>110289</v>
      </c>
    </row>
    <row r="74" spans="1:55" ht="32.1" customHeight="1">
      <c r="A74" s="98"/>
      <c r="B74" s="79" t="str">
        <f>VLOOKUP(878,Sprachindex!$A:$Z,Info!$O$7,FALSE)</f>
        <v>Stk.</v>
      </c>
      <c r="C74" s="81"/>
      <c r="D74" s="78">
        <f>IF($O$21=1,AH74,IF($O$21=4,AI74,IF($O$21=5,AJ74,IF($O$21=11,AK74,IF($O$21=7,AL74,IF($O$21=3,AM74,IF($O$21=6,AN74,IF($O$21=9,AO74,IF($O$21=2,AP74,IF($O$21=8,AQ74,0))))))))))</f>
        <v>0</v>
      </c>
      <c r="E74" s="561" t="str">
        <f>VLOOKUP(366,Sprachindex!$A:$Z,Info!$O$7,FALSE)</f>
        <v>Entlüftungsrohr (⌀ 100; passend für HT-Rohr [NW 110])</v>
      </c>
      <c r="F74" s="562"/>
      <c r="G74" s="562"/>
      <c r="H74" s="562"/>
      <c r="I74" s="562"/>
      <c r="J74" s="562"/>
      <c r="K74" s="563"/>
      <c r="L74" s="79" t="str">
        <f t="shared" si="12"/>
        <v/>
      </c>
      <c r="M74" s="433" t="str">
        <f t="shared" si="0"/>
        <v>Stk.</v>
      </c>
      <c r="N74" s="80"/>
      <c r="O74" s="202" t="str">
        <f t="shared" si="13"/>
        <v/>
      </c>
      <c r="R74" s="200">
        <v>76.77</v>
      </c>
      <c r="AC74" s="1"/>
      <c r="AD74" s="149">
        <f>ROUNDUP($A74,0)</f>
        <v>0</v>
      </c>
      <c r="AE74" s="149">
        <f t="shared" si="6"/>
        <v>0</v>
      </c>
      <c r="AH74" s="44">
        <v>110200</v>
      </c>
      <c r="AI74" s="44">
        <v>110201</v>
      </c>
      <c r="AJ74" s="44">
        <v>110202</v>
      </c>
      <c r="AK74" s="44">
        <v>110203</v>
      </c>
      <c r="AL74" s="44">
        <v>110204</v>
      </c>
      <c r="AM74" s="44">
        <v>110205</v>
      </c>
      <c r="AN74" s="44">
        <v>110206</v>
      </c>
      <c r="AO74" s="44">
        <v>110207</v>
      </c>
      <c r="AP74" s="44">
        <v>110208</v>
      </c>
      <c r="AQ74" s="44">
        <v>121015</v>
      </c>
    </row>
    <row r="75" spans="1:55" ht="32.1" customHeight="1">
      <c r="A75" s="98"/>
      <c r="B75" s="79" t="str">
        <f>VLOOKUP(878,Sprachindex!$A:$Z,Info!$O$7,FALSE)</f>
        <v>Stk.</v>
      </c>
      <c r="C75" s="81"/>
      <c r="D75" s="78">
        <f>IF($O$21=1,AH75,IF($O$21=4,AI75,IF($O$21=5,AJ75,IF($O$21=11,AK75,IF($O$21=7,AL75,IF($O$21=3,AM75,IF($O$21=6,AN75,IF($O$21=9,AO75,IF($O$21=2,AP75,IF($O$21=8,AQ75,0))))))))))</f>
        <v>0</v>
      </c>
      <c r="E75" s="561" t="str">
        <f>VLOOKUP(368,Sprachindex!$A:$Z,Info!$O$7,FALSE)</f>
        <v>Entlüftungsrohr (⌀ 120; passend für HT-Rohr [NW 125])</v>
      </c>
      <c r="F75" s="562"/>
      <c r="G75" s="562"/>
      <c r="H75" s="562"/>
      <c r="I75" s="562"/>
      <c r="J75" s="562"/>
      <c r="K75" s="563"/>
      <c r="L75" s="79" t="str">
        <f t="shared" si="12"/>
        <v/>
      </c>
      <c r="M75" s="433" t="str">
        <f t="shared" si="0"/>
        <v>Stk.</v>
      </c>
      <c r="N75" s="80"/>
      <c r="O75" s="202" t="str">
        <f t="shared" si="13"/>
        <v/>
      </c>
      <c r="R75" s="200">
        <v>81.41</v>
      </c>
      <c r="AC75" s="1"/>
      <c r="AD75" s="149">
        <f>ROUNDUP($A75,0)</f>
        <v>0</v>
      </c>
      <c r="AE75" s="149">
        <f t="shared" si="6"/>
        <v>0</v>
      </c>
      <c r="AH75" s="44">
        <v>110210</v>
      </c>
      <c r="AI75" s="44">
        <v>110211</v>
      </c>
      <c r="AJ75" s="44">
        <v>110212</v>
      </c>
      <c r="AK75" s="44">
        <v>110213</v>
      </c>
      <c r="AL75" s="44">
        <v>110214</v>
      </c>
      <c r="AM75" s="44">
        <v>110215</v>
      </c>
      <c r="AN75" s="44">
        <v>110216</v>
      </c>
      <c r="AO75" s="44">
        <v>110217</v>
      </c>
      <c r="AP75" s="44">
        <v>110218</v>
      </c>
      <c r="AQ75" s="44">
        <v>121025</v>
      </c>
    </row>
    <row r="76" spans="1:55" ht="32.1" customHeight="1">
      <c r="A76" s="98"/>
      <c r="B76" s="79" t="str">
        <f>VLOOKUP(878,Sprachindex!$A:$Z,Info!$O$7,FALSE)</f>
        <v>Stk.</v>
      </c>
      <c r="C76" s="81"/>
      <c r="D76" s="83">
        <v>340943</v>
      </c>
      <c r="E76" s="561" t="str">
        <f>VLOOKUP(379,Sprachindex!$A:$Z,Info!$O$7,FALSE)</f>
        <v>Faltmanschette (Ø 100–130)</v>
      </c>
      <c r="F76" s="562"/>
      <c r="G76" s="562"/>
      <c r="H76" s="562"/>
      <c r="I76" s="562"/>
      <c r="J76" s="562"/>
      <c r="K76" s="563"/>
      <c r="L76" s="79" t="str">
        <f t="shared" si="12"/>
        <v/>
      </c>
      <c r="M76" s="433" t="str">
        <f t="shared" si="0"/>
        <v>Stk.</v>
      </c>
      <c r="N76" s="80"/>
      <c r="O76" s="202" t="str">
        <f t="shared" si="13"/>
        <v/>
      </c>
      <c r="R76" s="200">
        <v>37.729999999999997</v>
      </c>
      <c r="AC76" s="1"/>
      <c r="AD76" s="149">
        <f>ROUNDUP($A76,0)</f>
        <v>0</v>
      </c>
      <c r="AE76" s="149">
        <f t="shared" si="6"/>
        <v>0</v>
      </c>
      <c r="AH76" s="47" t="s">
        <v>33</v>
      </c>
      <c r="AI76" s="47" t="s">
        <v>34</v>
      </c>
      <c r="AJ76" s="47" t="s">
        <v>35</v>
      </c>
      <c r="AK76" s="47" t="s">
        <v>36</v>
      </c>
      <c r="AL76" s="47" t="s">
        <v>37</v>
      </c>
      <c r="AM76" s="47" t="s">
        <v>38</v>
      </c>
      <c r="AN76" s="47" t="s">
        <v>39</v>
      </c>
      <c r="AO76" s="47" t="s">
        <v>40</v>
      </c>
      <c r="AP76" s="47" t="s">
        <v>41</v>
      </c>
      <c r="AQ76" s="47" t="s">
        <v>42</v>
      </c>
      <c r="AR76" s="47" t="s">
        <v>33</v>
      </c>
      <c r="AS76" s="47" t="s">
        <v>34</v>
      </c>
      <c r="AT76" s="47" t="s">
        <v>35</v>
      </c>
      <c r="AU76" s="47" t="s">
        <v>36</v>
      </c>
      <c r="AV76" s="47" t="s">
        <v>37</v>
      </c>
      <c r="AW76" s="47" t="s">
        <v>38</v>
      </c>
      <c r="AX76" s="47" t="s">
        <v>39</v>
      </c>
      <c r="AY76" s="47" t="s">
        <v>40</v>
      </c>
      <c r="AZ76" s="47" t="s">
        <v>41</v>
      </c>
      <c r="BA76" s="47" t="s">
        <v>42</v>
      </c>
    </row>
    <row r="77" spans="1:55" ht="32.1" customHeight="1">
      <c r="A77" s="98"/>
      <c r="B77" s="79" t="str">
        <f>VLOOKUP(878,Sprachindex!$A:$Z,Info!$O$7,FALSE)</f>
        <v>Stk.</v>
      </c>
      <c r="C77" s="81"/>
      <c r="D77" s="78">
        <f>IF($O$9=1,BC77,BB77)</f>
        <v>0</v>
      </c>
      <c r="E77" s="561" t="str">
        <f>IF($O$9=1,VLOOKUP(936,Sprachindex!$A:$Z,Info!$O$7,FALSE),VLOOKUP(2943,Sprachindex!$A:$Z,Info!$O$7,FALSE))</f>
        <v>Unterlagsplatte (540 × 125 mm [Länge × Breite]; glatt)</v>
      </c>
      <c r="F77" s="562"/>
      <c r="G77" s="562"/>
      <c r="H77" s="562"/>
      <c r="I77" s="562"/>
      <c r="J77" s="562"/>
      <c r="K77" s="563"/>
      <c r="L77" s="79" t="str">
        <f t="shared" si="12"/>
        <v/>
      </c>
      <c r="M77" s="433" t="str">
        <f t="shared" si="0"/>
        <v>Stk.</v>
      </c>
      <c r="N77" s="80"/>
      <c r="O77" s="202" t="str">
        <f t="shared" si="13"/>
        <v/>
      </c>
      <c r="R77" s="200">
        <v>10.72</v>
      </c>
      <c r="AC77" s="1"/>
      <c r="AD77" s="149">
        <f>ROUNDUP($A77/15,0)*15</f>
        <v>0</v>
      </c>
      <c r="AE77" s="149">
        <f t="shared" si="6"/>
        <v>0</v>
      </c>
      <c r="AH77" s="470">
        <v>110360</v>
      </c>
      <c r="AI77" s="470">
        <v>110361</v>
      </c>
      <c r="AJ77" s="470">
        <v>110362</v>
      </c>
      <c r="AK77" s="470">
        <v>110363</v>
      </c>
      <c r="AL77" s="470">
        <v>110364</v>
      </c>
      <c r="AM77" s="470">
        <v>110365</v>
      </c>
      <c r="AN77" s="470">
        <v>110366</v>
      </c>
      <c r="AO77" s="470">
        <v>110367</v>
      </c>
      <c r="AP77" s="470">
        <v>110368</v>
      </c>
      <c r="AQ77" s="470"/>
      <c r="AR77" s="469">
        <v>110370</v>
      </c>
      <c r="AS77" s="469">
        <v>110371</v>
      </c>
      <c r="AT77" s="469">
        <v>110372</v>
      </c>
      <c r="AU77" s="469">
        <v>110373</v>
      </c>
      <c r="AV77" s="469">
        <v>110374</v>
      </c>
      <c r="AW77" s="469">
        <v>110375</v>
      </c>
      <c r="AX77" s="469">
        <v>110376</v>
      </c>
      <c r="AY77" s="469">
        <v>110377</v>
      </c>
      <c r="AZ77" s="469">
        <v>110378</v>
      </c>
      <c r="BA77" s="469">
        <v>110379</v>
      </c>
      <c r="BB77" s="468">
        <f>IF($O$21=1,AH77,IF($O$21=4,AI77,IF($O$21=5,AJ77,IF($O$21=11,AK77,IF($O$21=7,AL77,IF($O$21=3,AM77,IF($O$21=6,AN77,IF($O$21=9,AO77,IF($O$21=2,AP77,IF($O$21=8,AQ77,0))))))))))</f>
        <v>0</v>
      </c>
      <c r="BC77" s="468">
        <f>IF($O$21=1,AR77,IF($O$21=4,AS77,IF($O$21=5,AT77,IF($O$21=11,AU77,IF($O$21=7,AV77,IF($O$21=3,AW77,IF($O$21=6,AX77,IF($O$21=9,AY77,IF($O$21=2,AZ77,IF($O$21=8,BA77,0))))))))))</f>
        <v>0</v>
      </c>
    </row>
    <row r="78" spans="1:55" ht="32.1" customHeight="1">
      <c r="A78" s="98"/>
      <c r="B78" s="79" t="str">
        <f>VLOOKUP(878,Sprachindex!$A:$Z,Info!$O$7,FALSE)</f>
        <v>Stk.</v>
      </c>
      <c r="C78" s="81"/>
      <c r="D78" s="78">
        <f>IF($O$21=1,AH78,IF($O$21=4,AI78,IF($O$21=5,AJ78,IF($O$21=11,AK78,IF($O$21=7,AL78,IF($O$21=3,AM78,IF($O$21=6,AN78,IF($O$21=9,AO78,IF($O$21=2,AP78,IF($O$21=8,AQ78,0))))))))))</f>
        <v>0</v>
      </c>
      <c r="E78" s="561" t="str">
        <f>VLOOKUP(805,Sprachindex!$A:$Z,Info!$O$7,FALSE)</f>
        <v>Schneestopper für Dachschindel</v>
      </c>
      <c r="F78" s="562"/>
      <c r="G78" s="562"/>
      <c r="H78" s="562"/>
      <c r="I78" s="562"/>
      <c r="J78" s="562"/>
      <c r="K78" s="563"/>
      <c r="L78" s="79" t="str">
        <f t="shared" si="12"/>
        <v/>
      </c>
      <c r="M78" s="433" t="str">
        <f t="shared" si="0"/>
        <v>Stk.</v>
      </c>
      <c r="N78" s="80"/>
      <c r="O78" s="202" t="str">
        <f t="shared" si="13"/>
        <v/>
      </c>
      <c r="R78" s="200">
        <v>1.74</v>
      </c>
      <c r="AC78" s="1"/>
      <c r="AD78" s="149">
        <f>ROUNDUP($A78/150,0)*150</f>
        <v>0</v>
      </c>
      <c r="AE78" s="149">
        <f t="shared" si="6"/>
        <v>0</v>
      </c>
      <c r="AH78" s="44">
        <v>110310</v>
      </c>
      <c r="AI78" s="44">
        <v>110311</v>
      </c>
      <c r="AJ78" s="44">
        <v>110312</v>
      </c>
      <c r="AK78" s="44">
        <v>110313</v>
      </c>
      <c r="AL78" s="44">
        <v>110314</v>
      </c>
      <c r="AM78" s="44">
        <v>110315</v>
      </c>
      <c r="AN78" s="44">
        <v>110316</v>
      </c>
      <c r="AO78" s="44">
        <v>110317</v>
      </c>
      <c r="AP78" s="44">
        <v>110318</v>
      </c>
      <c r="AQ78" s="44">
        <v>110319</v>
      </c>
    </row>
    <row r="79" spans="1:55" ht="32.1" customHeight="1">
      <c r="A79" s="98"/>
      <c r="B79" s="79" t="str">
        <f>VLOOKUP(878,Sprachindex!$A:$Z,Info!$O$7,FALSE)</f>
        <v>Stk.</v>
      </c>
      <c r="C79" s="81"/>
      <c r="D79" s="78">
        <f>IF($O$21=1,AH79,IF($O$21=4,AI79,IF($O$21=5,AJ79,IF($O$21=11,AK79,IF($O$21=7,AL79,IF($O$21=3,AM79,IF($O$21=6,AN79,IF($O$21=9,AO79,IF($O$21=2,AP79,IF($O$21=8,AQ79,0))))))))))</f>
        <v>0</v>
      </c>
      <c r="E79" s="561" t="str">
        <f>VLOOKUP(2190,Sprachindex!$A:$Z,Info!$O$7,FALSE)</f>
        <v>Haken für Schneerechensystem, inkl. Befestigungsmaterial</v>
      </c>
      <c r="F79" s="562"/>
      <c r="G79" s="562"/>
      <c r="H79" s="562"/>
      <c r="I79" s="562"/>
      <c r="J79" s="562"/>
      <c r="K79" s="563"/>
      <c r="L79" s="79" t="str">
        <f t="shared" si="12"/>
        <v/>
      </c>
      <c r="M79" s="433" t="str">
        <f t="shared" si="0"/>
        <v>Stk.</v>
      </c>
      <c r="N79" s="80"/>
      <c r="O79" s="202" t="str">
        <f t="shared" si="13"/>
        <v/>
      </c>
      <c r="R79" s="200">
        <v>55.82</v>
      </c>
      <c r="S79" s="195">
        <v>53.06</v>
      </c>
      <c r="AC79" s="1"/>
      <c r="AD79" s="149">
        <f>ROUNDUP($A79/10,0)*10</f>
        <v>0</v>
      </c>
      <c r="AE79" s="149">
        <f t="shared" si="6"/>
        <v>0</v>
      </c>
      <c r="AH79" s="44">
        <v>120180</v>
      </c>
      <c r="AI79" s="44">
        <v>120181</v>
      </c>
      <c r="AJ79" s="44">
        <v>120182</v>
      </c>
      <c r="AK79" s="44">
        <v>120183</v>
      </c>
      <c r="AL79" s="44">
        <v>120184</v>
      </c>
      <c r="AM79" s="44">
        <v>120185</v>
      </c>
      <c r="AN79" s="44">
        <v>120186</v>
      </c>
      <c r="AO79" s="44">
        <v>120187</v>
      </c>
      <c r="AP79" s="44">
        <v>120188</v>
      </c>
      <c r="AQ79" s="44">
        <v>120189</v>
      </c>
    </row>
    <row r="80" spans="1:55" ht="32.1" customHeight="1">
      <c r="A80" s="98"/>
      <c r="B80" s="79" t="str">
        <f>VLOOKUP(878,Sprachindex!$A:$Z,Info!$O$7,FALSE)</f>
        <v>Stk.</v>
      </c>
      <c r="C80" s="81"/>
      <c r="D80" s="78">
        <v>515396</v>
      </c>
      <c r="E80" s="561" t="str">
        <f>VLOOKUP(2191,Sprachindex!$A:$Z,Info!$O$7,FALSE)</f>
        <v>Haken für Schneerechensystem XL, inkl. Befestigungsmaterial</v>
      </c>
      <c r="F80" s="562"/>
      <c r="G80" s="562"/>
      <c r="H80" s="562"/>
      <c r="I80" s="562"/>
      <c r="J80" s="562"/>
      <c r="K80" s="563"/>
      <c r="L80" s="79" t="str">
        <f t="shared" si="12"/>
        <v/>
      </c>
      <c r="M80" s="433" t="str">
        <f t="shared" si="0"/>
        <v>Stk.</v>
      </c>
      <c r="N80" s="80"/>
      <c r="O80" s="202" t="str">
        <f t="shared" si="13"/>
        <v/>
      </c>
      <c r="R80" s="200">
        <v>97.9</v>
      </c>
      <c r="S80" s="195">
        <v>90</v>
      </c>
      <c r="AC80" s="135"/>
      <c r="AD80" s="149">
        <f>ROUNDUP($A80/18,0)*18</f>
        <v>0</v>
      </c>
      <c r="AE80" s="149">
        <f t="shared" si="6"/>
        <v>0</v>
      </c>
      <c r="AF80" s="145"/>
      <c r="AH80" s="44"/>
      <c r="AI80" s="44"/>
      <c r="AJ80" s="44"/>
      <c r="AK80" s="44"/>
      <c r="AL80" s="44"/>
      <c r="AM80" s="44"/>
      <c r="AN80" s="44"/>
      <c r="AO80" s="44"/>
      <c r="AP80" s="44"/>
      <c r="AQ80" s="44"/>
    </row>
    <row r="81" spans="1:43" ht="32.1" customHeight="1">
      <c r="A81" s="98"/>
      <c r="B81" s="79" t="str">
        <f>VLOOKUP(1512,Sprachindex!$A:$Z,Info!$O$7,FALSE)</f>
        <v>lfm</v>
      </c>
      <c r="C81" s="81"/>
      <c r="D81" s="78">
        <f t="shared" ref="D81:D93" si="14">IF($O$21=1,AH81,IF($O$21=4,AI81,IF($O$21=5,AJ81,IF($O$21=11,AK81,IF($O$21=7,AL81,IF($O$21=3,AM81,IF($O$21=6,AN81,IF($O$21=9,AO81,IF($O$21=2,AP81,IF($O$21=8,AQ81,0))))))))))</f>
        <v>0</v>
      </c>
      <c r="E81" s="561" t="str">
        <f>VLOOKUP(793,Sprachindex!$A:$Z,Info!$O$7,FALSE)</f>
        <v>Einlegeprofil (3.000 mm)</v>
      </c>
      <c r="F81" s="562"/>
      <c r="G81" s="562"/>
      <c r="H81" s="562"/>
      <c r="I81" s="562"/>
      <c r="J81" s="562"/>
      <c r="K81" s="563"/>
      <c r="L81" s="79" t="str">
        <f t="shared" si="12"/>
        <v/>
      </c>
      <c r="M81" s="433" t="str">
        <f t="shared" si="0"/>
        <v>lfm</v>
      </c>
      <c r="N81" s="80"/>
      <c r="O81" s="202" t="str">
        <f t="shared" si="13"/>
        <v/>
      </c>
      <c r="R81" s="200">
        <v>10.71</v>
      </c>
      <c r="S81" s="195">
        <v>6.83</v>
      </c>
      <c r="AC81" s="1"/>
      <c r="AD81" s="149">
        <f>ROUNDUP($A81/3,0)*3</f>
        <v>0</v>
      </c>
      <c r="AE81" s="149">
        <f>ROUNDUP($A81/3,0)*3</f>
        <v>0</v>
      </c>
      <c r="AH81" s="44">
        <v>120350</v>
      </c>
      <c r="AI81" s="44">
        <v>120351</v>
      </c>
      <c r="AJ81" s="44">
        <v>120352</v>
      </c>
      <c r="AK81" s="44">
        <v>120353</v>
      </c>
      <c r="AL81" s="44">
        <v>120354</v>
      </c>
      <c r="AM81" s="44">
        <v>120355</v>
      </c>
      <c r="AN81" s="44">
        <v>120356</v>
      </c>
      <c r="AO81" s="44">
        <v>120357</v>
      </c>
      <c r="AP81" s="44">
        <v>120358</v>
      </c>
      <c r="AQ81" s="44">
        <v>120359</v>
      </c>
    </row>
    <row r="82" spans="1:43" ht="32.1" customHeight="1">
      <c r="A82" s="98"/>
      <c r="B82" s="79" t="str">
        <f>VLOOKUP(878,Sprachindex!$A:$Z,Info!$O$7,FALSE)</f>
        <v>Stk.</v>
      </c>
      <c r="C82" s="81"/>
      <c r="D82" s="78">
        <f t="shared" si="14"/>
        <v>0</v>
      </c>
      <c r="E82" s="561" t="str">
        <f>VLOOKUP(794,Sprachindex!$A:$Z,Info!$O$7,FALSE)</f>
        <v>Eiskralle</v>
      </c>
      <c r="F82" s="562"/>
      <c r="G82" s="562"/>
      <c r="H82" s="562"/>
      <c r="I82" s="562"/>
      <c r="J82" s="562"/>
      <c r="K82" s="563"/>
      <c r="L82" s="79" t="str">
        <f t="shared" si="12"/>
        <v/>
      </c>
      <c r="M82" s="433" t="str">
        <f t="shared" si="0"/>
        <v>Stk.</v>
      </c>
      <c r="N82" s="80"/>
      <c r="O82" s="202" t="str">
        <f t="shared" si="13"/>
        <v/>
      </c>
      <c r="R82" s="200">
        <v>4.6399999999999997</v>
      </c>
      <c r="S82" s="195">
        <v>4.32</v>
      </c>
      <c r="AC82" s="1"/>
      <c r="AD82" s="149">
        <f>ROUNDUP($A82/100,0)*100</f>
        <v>0</v>
      </c>
      <c r="AE82" s="149">
        <f t="shared" ref="AE82:AE91" si="15">ROUNDUP($A82,0)</f>
        <v>0</v>
      </c>
      <c r="AH82" s="44">
        <v>120700</v>
      </c>
      <c r="AI82" s="44">
        <v>120701</v>
      </c>
      <c r="AJ82" s="44">
        <v>120702</v>
      </c>
      <c r="AK82" s="44">
        <v>120703</v>
      </c>
      <c r="AL82" s="44">
        <v>120704</v>
      </c>
      <c r="AM82" s="44">
        <v>120705</v>
      </c>
      <c r="AN82" s="44">
        <v>120706</v>
      </c>
      <c r="AO82" s="44">
        <v>120707</v>
      </c>
      <c r="AP82" s="44">
        <v>120708</v>
      </c>
      <c r="AQ82" s="44">
        <v>120709</v>
      </c>
    </row>
    <row r="83" spans="1:43" ht="32.1" customHeight="1">
      <c r="A83" s="98"/>
      <c r="B83" s="79" t="str">
        <f>VLOOKUP(878,Sprachindex!$A:$Z,Info!$O$7,FALSE)</f>
        <v>Stk.</v>
      </c>
      <c r="C83" s="81"/>
      <c r="D83" s="78">
        <f t="shared" si="14"/>
        <v>0</v>
      </c>
      <c r="E83" s="561" t="str">
        <f>VLOOKUP(791,Sprachindex!$A:$Z,Info!$O$7,FALSE)</f>
        <v>Abschluss für Schneerechensystem</v>
      </c>
      <c r="F83" s="562"/>
      <c r="G83" s="562"/>
      <c r="H83" s="562"/>
      <c r="I83" s="562"/>
      <c r="J83" s="562"/>
      <c r="K83" s="563"/>
      <c r="L83" s="79" t="str">
        <f t="shared" si="12"/>
        <v/>
      </c>
      <c r="M83" s="433" t="str">
        <f t="shared" si="0"/>
        <v>Stk.</v>
      </c>
      <c r="N83" s="80"/>
      <c r="O83" s="202" t="str">
        <f t="shared" si="13"/>
        <v/>
      </c>
      <c r="R83" s="200">
        <v>6.33</v>
      </c>
      <c r="S83" s="195">
        <v>6.01</v>
      </c>
      <c r="AC83" s="1"/>
      <c r="AD83" s="149">
        <f>ROUNDUP($A83/2,0)*2</f>
        <v>0</v>
      </c>
      <c r="AE83" s="149">
        <f t="shared" si="15"/>
        <v>0</v>
      </c>
      <c r="AH83" s="44">
        <v>120390</v>
      </c>
      <c r="AI83" s="44">
        <v>120391</v>
      </c>
      <c r="AJ83" s="44">
        <v>120392</v>
      </c>
      <c r="AK83" s="44">
        <v>120393</v>
      </c>
      <c r="AL83" s="44">
        <v>120394</v>
      </c>
      <c r="AM83" s="44">
        <v>120395</v>
      </c>
      <c r="AN83" s="44">
        <v>120396</v>
      </c>
      <c r="AO83" s="44">
        <v>120397</v>
      </c>
      <c r="AP83" s="44">
        <v>120398</v>
      </c>
      <c r="AQ83" s="44">
        <v>120399</v>
      </c>
    </row>
    <row r="84" spans="1:43" ht="32.1" customHeight="1">
      <c r="A84" s="98"/>
      <c r="B84" s="79" t="str">
        <f>VLOOKUP(878,Sprachindex!$A:$Z,Info!$O$7,FALSE)</f>
        <v>Stk.</v>
      </c>
      <c r="C84" s="81"/>
      <c r="D84" s="78">
        <v>515395</v>
      </c>
      <c r="E84" s="561" t="str">
        <f>VLOOKUP(2192,Sprachindex!$A:$Z,Info!$O$7,FALSE)</f>
        <v>Abschluss für Schneerechensystem XL</v>
      </c>
      <c r="F84" s="562"/>
      <c r="G84" s="562"/>
      <c r="H84" s="562"/>
      <c r="I84" s="562"/>
      <c r="J84" s="562"/>
      <c r="K84" s="563"/>
      <c r="L84" s="79" t="str">
        <f t="shared" si="12"/>
        <v/>
      </c>
      <c r="M84" s="433" t="str">
        <f t="shared" si="0"/>
        <v>Stk.</v>
      </c>
      <c r="N84" s="80"/>
      <c r="O84" s="202" t="str">
        <f t="shared" si="13"/>
        <v/>
      </c>
      <c r="R84" s="200">
        <v>8.3000000000000007</v>
      </c>
      <c r="S84" s="195">
        <v>6.8</v>
      </c>
      <c r="AC84" s="135"/>
      <c r="AD84" s="149">
        <f>ROUNDUP($A84/18,0)*18</f>
        <v>0</v>
      </c>
      <c r="AE84" s="149">
        <f t="shared" si="15"/>
        <v>0</v>
      </c>
      <c r="AF84" s="145"/>
      <c r="AH84" s="44"/>
      <c r="AI84" s="44"/>
      <c r="AJ84" s="44"/>
      <c r="AK84" s="44"/>
      <c r="AL84" s="44"/>
      <c r="AM84" s="44"/>
      <c r="AN84" s="44"/>
      <c r="AO84" s="44"/>
      <c r="AP84" s="44"/>
      <c r="AQ84" s="44"/>
    </row>
    <row r="85" spans="1:43" ht="32.1" customHeight="1">
      <c r="A85" s="98"/>
      <c r="B85" s="79" t="str">
        <f>VLOOKUP(878,Sprachindex!$A:$Z,Info!$O$7,FALSE)</f>
        <v>Stk.</v>
      </c>
      <c r="C85" s="81"/>
      <c r="D85" s="78">
        <f t="shared" si="14"/>
        <v>0</v>
      </c>
      <c r="E85" s="561" t="str">
        <f>VLOOKUP(424,Sprachindex!$A:$Z,Info!$O$7,FALSE)</f>
        <v>Gebirgsschneefangstütze</v>
      </c>
      <c r="F85" s="562"/>
      <c r="G85" s="562"/>
      <c r="H85" s="562"/>
      <c r="I85" s="562"/>
      <c r="J85" s="562"/>
      <c r="K85" s="563"/>
      <c r="L85" s="79" t="str">
        <f t="shared" si="12"/>
        <v/>
      </c>
      <c r="M85" s="433" t="str">
        <f t="shared" si="0"/>
        <v>Stk.</v>
      </c>
      <c r="N85" s="80"/>
      <c r="O85" s="202" t="str">
        <f t="shared" si="13"/>
        <v/>
      </c>
      <c r="R85" s="200">
        <v>55.82</v>
      </c>
      <c r="S85" s="195">
        <v>53.06</v>
      </c>
      <c r="AC85" s="1"/>
      <c r="AD85" s="149">
        <f>ROUNDUP($A85/2,0)*2</f>
        <v>0</v>
      </c>
      <c r="AE85" s="149">
        <f t="shared" si="15"/>
        <v>0</v>
      </c>
      <c r="AH85" s="44">
        <v>120150</v>
      </c>
      <c r="AI85" s="44">
        <v>120151</v>
      </c>
      <c r="AJ85" s="44">
        <v>120152</v>
      </c>
      <c r="AK85" s="44">
        <v>120153</v>
      </c>
      <c r="AL85" s="44">
        <v>120154</v>
      </c>
      <c r="AM85" s="44">
        <v>120155</v>
      </c>
      <c r="AN85" s="44">
        <v>120156</v>
      </c>
      <c r="AO85" s="44">
        <v>120157</v>
      </c>
      <c r="AP85" s="44">
        <v>120158</v>
      </c>
      <c r="AQ85" s="44">
        <v>120159</v>
      </c>
    </row>
    <row r="86" spans="1:43" ht="32.1" customHeight="1">
      <c r="A86" s="98"/>
      <c r="B86" s="79" t="str">
        <f>VLOOKUP(878,Sprachindex!$A:$Z,Info!$O$7,FALSE)</f>
        <v>Stk.</v>
      </c>
      <c r="C86" s="81"/>
      <c r="D86" s="78">
        <f t="shared" si="14"/>
        <v>0</v>
      </c>
      <c r="E86" s="561" t="str">
        <f>VLOOKUP(510,Sprachindex!$A:$Z,Info!$O$7,FALSE)</f>
        <v>Kaminhut (700 × 700 mm)</v>
      </c>
      <c r="F86" s="562"/>
      <c r="G86" s="562"/>
      <c r="H86" s="562"/>
      <c r="I86" s="562"/>
      <c r="J86" s="562"/>
      <c r="K86" s="563"/>
      <c r="L86" s="79" t="str">
        <f t="shared" si="12"/>
        <v/>
      </c>
      <c r="M86" s="433" t="str">
        <f t="shared" si="0"/>
        <v>Stk.</v>
      </c>
      <c r="N86" s="80"/>
      <c r="O86" s="202" t="str">
        <f t="shared" si="13"/>
        <v/>
      </c>
      <c r="R86" s="200">
        <v>152.69999999999999</v>
      </c>
      <c r="S86" s="195">
        <v>124.1</v>
      </c>
      <c r="AC86" s="1"/>
      <c r="AD86" s="149">
        <f>ROUNDUP($A86,0)</f>
        <v>0</v>
      </c>
      <c r="AE86" s="149">
        <f t="shared" si="15"/>
        <v>0</v>
      </c>
      <c r="AH86" s="44">
        <v>110420</v>
      </c>
      <c r="AI86" s="44">
        <v>110421</v>
      </c>
      <c r="AJ86" s="44">
        <v>110422</v>
      </c>
      <c r="AK86" s="44">
        <v>110423</v>
      </c>
      <c r="AL86" s="44">
        <v>110424</v>
      </c>
      <c r="AM86" s="44">
        <v>110425</v>
      </c>
      <c r="AN86" s="44">
        <v>110426</v>
      </c>
      <c r="AO86" s="44">
        <v>110427</v>
      </c>
      <c r="AP86" s="44">
        <v>110428</v>
      </c>
      <c r="AQ86" s="44">
        <v>110429</v>
      </c>
    </row>
    <row r="87" spans="1:43" ht="32.1" customHeight="1">
      <c r="A87" s="98"/>
      <c r="B87" s="79" t="str">
        <f>VLOOKUP(878,Sprachindex!$A:$Z,Info!$O$7,FALSE)</f>
        <v>Stk.</v>
      </c>
      <c r="C87" s="81"/>
      <c r="D87" s="78">
        <f t="shared" si="14"/>
        <v>0</v>
      </c>
      <c r="E87" s="561" t="str">
        <f>VLOOKUP(511,Sprachindex!$A:$Z,Info!$O$7,FALSE)</f>
        <v>Kaminhut (800 × 800 mm)</v>
      </c>
      <c r="F87" s="562"/>
      <c r="G87" s="562"/>
      <c r="H87" s="562"/>
      <c r="I87" s="562"/>
      <c r="J87" s="562"/>
      <c r="K87" s="563"/>
      <c r="L87" s="79" t="str">
        <f t="shared" si="12"/>
        <v/>
      </c>
      <c r="M87" s="433" t="str">
        <f t="shared" si="0"/>
        <v>Stk.</v>
      </c>
      <c r="N87" s="80"/>
      <c r="O87" s="202" t="str">
        <f t="shared" si="13"/>
        <v/>
      </c>
      <c r="R87" s="200">
        <v>165</v>
      </c>
      <c r="S87" s="195">
        <v>133.69999999999999</v>
      </c>
      <c r="AC87" s="1"/>
      <c r="AD87" s="149">
        <f>ROUNDUP($A87,0)</f>
        <v>0</v>
      </c>
      <c r="AE87" s="149">
        <f t="shared" si="15"/>
        <v>0</v>
      </c>
      <c r="AH87" s="44">
        <v>110430</v>
      </c>
      <c r="AI87" s="44">
        <v>110431</v>
      </c>
      <c r="AJ87" s="44">
        <v>110432</v>
      </c>
      <c r="AK87" s="44">
        <v>110433</v>
      </c>
      <c r="AL87" s="44">
        <v>110434</v>
      </c>
      <c r="AM87" s="44">
        <v>110435</v>
      </c>
      <c r="AN87" s="44">
        <v>110436</v>
      </c>
      <c r="AO87" s="44">
        <v>110437</v>
      </c>
      <c r="AP87" s="44">
        <v>110438</v>
      </c>
      <c r="AQ87" s="44">
        <v>110439</v>
      </c>
    </row>
    <row r="88" spans="1:43" ht="32.1" customHeight="1">
      <c r="A88" s="98"/>
      <c r="B88" s="79" t="str">
        <f>VLOOKUP(878,Sprachindex!$A:$Z,Info!$O$7,FALSE)</f>
        <v>Stk.</v>
      </c>
      <c r="C88" s="81"/>
      <c r="D88" s="78">
        <f t="shared" si="14"/>
        <v>0</v>
      </c>
      <c r="E88" s="561" t="str">
        <f>VLOOKUP(507,Sprachindex!$A:$Z,Info!$O$7,FALSE)</f>
        <v>Kaminhut (1.000 × 700 mm)</v>
      </c>
      <c r="F88" s="562"/>
      <c r="G88" s="562"/>
      <c r="H88" s="562"/>
      <c r="I88" s="562"/>
      <c r="J88" s="562"/>
      <c r="K88" s="563"/>
      <c r="L88" s="79" t="str">
        <f t="shared" si="12"/>
        <v/>
      </c>
      <c r="M88" s="433" t="str">
        <f t="shared" si="0"/>
        <v>Stk.</v>
      </c>
      <c r="N88" s="80"/>
      <c r="O88" s="202" t="str">
        <f t="shared" si="13"/>
        <v/>
      </c>
      <c r="R88" s="200">
        <v>165.6</v>
      </c>
      <c r="S88" s="195">
        <v>144.1</v>
      </c>
      <c r="AC88" s="1"/>
      <c r="AD88" s="149">
        <f>ROUNDUP($A88,0)</f>
        <v>0</v>
      </c>
      <c r="AE88" s="149">
        <f t="shared" si="15"/>
        <v>0</v>
      </c>
      <c r="AH88" s="44">
        <v>110440</v>
      </c>
      <c r="AI88" s="44">
        <v>110441</v>
      </c>
      <c r="AJ88" s="44">
        <v>110442</v>
      </c>
      <c r="AK88" s="44">
        <v>110443</v>
      </c>
      <c r="AL88" s="44">
        <v>110444</v>
      </c>
      <c r="AM88" s="44">
        <v>110445</v>
      </c>
      <c r="AN88" s="44">
        <v>110446</v>
      </c>
      <c r="AO88" s="44">
        <v>110447</v>
      </c>
      <c r="AP88" s="44">
        <v>110448</v>
      </c>
      <c r="AQ88" s="44">
        <v>110449</v>
      </c>
    </row>
    <row r="89" spans="1:43" ht="32.1" customHeight="1">
      <c r="A89" s="98"/>
      <c r="B89" s="79" t="str">
        <f>VLOOKUP(878,Sprachindex!$A:$Z,Info!$O$7,FALSE)</f>
        <v>Stk.</v>
      </c>
      <c r="C89" s="81"/>
      <c r="D89" s="78">
        <f t="shared" si="14"/>
        <v>0</v>
      </c>
      <c r="E89" s="561" t="str">
        <f>VLOOKUP(508,Sprachindex!$A:$Z,Info!$O$7,FALSE)</f>
        <v>Kaminhut (1.100 × 800 mm)</v>
      </c>
      <c r="F89" s="562"/>
      <c r="G89" s="562"/>
      <c r="H89" s="562"/>
      <c r="I89" s="562"/>
      <c r="J89" s="562"/>
      <c r="K89" s="563"/>
      <c r="L89" s="79" t="str">
        <f t="shared" si="12"/>
        <v/>
      </c>
      <c r="M89" s="433" t="str">
        <f t="shared" si="0"/>
        <v>Stk.</v>
      </c>
      <c r="N89" s="80"/>
      <c r="O89" s="202" t="str">
        <f t="shared" si="13"/>
        <v/>
      </c>
      <c r="R89" s="200">
        <v>198.5</v>
      </c>
      <c r="S89" s="195">
        <v>160.5</v>
      </c>
      <c r="AC89" s="1"/>
      <c r="AD89" s="149">
        <f>ROUNDUP($A89,0)</f>
        <v>0</v>
      </c>
      <c r="AE89" s="149">
        <f t="shared" si="15"/>
        <v>0</v>
      </c>
      <c r="AH89" s="44">
        <v>110450</v>
      </c>
      <c r="AI89" s="44">
        <v>110451</v>
      </c>
      <c r="AJ89" s="44">
        <v>110452</v>
      </c>
      <c r="AK89" s="44">
        <v>110453</v>
      </c>
      <c r="AL89" s="44">
        <v>110454</v>
      </c>
      <c r="AM89" s="44">
        <v>110455</v>
      </c>
      <c r="AN89" s="44">
        <v>110456</v>
      </c>
      <c r="AO89" s="44">
        <v>110457</v>
      </c>
      <c r="AP89" s="44">
        <v>110458</v>
      </c>
      <c r="AQ89" s="44">
        <v>110459</v>
      </c>
    </row>
    <row r="90" spans="1:43" ht="32.1" customHeight="1">
      <c r="A90" s="98"/>
      <c r="B90" s="79" t="str">
        <f>VLOOKUP(878,Sprachindex!$A:$Z,Info!$O$7,FALSE)</f>
        <v>Stk.</v>
      </c>
      <c r="C90" s="81"/>
      <c r="D90" s="78">
        <f t="shared" si="14"/>
        <v>0</v>
      </c>
      <c r="E90" s="561" t="str">
        <f>VLOOKUP(509,Sprachindex!$A:$Z,Info!$O$7,FALSE)</f>
        <v>Kaminhut (1.500 × 800 mm)</v>
      </c>
      <c r="F90" s="562"/>
      <c r="G90" s="562"/>
      <c r="H90" s="562"/>
      <c r="I90" s="562"/>
      <c r="J90" s="562"/>
      <c r="K90" s="563"/>
      <c r="L90" s="79" t="str">
        <f t="shared" si="12"/>
        <v/>
      </c>
      <c r="M90" s="433" t="str">
        <f t="shared" si="0"/>
        <v>Stk.</v>
      </c>
      <c r="N90" s="80"/>
      <c r="O90" s="202" t="str">
        <f t="shared" si="13"/>
        <v/>
      </c>
      <c r="R90" s="200">
        <v>271.39999999999998</v>
      </c>
      <c r="S90" s="195">
        <v>220.6</v>
      </c>
      <c r="AC90" s="1"/>
      <c r="AD90" s="149">
        <f>ROUNDUP($A90,0)</f>
        <v>0</v>
      </c>
      <c r="AE90" s="149">
        <f t="shared" si="15"/>
        <v>0</v>
      </c>
      <c r="AH90" s="44">
        <v>110460</v>
      </c>
      <c r="AI90" s="44">
        <v>110461</v>
      </c>
      <c r="AJ90" s="44">
        <v>110462</v>
      </c>
      <c r="AK90" s="44">
        <v>110463</v>
      </c>
      <c r="AL90" s="44">
        <v>110464</v>
      </c>
      <c r="AM90" s="44">
        <v>110465</v>
      </c>
      <c r="AN90" s="44">
        <v>110466</v>
      </c>
      <c r="AO90" s="44">
        <v>110467</v>
      </c>
      <c r="AP90" s="44">
        <v>110468</v>
      </c>
      <c r="AQ90" s="44">
        <v>110469</v>
      </c>
    </row>
    <row r="91" spans="1:43" ht="32.1" customHeight="1">
      <c r="A91" s="98"/>
      <c r="B91" s="79" t="str">
        <f>VLOOKUP(878,Sprachindex!$A:$Z,Info!$O$7,FALSE)</f>
        <v>Stk.</v>
      </c>
      <c r="C91" s="81"/>
      <c r="D91" s="78">
        <f t="shared" si="14"/>
        <v>0</v>
      </c>
      <c r="E91" s="561" t="str">
        <f>VLOOKUP(512,Sprachindex!$A:$Z,Info!$O$7,FALSE)</f>
        <v>Kaminstrebe gebogen</v>
      </c>
      <c r="F91" s="562"/>
      <c r="G91" s="562"/>
      <c r="H91" s="562"/>
      <c r="I91" s="562"/>
      <c r="J91" s="562"/>
      <c r="K91" s="563"/>
      <c r="L91" s="79" t="str">
        <f t="shared" si="12"/>
        <v/>
      </c>
      <c r="M91" s="433" t="str">
        <f t="shared" si="0"/>
        <v>Stk.</v>
      </c>
      <c r="N91" s="80"/>
      <c r="O91" s="202" t="str">
        <f t="shared" si="13"/>
        <v/>
      </c>
      <c r="R91" s="200">
        <v>16.77</v>
      </c>
      <c r="S91" s="195">
        <v>11.79</v>
      </c>
      <c r="AC91" s="1"/>
      <c r="AD91" s="149">
        <f>ROUNDUP($A91/10,0)*10</f>
        <v>0</v>
      </c>
      <c r="AE91" s="149">
        <f t="shared" si="15"/>
        <v>0</v>
      </c>
      <c r="AH91" s="44">
        <v>110410</v>
      </c>
      <c r="AI91" s="44">
        <v>110411</v>
      </c>
      <c r="AJ91" s="44">
        <v>110412</v>
      </c>
      <c r="AK91" s="44">
        <v>110413</v>
      </c>
      <c r="AL91" s="44">
        <v>110414</v>
      </c>
      <c r="AM91" s="44">
        <v>110415</v>
      </c>
      <c r="AN91" s="44">
        <v>110416</v>
      </c>
      <c r="AO91" s="44">
        <v>110417</v>
      </c>
      <c r="AP91" s="44">
        <v>110418</v>
      </c>
      <c r="AQ91" s="44">
        <v>110419</v>
      </c>
    </row>
    <row r="92" spans="1:43" ht="32.1" customHeight="1">
      <c r="A92" s="98"/>
      <c r="B92" s="79" t="str">
        <f>VLOOKUP(1512,Sprachindex!$A:$Z,Info!$O$7,FALSE)</f>
        <v>lfm</v>
      </c>
      <c r="C92" s="78"/>
      <c r="D92" s="78">
        <f t="shared" si="14"/>
        <v>0</v>
      </c>
      <c r="E92" s="561" t="str">
        <f>VLOOKUP(402,Sprachindex!$A:$Z,Info!$O$7,FALSE)</f>
        <v>Flachprofil (35 × 7 × 3.000 mm)</v>
      </c>
      <c r="F92" s="562"/>
      <c r="G92" s="562"/>
      <c r="H92" s="562"/>
      <c r="I92" s="562"/>
      <c r="J92" s="562"/>
      <c r="K92" s="563"/>
      <c r="L92" s="79" t="str">
        <f t="shared" si="12"/>
        <v/>
      </c>
      <c r="M92" s="433" t="str">
        <f t="shared" si="0"/>
        <v>lfm</v>
      </c>
      <c r="N92" s="80"/>
      <c r="O92" s="202" t="str">
        <f t="shared" si="13"/>
        <v/>
      </c>
      <c r="R92" s="200">
        <v>11.32</v>
      </c>
      <c r="S92" s="195">
        <v>8.19</v>
      </c>
      <c r="AC92" s="1"/>
      <c r="AD92" s="149">
        <f>ROUNDUP($A92/3,0)*3</f>
        <v>0</v>
      </c>
      <c r="AE92" s="149">
        <f>ROUNDUP($A92/3,0)*3</f>
        <v>0</v>
      </c>
      <c r="AH92" s="44">
        <v>110400</v>
      </c>
      <c r="AI92" s="44">
        <v>110401</v>
      </c>
      <c r="AJ92" s="44">
        <v>110402</v>
      </c>
      <c r="AK92" s="44">
        <v>110403</v>
      </c>
      <c r="AL92" s="44">
        <v>110404</v>
      </c>
      <c r="AM92" s="44">
        <v>110405</v>
      </c>
      <c r="AN92" s="44">
        <v>110406</v>
      </c>
      <c r="AO92" s="44">
        <v>110407</v>
      </c>
      <c r="AP92" s="44">
        <v>110408</v>
      </c>
      <c r="AQ92" s="117" t="s">
        <v>74</v>
      </c>
    </row>
    <row r="93" spans="1:43" ht="32.1" customHeight="1">
      <c r="A93" s="98"/>
      <c r="B93" s="79" t="str">
        <f>VLOOKUP(878,Sprachindex!$A:$Z,Info!$O$7,FALSE)</f>
        <v>Stk.</v>
      </c>
      <c r="C93" s="81"/>
      <c r="D93" s="78">
        <f t="shared" si="14"/>
        <v>0</v>
      </c>
      <c r="E93" s="561" t="str">
        <f>VLOOKUP(459,Sprachindex!$A:$Z,Info!$O$7,FALSE)</f>
        <v>Hauerbuckel; zum Abdecken von Befestigungsmitteln</v>
      </c>
      <c r="F93" s="562"/>
      <c r="G93" s="562"/>
      <c r="H93" s="562"/>
      <c r="I93" s="562"/>
      <c r="J93" s="562"/>
      <c r="K93" s="563"/>
      <c r="L93" s="79" t="str">
        <f t="shared" si="12"/>
        <v/>
      </c>
      <c r="M93" s="433" t="str">
        <f t="shared" si="0"/>
        <v>Stk.</v>
      </c>
      <c r="N93" s="80"/>
      <c r="O93" s="202" t="str">
        <f t="shared" si="13"/>
        <v/>
      </c>
      <c r="R93" s="200">
        <v>2.06</v>
      </c>
      <c r="AC93" s="1"/>
      <c r="AD93" s="149">
        <f>ROUNDUP($A93,0)</f>
        <v>0</v>
      </c>
      <c r="AE93" s="149">
        <f>ROUNDUP($A93,0)</f>
        <v>0</v>
      </c>
      <c r="AH93" s="44">
        <v>112401</v>
      </c>
      <c r="AI93" s="44">
        <v>112402</v>
      </c>
      <c r="AJ93" s="44">
        <v>112403</v>
      </c>
      <c r="AK93" s="44">
        <v>112404</v>
      </c>
      <c r="AL93" s="44">
        <v>112405</v>
      </c>
      <c r="AM93" s="44">
        <v>112406</v>
      </c>
      <c r="AN93" s="44">
        <v>112407</v>
      </c>
      <c r="AO93" s="44">
        <v>112408</v>
      </c>
      <c r="AP93" s="44">
        <v>112409</v>
      </c>
      <c r="AQ93" s="44">
        <v>112410</v>
      </c>
    </row>
    <row r="94" spans="1:43" ht="32.1" customHeight="1">
      <c r="A94" s="98"/>
      <c r="B94" s="79" t="str">
        <f>VLOOKUP(878,Sprachindex!$A:$Z,Info!$O$7,FALSE)</f>
        <v>Stk.</v>
      </c>
      <c r="C94" s="81"/>
      <c r="D94" s="78">
        <v>340404</v>
      </c>
      <c r="E94" s="561" t="str">
        <f>VLOOKUP(1422,Sprachindex!$A:$Z,Info!$O$7,FALSE)</f>
        <v>Dachleitungshalter für Blitzschutzdraht</v>
      </c>
      <c r="F94" s="562"/>
      <c r="G94" s="562"/>
      <c r="H94" s="562"/>
      <c r="I94" s="562"/>
      <c r="J94" s="562"/>
      <c r="K94" s="563"/>
      <c r="L94" s="79" t="str">
        <f t="shared" si="12"/>
        <v/>
      </c>
      <c r="M94" s="433" t="str">
        <f t="shared" si="0"/>
        <v>Stk.</v>
      </c>
      <c r="N94" s="80"/>
      <c r="O94" s="202" t="str">
        <f t="shared" si="13"/>
        <v/>
      </c>
      <c r="R94" s="200">
        <v>7.16</v>
      </c>
      <c r="AC94" s="1"/>
      <c r="AD94" s="149">
        <f>ROUNDUP($A94/50,0)*50</f>
        <v>0</v>
      </c>
      <c r="AE94" s="149">
        <f t="shared" ref="AE94:AE102" si="16">ROUNDUP($A94,0)</f>
        <v>0</v>
      </c>
      <c r="AH94" s="125"/>
      <c r="AI94" s="125"/>
      <c r="AJ94" s="125"/>
      <c r="AK94" s="125"/>
      <c r="AL94" s="125"/>
      <c r="AM94" s="125"/>
      <c r="AN94" s="125"/>
      <c r="AO94" s="125"/>
      <c r="AP94" s="125"/>
      <c r="AQ94" s="125"/>
    </row>
    <row r="95" spans="1:43" ht="32.1" customHeight="1">
      <c r="A95" s="98"/>
      <c r="B95" s="79" t="str">
        <f>VLOOKUP(878,Sprachindex!$A:$Z,Info!$O$7,FALSE)</f>
        <v>Stk.</v>
      </c>
      <c r="C95" s="78"/>
      <c r="D95" s="78">
        <v>420501</v>
      </c>
      <c r="E95" s="581" t="str">
        <f>VLOOKUP(851,Sprachindex!$A:$Z,Info!$O$7,FALSE)</f>
        <v>Spezialkleber</v>
      </c>
      <c r="F95" s="582"/>
      <c r="G95" s="582"/>
      <c r="H95" s="582"/>
      <c r="I95" s="582"/>
      <c r="J95" s="582"/>
      <c r="K95" s="583"/>
      <c r="L95" s="79" t="str">
        <f t="shared" si="12"/>
        <v/>
      </c>
      <c r="M95" s="433" t="str">
        <f t="shared" si="0"/>
        <v>Stk.</v>
      </c>
      <c r="N95" s="80"/>
      <c r="O95" s="202" t="str">
        <f t="shared" si="13"/>
        <v/>
      </c>
      <c r="R95" s="200">
        <v>39.130000000000003</v>
      </c>
      <c r="AC95" s="1"/>
      <c r="AD95" s="149">
        <f>ROUNDUP($A95/24,0)*24</f>
        <v>0</v>
      </c>
      <c r="AE95" s="149">
        <f t="shared" si="16"/>
        <v>0</v>
      </c>
    </row>
    <row r="96" spans="1:43" ht="32.1" customHeight="1">
      <c r="A96" s="98"/>
      <c r="B96" s="79" t="str">
        <f>VLOOKUP(821,Sprachindex!$A:$Z,Info!$O$7,FALSE)</f>
        <v>Set</v>
      </c>
      <c r="C96" s="81"/>
      <c r="D96" s="78">
        <v>420500</v>
      </c>
      <c r="E96" s="561" t="str">
        <f>VLOOKUP(852,Sprachindex!$A:$Z,Info!$O$7,FALSE)</f>
        <v>Spezialkleberset</v>
      </c>
      <c r="F96" s="562"/>
      <c r="G96" s="562"/>
      <c r="H96" s="562"/>
      <c r="I96" s="562"/>
      <c r="J96" s="562"/>
      <c r="K96" s="563"/>
      <c r="L96" s="79" t="str">
        <f t="shared" si="12"/>
        <v/>
      </c>
      <c r="M96" s="433" t="str">
        <f t="shared" ref="M96:M102" si="17">B96</f>
        <v>Set</v>
      </c>
      <c r="N96" s="80"/>
      <c r="O96" s="202" t="str">
        <f t="shared" si="13"/>
        <v/>
      </c>
      <c r="R96" s="200">
        <v>53.57</v>
      </c>
      <c r="AC96" s="1"/>
      <c r="AD96" s="149">
        <f>ROUNDUP($A96,0)</f>
        <v>0</v>
      </c>
      <c r="AE96" s="149">
        <f t="shared" si="16"/>
        <v>0</v>
      </c>
    </row>
    <row r="97" spans="1:53" ht="32.1" customHeight="1">
      <c r="A97" s="98"/>
      <c r="B97" s="79" t="str">
        <f>VLOOKUP(878,Sprachindex!$A:$Z,Info!$O$7,FALSE)</f>
        <v>Stk.</v>
      </c>
      <c r="C97" s="78"/>
      <c r="D97" s="78">
        <v>340415</v>
      </c>
      <c r="E97" s="599" t="str">
        <f>VLOOKUP(184,Sprachindex!$A:$Z,Info!$O$7,FALSE)</f>
        <v>Aufsparrenschraubenpaket</v>
      </c>
      <c r="F97" s="599"/>
      <c r="G97" s="599"/>
      <c r="H97" s="599"/>
      <c r="I97" s="599"/>
      <c r="J97" s="599"/>
      <c r="K97" s="599"/>
      <c r="L97" s="79" t="str">
        <f>IF($A97=0,"",IF($O$11=1,AD97,AE97))</f>
        <v/>
      </c>
      <c r="M97" s="433" t="str">
        <f t="shared" si="17"/>
        <v>Stk.</v>
      </c>
      <c r="N97" s="80"/>
      <c r="O97" s="202" t="str">
        <f t="shared" si="13"/>
        <v/>
      </c>
      <c r="R97" s="200">
        <v>26.02</v>
      </c>
      <c r="AC97" s="1"/>
      <c r="AD97" s="149">
        <f>ROUNDUP($A97,0)</f>
        <v>0</v>
      </c>
      <c r="AE97" s="149">
        <f t="shared" si="16"/>
        <v>0</v>
      </c>
    </row>
    <row r="98" spans="1:53" ht="32.1" customHeight="1">
      <c r="A98" s="98"/>
      <c r="B98" s="79" t="str">
        <f>VLOOKUP(878,Sprachindex!$A:$Z,Info!$O$7,FALSE)</f>
        <v>Stk.</v>
      </c>
      <c r="C98" s="81"/>
      <c r="D98" s="78">
        <v>340416</v>
      </c>
      <c r="E98" s="561" t="str">
        <f>VLOOKUP(183,Sprachindex!$A:$Z,Info!$O$7,FALSE)</f>
        <v>Aufsparrenmontagepaket</v>
      </c>
      <c r="F98" s="562"/>
      <c r="G98" s="562"/>
      <c r="H98" s="562"/>
      <c r="I98" s="562"/>
      <c r="J98" s="562"/>
      <c r="K98" s="563"/>
      <c r="L98" s="79" t="str">
        <f>IF($A98=0,"",IF($O$11=1,AD98,AE98))</f>
        <v/>
      </c>
      <c r="M98" s="433" t="str">
        <f t="shared" si="17"/>
        <v>Stk.</v>
      </c>
      <c r="N98" s="80"/>
      <c r="O98" s="202" t="str">
        <f t="shared" si="13"/>
        <v/>
      </c>
      <c r="R98" s="200">
        <v>43.62</v>
      </c>
      <c r="AC98" s="1"/>
      <c r="AD98" s="149">
        <f>ROUNDUP($A98,0)</f>
        <v>0</v>
      </c>
      <c r="AE98" s="149">
        <f t="shared" si="16"/>
        <v>0</v>
      </c>
    </row>
    <row r="99" spans="1:53" ht="32.1" customHeight="1">
      <c r="A99" s="98"/>
      <c r="B99" s="79" t="str">
        <f>VLOOKUP(878,Sprachindex!$A:$Z,Info!$O$7,FALSE)</f>
        <v>Stk.</v>
      </c>
      <c r="C99" s="81"/>
      <c r="D99" s="78">
        <v>119008</v>
      </c>
      <c r="E99" s="561" t="str">
        <f>VLOOKUP(2237,Sprachindex!$A:$Z,Info!$O$7,FALSE)</f>
        <v>Taurus-BEF-10 auf Fußteilen</v>
      </c>
      <c r="F99" s="562"/>
      <c r="G99" s="562"/>
      <c r="H99" s="562"/>
      <c r="I99" s="562"/>
      <c r="J99" s="562"/>
      <c r="K99" s="563"/>
      <c r="L99" s="79" t="str">
        <f>IF($A99=0,"",IF($O$11=1,AD99,AE99))</f>
        <v/>
      </c>
      <c r="M99" s="171" t="str">
        <f>VLOOKUP(878,Sprachindex!$A:$Z,Info!$O$7,FALSE)</f>
        <v>Stk.</v>
      </c>
      <c r="N99" s="80"/>
      <c r="O99" s="202" t="str">
        <f t="shared" si="13"/>
        <v/>
      </c>
      <c r="R99" s="200">
        <v>138.6</v>
      </c>
      <c r="T99" s="195"/>
      <c r="U99" s="195"/>
      <c r="V99" s="195"/>
      <c r="W99" s="195"/>
      <c r="X99" s="195"/>
      <c r="Y99" s="195"/>
      <c r="Z99" s="195"/>
      <c r="AA99" s="195"/>
      <c r="AB99" s="195"/>
      <c r="AC99" s="135"/>
      <c r="AD99" s="149">
        <f t="shared" ref="AD99:AD100" si="18">ROUNDUP($A99,0)</f>
        <v>0</v>
      </c>
      <c r="AE99" s="149">
        <f t="shared" si="16"/>
        <v>0</v>
      </c>
      <c r="AF99" s="145"/>
    </row>
    <row r="100" spans="1:53" ht="32.1" customHeight="1">
      <c r="A100" s="98"/>
      <c r="B100" s="79" t="str">
        <f>VLOOKUP(878,Sprachindex!$A:$Z,Info!$O$7,FALSE)</f>
        <v>Stk.</v>
      </c>
      <c r="C100" s="81"/>
      <c r="D100" s="78">
        <v>120268</v>
      </c>
      <c r="E100" s="561" t="str">
        <f>VLOOKUP(2238,Sprachindex!$A:$Z,Info!$O$7,FALSE)</f>
        <v>Einzelanschlagspunkt auf Fußteilen</v>
      </c>
      <c r="F100" s="562"/>
      <c r="G100" s="562"/>
      <c r="H100" s="562"/>
      <c r="I100" s="562"/>
      <c r="J100" s="562"/>
      <c r="K100" s="563"/>
      <c r="L100" s="79" t="str">
        <f>IF($A100=0,"",IF($O$11=1,AD100,AE100))</f>
        <v/>
      </c>
      <c r="M100" s="171" t="str">
        <f>VLOOKUP(878,Sprachindex!$A:$Z,Info!$O$7,FALSE)</f>
        <v>Stk.</v>
      </c>
      <c r="N100" s="80"/>
      <c r="O100" s="202" t="str">
        <f t="shared" si="13"/>
        <v/>
      </c>
      <c r="R100" s="200">
        <v>135.6</v>
      </c>
      <c r="T100" s="195"/>
      <c r="U100" s="195"/>
      <c r="V100" s="195"/>
      <c r="W100" s="195"/>
      <c r="X100" s="195"/>
      <c r="Y100" s="195"/>
      <c r="Z100" s="195"/>
      <c r="AA100" s="195"/>
      <c r="AB100" s="195"/>
      <c r="AC100" s="135"/>
      <c r="AD100" s="149">
        <f t="shared" si="18"/>
        <v>0</v>
      </c>
      <c r="AE100" s="149">
        <f t="shared" si="16"/>
        <v>0</v>
      </c>
      <c r="AF100" s="145"/>
      <c r="AH100" s="20" t="s">
        <v>96</v>
      </c>
      <c r="AI100" s="20" t="s">
        <v>97</v>
      </c>
      <c r="AJ100" s="20"/>
      <c r="AK100" s="20" t="s">
        <v>95</v>
      </c>
      <c r="AL100" s="20" t="s">
        <v>98</v>
      </c>
      <c r="AM100" s="20"/>
      <c r="AN100" s="20"/>
      <c r="AO100" s="20"/>
      <c r="AP100" s="20"/>
      <c r="AQ100" s="20"/>
    </row>
    <row r="101" spans="1:53" ht="32.1" customHeight="1">
      <c r="A101" s="98"/>
      <c r="B101" s="79" t="str">
        <f>VLOOKUP(531,Sprachindex!$A:$Z,Info!$O$7,FALSE)</f>
        <v>kg</v>
      </c>
      <c r="C101" s="81"/>
      <c r="D101" s="81">
        <f>IF(I101=Formeln!A107,AL101,IF(I101=Formeln!A108,AH101,IF(I101=Formeln!A109,AI101,IF(I101=Formeln!A110,AJ101,IF(I101=Formeln!A111,AK101,0)))))</f>
        <v>0</v>
      </c>
      <c r="E101" s="570" t="str">
        <f>VLOOKUP(583,Sprachindex!$A:$Z,Info!$O$7,FALSE)</f>
        <v>Lochblech (⌀ 5 mm) ca. 24 kg/Rolle (0,7 × 1.000 mm)</v>
      </c>
      <c r="F101" s="571"/>
      <c r="G101" s="571"/>
      <c r="H101" s="571"/>
      <c r="I101" s="572"/>
      <c r="J101" s="573"/>
      <c r="K101" s="573"/>
      <c r="L101" s="141" t="str">
        <f>IF($A101=0,"",IF($I101=Formeln!$A$106," ",IF($O$11=1,AD101,AE101)))</f>
        <v/>
      </c>
      <c r="M101" s="433" t="str">
        <f t="shared" si="17"/>
        <v>kg</v>
      </c>
      <c r="N101" s="80"/>
      <c r="O101" s="202" t="str">
        <f t="shared" si="13"/>
        <v/>
      </c>
      <c r="R101" s="200"/>
      <c r="AC101" s="1"/>
      <c r="AD101" s="149">
        <f>ROUNDUP($A101/24,0)*24</f>
        <v>0</v>
      </c>
      <c r="AE101" s="149">
        <f t="shared" si="16"/>
        <v>0</v>
      </c>
      <c r="AF101" s="8" t="str">
        <f>IF(A101&gt;24, Formeln!A119, Formeln!A118)</f>
        <v>Rolle</v>
      </c>
      <c r="AH101" s="44">
        <v>507202</v>
      </c>
      <c r="AI101" s="44">
        <v>507203</v>
      </c>
      <c r="AJ101" s="44"/>
      <c r="AK101" s="44">
        <v>507205</v>
      </c>
      <c r="AL101" s="44">
        <v>507206</v>
      </c>
      <c r="AR101" s="498" t="s">
        <v>33</v>
      </c>
      <c r="AS101" s="498" t="s">
        <v>34</v>
      </c>
      <c r="AT101" s="498" t="s">
        <v>35</v>
      </c>
      <c r="AU101" s="498" t="s">
        <v>36</v>
      </c>
      <c r="AV101" s="498" t="s">
        <v>37</v>
      </c>
      <c r="AW101" s="498" t="s">
        <v>38</v>
      </c>
      <c r="AX101" s="498" t="s">
        <v>39</v>
      </c>
      <c r="AY101" s="498" t="s">
        <v>40</v>
      </c>
      <c r="AZ101" s="47" t="s">
        <v>41</v>
      </c>
      <c r="BA101" s="47" t="s">
        <v>42</v>
      </c>
    </row>
    <row r="102" spans="1:53" ht="50.1" customHeight="1">
      <c r="A102" s="98"/>
      <c r="B102" s="79" t="str">
        <f>VLOOKUP(531,Sprachindex!$A:$Z,Info!$O$7,FALSE)</f>
        <v>kg</v>
      </c>
      <c r="C102" s="81"/>
      <c r="D102" s="78">
        <f>IF(AND(I102=Formeln!A24,K102=Formeln!A129),AH102,IF(AND(I102=Formeln!A24,K102=Formeln!A132),AI102,IF(AND(I102=Formeln!A24,K102=Formeln!A134),AJ102,IF(AND(I102=Formeln!A24,K102=Formeln!A128),AK102,IF(AND(I102=Formeln!A24,K102=Formeln!A137),AL102,IF(AND(I102=Formeln!A24,K102=Formeln!A131),AM102,IF(AND(I102=Formeln!A24,K102=Formeln!A135),AN102,IF(AND(I102=Formeln!A24,K102=Formeln!A133),AO102,IF(AND(I102=Formeln!A24,K102=Formeln!A130),AP102,IF(AND(I102=Formeln!A24,K102=Formeln!A136),AQ102,IF(AND(I102=Formeln!A25,K102=Formeln!A129),AR102,IF(AND(I102=Formeln!A25,K102=Formeln!A134),AT102,IF(AND(I102=Formeln!A25,K102=Formeln!A132),AS102,IF(AND(I102=Formeln!A25,K102=Formeln!A128),AU102,IF(AND(I102=Formeln!A25,K102=Formeln!A137),AV102,IF(AND(I102=Formeln!A25,K102=Formeln!A131),AW102,IF(AND(I102=Formeln!A25,K102=Formeln!A135),AX102,IF(AND(I102=Formeln!A25,K102=Formeln!A133),AY102,IF(AND(I102=Formeln!A25,K102=Formeln!A130),AZ102,IF(AND(I102=Formeln!A25,K102=Formeln!A136),BA102,0))))))))))))))))))))</f>
        <v>0</v>
      </c>
      <c r="E102" s="561" t="str">
        <f>VLOOKUP(669,Sprachindex!$A:$Z,Info!$O$7,FALSE)</f>
        <v>PREFALZ Ergänzungsband; 0,7 × 1.000 mm (für Zusatzverblechungen)</v>
      </c>
      <c r="F102" s="562"/>
      <c r="G102" s="562"/>
      <c r="H102" s="85" t="str">
        <f>VLOOKUP(638,Sprachindex!$A:$Z,Info!$O$7,FALSE)</f>
        <v>Oberfläche:</v>
      </c>
      <c r="I102" s="86"/>
      <c r="J102" s="84" t="str">
        <f>VLOOKUP(385,Sprachindex!$A:$Z,Info!$O$7,FALSE)</f>
        <v>Farbe:</v>
      </c>
      <c r="K102" s="86"/>
      <c r="L102" s="141" t="str">
        <f>IF($A102=0,"",IF(OR($I102=Formeln!$A$23,$K102=Formeln!$A$127)," ",IF($O$11=1,AD102,AE102)))</f>
        <v/>
      </c>
      <c r="M102" s="433" t="str">
        <f t="shared" si="17"/>
        <v>kg</v>
      </c>
      <c r="N102" s="80"/>
      <c r="O102" s="202" t="str">
        <f t="shared" si="13"/>
        <v/>
      </c>
      <c r="R102" s="200"/>
      <c r="AC102" s="1"/>
      <c r="AD102" s="161">
        <f>ROUNDUP($A102/30,0)*30</f>
        <v>0</v>
      </c>
      <c r="AE102" s="161">
        <f t="shared" si="16"/>
        <v>0</v>
      </c>
      <c r="AF102" s="8" t="str">
        <f>IF(A102&gt;60, Formeln!A119, Formeln!A118)</f>
        <v>Rolle</v>
      </c>
      <c r="AH102" s="117" t="s">
        <v>76</v>
      </c>
      <c r="AI102" s="117" t="s">
        <v>77</v>
      </c>
      <c r="AJ102" s="117" t="s">
        <v>78</v>
      </c>
      <c r="AK102" s="117" t="s">
        <v>99</v>
      </c>
      <c r="AL102" s="117" t="s">
        <v>79</v>
      </c>
      <c r="AM102" s="117" t="s">
        <v>80</v>
      </c>
      <c r="AN102" s="117" t="s">
        <v>81</v>
      </c>
      <c r="AO102" s="117" t="s">
        <v>82</v>
      </c>
      <c r="AP102" s="117" t="s">
        <v>83</v>
      </c>
      <c r="AQ102" s="117" t="s">
        <v>84</v>
      </c>
      <c r="AR102" s="117" t="s">
        <v>85</v>
      </c>
      <c r="AS102" s="117" t="s">
        <v>86</v>
      </c>
      <c r="AT102" s="117" t="s">
        <v>87</v>
      </c>
      <c r="AU102" s="117" t="s">
        <v>88</v>
      </c>
      <c r="AV102" s="117" t="s">
        <v>89</v>
      </c>
      <c r="AW102" s="117" t="s">
        <v>90</v>
      </c>
      <c r="AX102" s="117" t="s">
        <v>91</v>
      </c>
      <c r="AY102" s="117" t="s">
        <v>92</v>
      </c>
      <c r="AZ102" s="117" t="s">
        <v>93</v>
      </c>
      <c r="BA102" s="117" t="s">
        <v>94</v>
      </c>
    </row>
    <row r="103" spans="1:53" ht="32.1" customHeight="1">
      <c r="A103" s="98"/>
      <c r="B103" s="104"/>
      <c r="C103" s="104"/>
      <c r="D103" s="104"/>
      <c r="E103" s="575"/>
      <c r="F103" s="576"/>
      <c r="G103" s="576"/>
      <c r="H103" s="576"/>
      <c r="I103" s="576"/>
      <c r="J103" s="576"/>
      <c r="K103" s="577"/>
      <c r="L103" s="104"/>
      <c r="M103" s="433"/>
      <c r="N103" s="447"/>
      <c r="O103" s="202"/>
      <c r="R103" s="200"/>
      <c r="AC103" s="1"/>
      <c r="AD103" s="8"/>
      <c r="AE103" s="8"/>
      <c r="AH103" s="47" t="s">
        <v>33</v>
      </c>
      <c r="AI103" s="47" t="s">
        <v>34</v>
      </c>
      <c r="AJ103" s="47" t="s">
        <v>35</v>
      </c>
      <c r="AK103" s="47" t="s">
        <v>36</v>
      </c>
      <c r="AL103" s="47" t="s">
        <v>37</v>
      </c>
      <c r="AM103" s="47" t="s">
        <v>38</v>
      </c>
      <c r="AN103" s="47" t="s">
        <v>39</v>
      </c>
      <c r="AO103" s="47" t="s">
        <v>40</v>
      </c>
      <c r="AP103" s="47" t="s">
        <v>41</v>
      </c>
      <c r="AQ103" s="47" t="s">
        <v>42</v>
      </c>
    </row>
    <row r="104" spans="1:53" ht="32.1" customHeight="1">
      <c r="A104" s="98"/>
      <c r="B104" s="104"/>
      <c r="C104" s="104"/>
      <c r="D104" s="104"/>
      <c r="E104" s="575"/>
      <c r="F104" s="576"/>
      <c r="G104" s="576"/>
      <c r="H104" s="576"/>
      <c r="I104" s="576"/>
      <c r="J104" s="576"/>
      <c r="K104" s="577"/>
      <c r="L104" s="104"/>
      <c r="M104" s="433"/>
      <c r="N104" s="447"/>
      <c r="O104" s="202"/>
      <c r="R104" s="200"/>
      <c r="AC104" s="1"/>
      <c r="AD104" s="8"/>
      <c r="AE104" s="8"/>
    </row>
    <row r="105" spans="1:53" ht="32.1" customHeight="1" thickBot="1">
      <c r="A105" s="153"/>
      <c r="B105" s="154"/>
      <c r="C105" s="154"/>
      <c r="D105" s="154"/>
      <c r="E105" s="578"/>
      <c r="F105" s="579"/>
      <c r="G105" s="579"/>
      <c r="H105" s="579"/>
      <c r="I105" s="579"/>
      <c r="J105" s="579"/>
      <c r="K105" s="580"/>
      <c r="L105" s="154"/>
      <c r="M105" s="434"/>
      <c r="N105" s="448"/>
      <c r="O105" s="202"/>
      <c r="R105" s="200"/>
      <c r="AC105" s="1"/>
      <c r="AD105" s="8"/>
      <c r="AE105" s="8"/>
    </row>
    <row r="106" spans="1:53" ht="17.399999999999999">
      <c r="A106" s="70"/>
      <c r="B106" s="70"/>
      <c r="C106" s="70"/>
      <c r="D106" s="564"/>
      <c r="E106" s="564"/>
      <c r="F106" s="564"/>
      <c r="G106" s="564"/>
      <c r="H106" s="564"/>
      <c r="I106" s="564"/>
      <c r="J106" s="564"/>
      <c r="K106" s="564"/>
      <c r="L106" s="564"/>
      <c r="M106" s="564"/>
      <c r="N106" s="564"/>
      <c r="O106" s="225"/>
      <c r="R106" s="200"/>
    </row>
    <row r="107" spans="1:53" ht="17.399999999999999">
      <c r="A107" s="70"/>
      <c r="B107" s="70"/>
      <c r="C107" s="89" t="str">
        <f>VLOOKUP(1035,Sprachindex!$A:$Z,Info!$O$7,FALSE)</f>
        <v>Zusatzvermerk:</v>
      </c>
      <c r="D107" s="565"/>
      <c r="E107" s="565"/>
      <c r="F107" s="565"/>
      <c r="G107" s="565"/>
      <c r="H107" s="565"/>
      <c r="I107" s="565"/>
      <c r="J107" s="565"/>
      <c r="K107" s="565"/>
      <c r="L107" s="565"/>
      <c r="M107" s="565"/>
      <c r="N107" s="565"/>
      <c r="O107" s="196">
        <f>SUM(O27:O106)</f>
        <v>0</v>
      </c>
    </row>
    <row r="108" spans="1:53" ht="17.399999999999999">
      <c r="A108" s="70"/>
      <c r="B108" s="70"/>
      <c r="C108" s="70"/>
      <c r="D108" s="566"/>
      <c r="E108" s="566"/>
      <c r="F108" s="566"/>
      <c r="G108" s="566"/>
      <c r="H108" s="566"/>
      <c r="I108" s="566"/>
      <c r="J108" s="566"/>
      <c r="K108" s="566"/>
      <c r="L108" s="566"/>
      <c r="M108" s="566"/>
      <c r="N108" s="566"/>
      <c r="O108" s="70"/>
    </row>
    <row r="109" spans="1:53" ht="17.399999999999999">
      <c r="A109" s="70"/>
      <c r="B109" s="70"/>
      <c r="C109" s="70"/>
      <c r="D109" s="565"/>
      <c r="E109" s="565"/>
      <c r="F109" s="565"/>
      <c r="G109" s="565"/>
      <c r="H109" s="565"/>
      <c r="I109" s="565"/>
      <c r="J109" s="565"/>
      <c r="K109" s="565"/>
      <c r="L109" s="565"/>
      <c r="M109" s="565"/>
      <c r="N109" s="565"/>
      <c r="O109" s="70"/>
    </row>
    <row r="110" spans="1:53" ht="17.399999999999999">
      <c r="A110" s="70"/>
      <c r="B110" s="70"/>
      <c r="C110" s="70"/>
      <c r="D110" s="566"/>
      <c r="E110" s="566"/>
      <c r="F110" s="566"/>
      <c r="G110" s="566"/>
      <c r="H110" s="566"/>
      <c r="I110" s="566"/>
      <c r="J110" s="566"/>
      <c r="K110" s="566"/>
      <c r="L110" s="566"/>
      <c r="M110" s="566"/>
      <c r="N110" s="566"/>
      <c r="O110" s="70"/>
    </row>
    <row r="111" spans="1:53" ht="17.399999999999999">
      <c r="A111" s="70"/>
      <c r="B111" s="70"/>
      <c r="C111" s="70"/>
      <c r="D111" s="565"/>
      <c r="E111" s="565"/>
      <c r="F111" s="565"/>
      <c r="G111" s="565"/>
      <c r="H111" s="565"/>
      <c r="I111" s="565"/>
      <c r="J111" s="565"/>
      <c r="K111" s="565"/>
      <c r="L111" s="565"/>
      <c r="M111" s="565"/>
      <c r="N111" s="565"/>
      <c r="O111" s="5"/>
    </row>
    <row r="112" spans="1:53" ht="17.399999999999999">
      <c r="O112" s="5"/>
    </row>
    <row r="113" spans="1:15" ht="17.399999999999999">
      <c r="O113" s="5"/>
    </row>
    <row r="114" spans="1:15" ht="17.399999999999999">
      <c r="A114" s="90" t="str">
        <f>VLOOKUP(2097,Sprachindex!$A:$Z,Info!$O$7,FALSE)</f>
        <v>Produkttechnik</v>
      </c>
      <c r="B114" s="91"/>
      <c r="C114" s="91"/>
      <c r="D114" s="569"/>
      <c r="E114" s="569"/>
      <c r="F114" s="569"/>
      <c r="G114" s="569"/>
      <c r="H114" s="569"/>
      <c r="I114" s="569"/>
      <c r="J114" s="569"/>
      <c r="K114" s="92" t="str">
        <f>VLOOKUP(856,Sprachindex!$A:$Z,Info!$O$7,FALSE)</f>
        <v>Stand:</v>
      </c>
      <c r="L114" s="567">
        <f>Info!M59</f>
        <v>45511</v>
      </c>
      <c r="M114" s="567"/>
      <c r="N114" s="568"/>
      <c r="O114" s="5"/>
    </row>
    <row r="115" spans="1:15" ht="17.399999999999999">
      <c r="O115" s="5"/>
    </row>
    <row r="116" spans="1:15" ht="17.399999999999999" hidden="1">
      <c r="O116" s="5"/>
    </row>
    <row r="117" spans="1:15" ht="17.399999999999999" hidden="1"/>
    <row r="118" spans="1:15" ht="17.399999999999999" hidden="1">
      <c r="O118" s="5"/>
    </row>
    <row r="119" spans="1:15" ht="17.399999999999999" hidden="1"/>
    <row r="120" spans="1:15" ht="17.399999999999999" hidden="1"/>
    <row r="121" spans="1:15" ht="17.399999999999999" hidden="1"/>
    <row r="122" spans="1:15" ht="17.399999999999999" hidden="1"/>
    <row r="123" spans="1:15" ht="14.25" customHeight="1"/>
    <row r="124" spans="1:15" ht="14.25" customHeight="1"/>
    <row r="125" spans="1:15" ht="14.25" customHeight="1"/>
  </sheetData>
  <sheetProtection algorithmName="SHA-512" hashValue="3IuOGLSstZmBXRS4G7o4wVrlvLKRpsyyVnIjj4FpUY83MB7UFqIKJkwqsUMFZBNbiXEHGTh5BCFpDlmnpwVBCg==" saltValue="HZDpznLDuO/1wjBGh7z57g==" spinCount="100000" sheet="1" objects="1" selectLockedCells="1" autoFilter="0"/>
  <protectedRanges>
    <protectedRange password="DEBF" sqref="AF101:AF102" name="darf vom Benutzer nicht verändert werden_1_12"/>
    <protectedRange password="DEBF" sqref="AD105"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4" name="darf vom Benutzer nicht verändert werden_1_5_2_7"/>
    <protectedRange password="DEBF" sqref="AE34" name="darf vom Benutzer nicht verändert werden_1_3"/>
    <protectedRange password="DEBF" sqref="AE35" name="darf vom Benutzer nicht verändert werden_1_1_5"/>
    <protectedRange password="DEBF" sqref="AD35" name="darf vom Benutzer nicht verändert werden_1_4_5"/>
    <protectedRange password="DEBF" sqref="AE38" name="darf vom Benutzer nicht verändert werden_1_2_6"/>
    <protectedRange password="DEBF" sqref="AD38" name="darf vom Benutzer nicht verändert werden_1_5_12"/>
    <protectedRange password="DEBF" sqref="AD40:AE70" name="darf vom Benutzer nicht verändert werden_1_5_14"/>
    <protectedRange password="DEBF" sqref="AD71:AE77" name="darf vom Benutzer nicht verändert werden_1_5_17"/>
    <protectedRange password="DEBF" sqref="AD78:AE78" name="darf vom Benutzer nicht verändert werden_1_5_18"/>
    <protectedRange password="DEBF" sqref="AD103:AD104" name="darf vom Benutzer nicht verändert werden_1_5_21"/>
    <protectedRange password="DEBF" sqref="AD79:AE79 AD81:AE83 AD85:AE95" name="darf vom Benutzer nicht verändert werden_1_5_22"/>
    <protectedRange password="DEBF" sqref="AD97:AE98 AD101:AE102" name="darf vom Benutzer nicht verändert werden_1_5_23"/>
    <protectedRange password="DEBF" sqref="AE103:AE105" name="darf vom Benutzer nicht verändert werden_1_5_25"/>
    <protectedRange password="DEBF" sqref="AD39:AE39" name="darf vom Benutzer nicht verändert werden_1_5_27"/>
    <protectedRange password="DEBF" sqref="AD96:AE96" name="darf vom Benutzer nicht verändert werden_1_5"/>
    <protectedRange password="DEBF" sqref="AD37:AE37" name="darf vom Benutzer nicht verändert werden_1_5_1"/>
    <protectedRange password="DEBF" sqref="AD80:AE80" name="darf vom Benutzer nicht verändert werden_1_5_2"/>
    <protectedRange password="DEBF" sqref="AD84:AE84" name="darf vom Benutzer nicht verändert werden_1_5_3"/>
    <protectedRange password="DEBF" sqref="AE36" name="darf vom Benutzer nicht verändert werden_1_2"/>
    <protectedRange password="DEBF" sqref="AD36" name="darf vom Benutzer nicht verändert werden_1_5_2_5"/>
    <protectedRange password="DEBF" sqref="AD99:AE100" name="darf vom Benutzer nicht verändert werden_1_5_4"/>
  </protectedRanges>
  <autoFilter ref="A29:A105" xr:uid="{00000000-0009-0000-0000-000002000000}"/>
  <mergeCells count="107">
    <mergeCell ref="E97:K97"/>
    <mergeCell ref="E100:K100"/>
    <mergeCell ref="E86:K86"/>
    <mergeCell ref="E91:K91"/>
    <mergeCell ref="E93:K93"/>
    <mergeCell ref="E95:K95"/>
    <mergeCell ref="E98:K98"/>
    <mergeCell ref="E94:K94"/>
    <mergeCell ref="E80:K80"/>
    <mergeCell ref="E84:K84"/>
    <mergeCell ref="E99:K99"/>
    <mergeCell ref="E57:H57"/>
    <mergeCell ref="E79:K79"/>
    <mergeCell ref="AD29:AE29"/>
    <mergeCell ref="D114:J114"/>
    <mergeCell ref="E103:K103"/>
    <mergeCell ref="E104:K104"/>
    <mergeCell ref="E105:K105"/>
    <mergeCell ref="E101:H101"/>
    <mergeCell ref="I101:K101"/>
    <mergeCell ref="E81:K81"/>
    <mergeCell ref="E82:K82"/>
    <mergeCell ref="E83:K83"/>
    <mergeCell ref="E85:K85"/>
    <mergeCell ref="E87:K87"/>
    <mergeCell ref="E88:K88"/>
    <mergeCell ref="E89:K89"/>
    <mergeCell ref="E50:K50"/>
    <mergeCell ref="E75:K75"/>
    <mergeCell ref="E92:K92"/>
    <mergeCell ref="E90:K90"/>
    <mergeCell ref="E77:K77"/>
    <mergeCell ref="E78:K78"/>
    <mergeCell ref="E102:G102"/>
    <mergeCell ref="E96:K96"/>
    <mergeCell ref="E42:K42"/>
    <mergeCell ref="H38:K38"/>
    <mergeCell ref="E51:K51"/>
    <mergeCell ref="E55:H55"/>
    <mergeCell ref="J55:K55"/>
    <mergeCell ref="E67:K67"/>
    <mergeCell ref="E71:K71"/>
    <mergeCell ref="E76:K76"/>
    <mergeCell ref="E68:K68"/>
    <mergeCell ref="E69:K69"/>
    <mergeCell ref="E70:K70"/>
    <mergeCell ref="E72:K72"/>
    <mergeCell ref="E73:K73"/>
    <mergeCell ref="E74:K74"/>
    <mergeCell ref="E64:K64"/>
    <mergeCell ref="E65:K65"/>
    <mergeCell ref="E59:K59"/>
    <mergeCell ref="E61:K61"/>
    <mergeCell ref="E56:H56"/>
    <mergeCell ref="J56:K56"/>
    <mergeCell ref="E58:K58"/>
    <mergeCell ref="E54:K54"/>
    <mergeCell ref="E62:K62"/>
    <mergeCell ref="E63:K63"/>
    <mergeCell ref="B24:B27"/>
    <mergeCell ref="J57:K57"/>
    <mergeCell ref="E52:K52"/>
    <mergeCell ref="E53:K53"/>
    <mergeCell ref="E66:K66"/>
    <mergeCell ref="C26:E26"/>
    <mergeCell ref="C27:E27"/>
    <mergeCell ref="E45:K45"/>
    <mergeCell ref="E46:K46"/>
    <mergeCell ref="E48:G48"/>
    <mergeCell ref="H48:K48"/>
    <mergeCell ref="E49:G49"/>
    <mergeCell ref="H49:K49"/>
    <mergeCell ref="E47:K47"/>
    <mergeCell ref="E44:K44"/>
    <mergeCell ref="E35:G35"/>
    <mergeCell ref="H35:K35"/>
    <mergeCell ref="E36:G36"/>
    <mergeCell ref="E60:K60"/>
    <mergeCell ref="H36:K36"/>
    <mergeCell ref="E37:K37"/>
    <mergeCell ref="E40:K40"/>
    <mergeCell ref="E38:G38"/>
    <mergeCell ref="E41:K41"/>
    <mergeCell ref="C24:E24"/>
    <mergeCell ref="E43:K43"/>
    <mergeCell ref="D106:N107"/>
    <mergeCell ref="D108:N109"/>
    <mergeCell ref="D110:N111"/>
    <mergeCell ref="L114:N114"/>
    <mergeCell ref="E39:K39"/>
    <mergeCell ref="C11:E11"/>
    <mergeCell ref="C9:E9"/>
    <mergeCell ref="C10:E10"/>
    <mergeCell ref="E34:K34"/>
    <mergeCell ref="C13:E13"/>
    <mergeCell ref="C14:E14"/>
    <mergeCell ref="C15:E15"/>
    <mergeCell ref="C18:E18"/>
    <mergeCell ref="C19:E19"/>
    <mergeCell ref="C20:E20"/>
    <mergeCell ref="C21:E21"/>
    <mergeCell ref="B29:E29"/>
    <mergeCell ref="E30:K30"/>
    <mergeCell ref="E31:K31"/>
    <mergeCell ref="E32:K32"/>
    <mergeCell ref="C25:E25"/>
    <mergeCell ref="E33:K33"/>
  </mergeCells>
  <conditionalFormatting sqref="A31:A105">
    <cfRule type="cellIs" dxfId="1987" priority="26" operator="equal">
      <formula>""</formula>
    </cfRule>
  </conditionalFormatting>
  <conditionalFormatting sqref="B103:E105">
    <cfRule type="cellIs" dxfId="1986" priority="597" operator="equal">
      <formula>""</formula>
    </cfRule>
  </conditionalFormatting>
  <conditionalFormatting sqref="C9:E11">
    <cfRule type="cellIs" dxfId="1984" priority="729" operator="equal">
      <formula>""</formula>
    </cfRule>
  </conditionalFormatting>
  <conditionalFormatting sqref="C13:E15">
    <cfRule type="cellIs" dxfId="1983" priority="726" operator="equal">
      <formula>""</formula>
    </cfRule>
  </conditionalFormatting>
  <conditionalFormatting sqref="C18:E21">
    <cfRule type="cellIs" dxfId="1982" priority="722" operator="equal">
      <formula>""</formula>
    </cfRule>
  </conditionalFormatting>
  <conditionalFormatting sqref="C24:E27">
    <cfRule type="cellIs" dxfId="1981" priority="259" operator="equal">
      <formula>""</formula>
    </cfRule>
  </conditionalFormatting>
  <conditionalFormatting sqref="D67">
    <cfRule type="duplicateValues" dxfId="1980" priority="276"/>
  </conditionalFormatting>
  <conditionalFormatting sqref="D68">
    <cfRule type="duplicateValues" dxfId="1979" priority="277"/>
  </conditionalFormatting>
  <conditionalFormatting sqref="D69">
    <cfRule type="duplicateValues" dxfId="1978" priority="464"/>
  </conditionalFormatting>
  <conditionalFormatting sqref="D76">
    <cfRule type="duplicateValues" dxfId="1977" priority="454"/>
  </conditionalFormatting>
  <conditionalFormatting sqref="H36:K36">
    <cfRule type="cellIs" dxfId="1975" priority="34" operator="equal">
      <formula>""</formula>
    </cfRule>
  </conditionalFormatting>
  <conditionalFormatting sqref="I13">
    <cfRule type="expression" dxfId="1971" priority="403">
      <formula>$O$13=2</formula>
    </cfRule>
    <cfRule type="expression" dxfId="1970" priority="404">
      <formula>$O$13=1</formula>
    </cfRule>
  </conditionalFormatting>
  <conditionalFormatting sqref="I21">
    <cfRule type="expression" dxfId="1969" priority="250">
      <formula>$O$21=10</formula>
    </cfRule>
  </conditionalFormatting>
  <conditionalFormatting sqref="I24:I26">
    <cfRule type="cellIs" dxfId="1967" priority="24" operator="equal">
      <formula>""</formula>
    </cfRule>
  </conditionalFormatting>
  <conditionalFormatting sqref="I28">
    <cfRule type="expression" dxfId="1966" priority="747">
      <formula>$O$21=10</formula>
    </cfRule>
  </conditionalFormatting>
  <conditionalFormatting sqref="J21:K21">
    <cfRule type="expression" dxfId="1963" priority="249">
      <formula>$O$21=10</formula>
    </cfRule>
  </conditionalFormatting>
  <conditionalFormatting sqref="L13">
    <cfRule type="expression" dxfId="1960" priority="402">
      <formula>$O$13=2</formula>
    </cfRule>
    <cfRule type="expression" dxfId="1959" priority="401">
      <formula>$O$13=1</formula>
    </cfRule>
  </conditionalFormatting>
  <conditionalFormatting sqref="L103:M105">
    <cfRule type="cellIs" dxfId="1958" priority="254" operator="equal">
      <formula>""</formula>
    </cfRule>
  </conditionalFormatting>
  <conditionalFormatting sqref="AH47">
    <cfRule type="duplicateValues" dxfId="1955" priority="199"/>
  </conditionalFormatting>
  <conditionalFormatting sqref="AH48">
    <cfRule type="duplicateValues" dxfId="1954" priority="225"/>
  </conditionalFormatting>
  <conditionalFormatting sqref="AH49">
    <cfRule type="duplicateValues" dxfId="1953" priority="218"/>
  </conditionalFormatting>
  <conditionalFormatting sqref="AH50">
    <cfRule type="duplicateValues" dxfId="1952" priority="211"/>
  </conditionalFormatting>
  <conditionalFormatting sqref="AH85">
    <cfRule type="duplicateValues" dxfId="1951" priority="442"/>
  </conditionalFormatting>
  <conditionalFormatting sqref="AH101:AL101">
    <cfRule type="duplicateValues" dxfId="1950" priority="426"/>
  </conditionalFormatting>
  <conditionalFormatting sqref="AH62:AP62">
    <cfRule type="duplicateValues" dxfId="1949" priority="113"/>
  </conditionalFormatting>
  <conditionalFormatting sqref="AH63:AP63">
    <cfRule type="duplicateValues" dxfId="1948" priority="111"/>
  </conditionalFormatting>
  <conditionalFormatting sqref="AH64:AP64">
    <cfRule type="duplicateValues" dxfId="1947" priority="106"/>
  </conditionalFormatting>
  <conditionalFormatting sqref="AH65:AP65">
    <cfRule type="duplicateValues" dxfId="1946" priority="104"/>
  </conditionalFormatting>
  <conditionalFormatting sqref="AH66:AP66">
    <cfRule type="duplicateValues" dxfId="1945" priority="109"/>
  </conditionalFormatting>
  <conditionalFormatting sqref="AH74:AP74">
    <cfRule type="duplicateValues" dxfId="1944" priority="460"/>
  </conditionalFormatting>
  <conditionalFormatting sqref="AH75:AP75">
    <cfRule type="duplicateValues" dxfId="1943" priority="457"/>
  </conditionalFormatting>
  <conditionalFormatting sqref="AH79:AP79">
    <cfRule type="duplicateValues" dxfId="1942" priority="447"/>
  </conditionalFormatting>
  <conditionalFormatting sqref="AH81:AP81">
    <cfRule type="duplicateValues" dxfId="1941" priority="451"/>
  </conditionalFormatting>
  <conditionalFormatting sqref="AH82:AP82">
    <cfRule type="duplicateValues" dxfId="1940" priority="446"/>
  </conditionalFormatting>
  <conditionalFormatting sqref="AH83:AP83">
    <cfRule type="duplicateValues" dxfId="1939" priority="444"/>
  </conditionalFormatting>
  <conditionalFormatting sqref="AH86:AP86">
    <cfRule type="duplicateValues" dxfId="1938" priority="441"/>
  </conditionalFormatting>
  <conditionalFormatting sqref="AH87:AP87">
    <cfRule type="duplicateValues" dxfId="1937" priority="440"/>
  </conditionalFormatting>
  <conditionalFormatting sqref="AH88:AP88">
    <cfRule type="duplicateValues" dxfId="1936" priority="439"/>
  </conditionalFormatting>
  <conditionalFormatting sqref="AH89:AP89">
    <cfRule type="duplicateValues" dxfId="1935" priority="438"/>
  </conditionalFormatting>
  <conditionalFormatting sqref="AH90:AP90">
    <cfRule type="duplicateValues" dxfId="1934" priority="437"/>
  </conditionalFormatting>
  <conditionalFormatting sqref="AH91:AP91">
    <cfRule type="duplicateValues" dxfId="1933" priority="452"/>
  </conditionalFormatting>
  <conditionalFormatting sqref="AH92:AP92">
    <cfRule type="duplicateValues" dxfId="1932" priority="431"/>
  </conditionalFormatting>
  <conditionalFormatting sqref="AH93:AP94">
    <cfRule type="duplicateValues" dxfId="1931" priority="429"/>
  </conditionalFormatting>
  <conditionalFormatting sqref="AH102:AP102">
    <cfRule type="duplicateValues" dxfId="1930" priority="408"/>
  </conditionalFormatting>
  <conditionalFormatting sqref="AH37:AQ37">
    <cfRule type="duplicateValues" dxfId="1929" priority="40"/>
  </conditionalFormatting>
  <conditionalFormatting sqref="AH55:AQ56">
    <cfRule type="duplicateValues" dxfId="1928" priority="6"/>
  </conditionalFormatting>
  <conditionalFormatting sqref="AH58:AQ58">
    <cfRule type="duplicateValues" dxfId="1927" priority="116"/>
  </conditionalFormatting>
  <conditionalFormatting sqref="AH59:AQ59">
    <cfRule type="duplicateValues" dxfId="1926" priority="107"/>
  </conditionalFormatting>
  <conditionalFormatting sqref="AH60:AQ60">
    <cfRule type="duplicateValues" dxfId="1925" priority="115"/>
  </conditionalFormatting>
  <conditionalFormatting sqref="AH61:AQ61 AQ62:AQ64">
    <cfRule type="duplicateValues" dxfId="1924" priority="114"/>
  </conditionalFormatting>
  <conditionalFormatting sqref="AH70:AQ70">
    <cfRule type="duplicateValues" dxfId="1923" priority="466"/>
  </conditionalFormatting>
  <conditionalFormatting sqref="AH72:AQ72">
    <cfRule type="duplicateValues" dxfId="1922" priority="462"/>
  </conditionalFormatting>
  <conditionalFormatting sqref="AH73:AQ73">
    <cfRule type="duplicateValues" dxfId="1921" priority="461"/>
  </conditionalFormatting>
  <conditionalFormatting sqref="AH78:AQ78">
    <cfRule type="duplicateValues" dxfId="1920" priority="453"/>
  </conditionalFormatting>
  <conditionalFormatting sqref="AH80:AQ80">
    <cfRule type="duplicateValues" dxfId="1919" priority="33"/>
  </conditionalFormatting>
  <conditionalFormatting sqref="AH84:AQ84">
    <cfRule type="duplicateValues" dxfId="1918" priority="36"/>
  </conditionalFormatting>
  <conditionalFormatting sqref="AH31:AU32">
    <cfRule type="duplicateValues" dxfId="1917" priority="14"/>
  </conditionalFormatting>
  <conditionalFormatting sqref="AH40:AU46">
    <cfRule type="duplicateValues" dxfId="1916" priority="12"/>
  </conditionalFormatting>
  <conditionalFormatting sqref="AH51:AU51">
    <cfRule type="duplicateValues" dxfId="1915" priority="10"/>
  </conditionalFormatting>
  <conditionalFormatting sqref="AH54:AU54">
    <cfRule type="duplicateValues" dxfId="1914" priority="8"/>
  </conditionalFormatting>
  <conditionalFormatting sqref="AH71:AU71">
    <cfRule type="duplicateValues" dxfId="1913" priority="5"/>
  </conditionalFormatting>
  <conditionalFormatting sqref="AH77:AU77">
    <cfRule type="duplicateValues" dxfId="1912" priority="3"/>
  </conditionalFormatting>
  <conditionalFormatting sqref="AI47">
    <cfRule type="duplicateValues" dxfId="1911" priority="196"/>
  </conditionalFormatting>
  <conditionalFormatting sqref="AI48">
    <cfRule type="duplicateValues" dxfId="1910" priority="222"/>
  </conditionalFormatting>
  <conditionalFormatting sqref="AI49">
    <cfRule type="duplicateValues" dxfId="1909" priority="215"/>
  </conditionalFormatting>
  <conditionalFormatting sqref="AI50">
    <cfRule type="duplicateValues" dxfId="1908" priority="210"/>
  </conditionalFormatting>
  <conditionalFormatting sqref="AI85:AP85">
    <cfRule type="duplicateValues" dxfId="1907" priority="443"/>
  </conditionalFormatting>
  <conditionalFormatting sqref="AJ47">
    <cfRule type="duplicateValues" dxfId="1906" priority="197"/>
  </conditionalFormatting>
  <conditionalFormatting sqref="AJ48">
    <cfRule type="duplicateValues" dxfId="1905" priority="223"/>
  </conditionalFormatting>
  <conditionalFormatting sqref="AJ49">
    <cfRule type="duplicateValues" dxfId="1904" priority="216"/>
  </conditionalFormatting>
  <conditionalFormatting sqref="AJ50">
    <cfRule type="duplicateValues" dxfId="1903" priority="209"/>
  </conditionalFormatting>
  <conditionalFormatting sqref="AK47">
    <cfRule type="duplicateValues" dxfId="1902" priority="193"/>
  </conditionalFormatting>
  <conditionalFormatting sqref="AK48">
    <cfRule type="duplicateValues" dxfId="1901" priority="219"/>
  </conditionalFormatting>
  <conditionalFormatting sqref="AK49">
    <cfRule type="duplicateValues" dxfId="1900" priority="217"/>
  </conditionalFormatting>
  <conditionalFormatting sqref="AK50">
    <cfRule type="duplicateValues" dxfId="1899" priority="208"/>
  </conditionalFormatting>
  <conditionalFormatting sqref="AL47">
    <cfRule type="duplicateValues" dxfId="1898" priority="192"/>
  </conditionalFormatting>
  <conditionalFormatting sqref="AL50">
    <cfRule type="duplicateValues" dxfId="1897" priority="207"/>
  </conditionalFormatting>
  <conditionalFormatting sqref="AM47">
    <cfRule type="duplicateValues" dxfId="1896" priority="198"/>
  </conditionalFormatting>
  <conditionalFormatting sqref="AM48">
    <cfRule type="duplicateValues" dxfId="1895" priority="224"/>
  </conditionalFormatting>
  <conditionalFormatting sqref="AM49">
    <cfRule type="duplicateValues" dxfId="1894" priority="214"/>
  </conditionalFormatting>
  <conditionalFormatting sqref="AM50">
    <cfRule type="duplicateValues" dxfId="1893" priority="206"/>
  </conditionalFormatting>
  <conditionalFormatting sqref="AN47">
    <cfRule type="duplicateValues" dxfId="1892" priority="194"/>
  </conditionalFormatting>
  <conditionalFormatting sqref="AN48">
    <cfRule type="duplicateValues" dxfId="1891" priority="220"/>
  </conditionalFormatting>
  <conditionalFormatting sqref="AN49">
    <cfRule type="duplicateValues" dxfId="1890" priority="212"/>
  </conditionalFormatting>
  <conditionalFormatting sqref="AN50">
    <cfRule type="duplicateValues" dxfId="1889" priority="205"/>
  </conditionalFormatting>
  <conditionalFormatting sqref="AO47">
    <cfRule type="duplicateValues" dxfId="1888" priority="195"/>
  </conditionalFormatting>
  <conditionalFormatting sqref="AO48">
    <cfRule type="duplicateValues" dxfId="1887" priority="221"/>
  </conditionalFormatting>
  <conditionalFormatting sqref="AO49">
    <cfRule type="duplicateValues" dxfId="1886" priority="213"/>
  </conditionalFormatting>
  <conditionalFormatting sqref="AO50">
    <cfRule type="duplicateValues" dxfId="1885" priority="204"/>
  </conditionalFormatting>
  <conditionalFormatting sqref="AP47">
    <cfRule type="duplicateValues" dxfId="1884" priority="191"/>
  </conditionalFormatting>
  <conditionalFormatting sqref="AP48">
    <cfRule type="duplicateValues" dxfId="1883" priority="190"/>
  </conditionalFormatting>
  <conditionalFormatting sqref="AP49">
    <cfRule type="duplicateValues" dxfId="1882" priority="189"/>
  </conditionalFormatting>
  <conditionalFormatting sqref="AP50">
    <cfRule type="duplicateValues" dxfId="1881" priority="203"/>
  </conditionalFormatting>
  <conditionalFormatting sqref="AQ47">
    <cfRule type="duplicateValues" dxfId="1880" priority="185"/>
  </conditionalFormatting>
  <conditionalFormatting sqref="AQ48">
    <cfRule type="duplicateValues" dxfId="1879" priority="187"/>
  </conditionalFormatting>
  <conditionalFormatting sqref="AQ49">
    <cfRule type="duplicateValues" dxfId="1878" priority="186"/>
  </conditionalFormatting>
  <conditionalFormatting sqref="AQ50">
    <cfRule type="duplicateValues" dxfId="1877" priority="188"/>
  </conditionalFormatting>
  <conditionalFormatting sqref="AQ62">
    <cfRule type="duplicateValues" dxfId="1876" priority="112"/>
  </conditionalFormatting>
  <conditionalFormatting sqref="AQ63">
    <cfRule type="duplicateValues" dxfId="1875" priority="110"/>
  </conditionalFormatting>
  <conditionalFormatting sqref="AQ64">
    <cfRule type="duplicateValues" dxfId="1874" priority="105"/>
  </conditionalFormatting>
  <conditionalFormatting sqref="AQ65">
    <cfRule type="duplicateValues" dxfId="1873" priority="103"/>
  </conditionalFormatting>
  <conditionalFormatting sqref="AQ66">
    <cfRule type="duplicateValues" dxfId="1872" priority="108"/>
  </conditionalFormatting>
  <conditionalFormatting sqref="AQ74">
    <cfRule type="duplicateValues" dxfId="1871" priority="459"/>
  </conditionalFormatting>
  <conditionalFormatting sqref="AQ75">
    <cfRule type="duplicateValues" dxfId="1870" priority="458"/>
  </conditionalFormatting>
  <conditionalFormatting sqref="AQ79">
    <cfRule type="duplicateValues" dxfId="1869" priority="61"/>
  </conditionalFormatting>
  <conditionalFormatting sqref="AQ81">
    <cfRule type="duplicateValues" dxfId="1868" priority="58"/>
  </conditionalFormatting>
  <conditionalFormatting sqref="AQ82">
    <cfRule type="duplicateValues" dxfId="1867" priority="60"/>
  </conditionalFormatting>
  <conditionalFormatting sqref="AQ83">
    <cfRule type="duplicateValues" dxfId="1866" priority="59"/>
  </conditionalFormatting>
  <conditionalFormatting sqref="AQ85">
    <cfRule type="duplicateValues" dxfId="1865" priority="56"/>
  </conditionalFormatting>
  <conditionalFormatting sqref="AQ86">
    <cfRule type="duplicateValues" dxfId="1864" priority="55"/>
  </conditionalFormatting>
  <conditionalFormatting sqref="AQ87">
    <cfRule type="duplicateValues" dxfId="1863" priority="54"/>
  </conditionalFormatting>
  <conditionalFormatting sqref="AQ88">
    <cfRule type="duplicateValues" dxfId="1862" priority="53"/>
  </conditionalFormatting>
  <conditionalFormatting sqref="AQ89">
    <cfRule type="duplicateValues" dxfId="1861" priority="52"/>
  </conditionalFormatting>
  <conditionalFormatting sqref="AQ90">
    <cfRule type="duplicateValues" dxfId="1860" priority="51"/>
  </conditionalFormatting>
  <conditionalFormatting sqref="AQ91">
    <cfRule type="duplicateValues" dxfId="1859" priority="57"/>
  </conditionalFormatting>
  <conditionalFormatting sqref="AQ92">
    <cfRule type="duplicateValues" dxfId="1858" priority="50"/>
  </conditionalFormatting>
  <conditionalFormatting sqref="AQ93">
    <cfRule type="duplicateValues" dxfId="1857" priority="49"/>
  </conditionalFormatting>
  <conditionalFormatting sqref="AQ94">
    <cfRule type="duplicateValues" dxfId="1856" priority="428"/>
  </conditionalFormatting>
  <conditionalFormatting sqref="AQ102">
    <cfRule type="duplicateValues" dxfId="1855" priority="46"/>
  </conditionalFormatting>
  <conditionalFormatting sqref="AR102:AU102">
    <cfRule type="duplicateValues" dxfId="1854" priority="406"/>
  </conditionalFormatting>
  <conditionalFormatting sqref="AR56:AZ56">
    <cfRule type="duplicateValues" dxfId="1853" priority="142"/>
  </conditionalFormatting>
  <conditionalFormatting sqref="AR55:BA55">
    <cfRule type="duplicateValues" dxfId="1852" priority="180"/>
  </conditionalFormatting>
  <conditionalFormatting sqref="AV102:AZ102">
    <cfRule type="duplicateValues" dxfId="1851" priority="405"/>
  </conditionalFormatting>
  <conditionalFormatting sqref="AV31:BA32">
    <cfRule type="duplicateValues" dxfId="1850" priority="13"/>
  </conditionalFormatting>
  <conditionalFormatting sqref="AV40:BA46">
    <cfRule type="duplicateValues" dxfId="1849" priority="11"/>
  </conditionalFormatting>
  <conditionalFormatting sqref="AV51:BA51">
    <cfRule type="duplicateValues" dxfId="1848" priority="9"/>
  </conditionalFormatting>
  <conditionalFormatting sqref="AV54:BA54">
    <cfRule type="duplicateValues" dxfId="1847" priority="7"/>
  </conditionalFormatting>
  <conditionalFormatting sqref="AV71:BA71">
    <cfRule type="duplicateValues" dxfId="1846" priority="4"/>
  </conditionalFormatting>
  <conditionalFormatting sqref="AV77:BA77">
    <cfRule type="duplicateValues" dxfId="1845" priority="2"/>
  </conditionalFormatting>
  <conditionalFormatting sqref="BA56">
    <cfRule type="duplicateValues" dxfId="1844" priority="90"/>
  </conditionalFormatting>
  <conditionalFormatting sqref="BA102">
    <cfRule type="duplicateValues" dxfId="1843" priority="47"/>
  </conditionalFormatting>
  <conditionalFormatting sqref="BC55:BK55">
    <cfRule type="duplicateValues" dxfId="1842" priority="179"/>
  </conditionalFormatting>
  <conditionalFormatting sqref="BC56:BK56 BM56:BU56">
    <cfRule type="duplicateValues" dxfId="1841" priority="122"/>
  </conditionalFormatting>
  <conditionalFormatting sqref="BC57:BK57 BM57:BV57">
    <cfRule type="duplicateValues" dxfId="1840" priority="97"/>
  </conditionalFormatting>
  <conditionalFormatting sqref="BM55:BU55">
    <cfRule type="duplicateValues" dxfId="1839" priority="178"/>
  </conditionalFormatting>
  <conditionalFormatting sqref="BV55">
    <cfRule type="duplicateValues" dxfId="1838" priority="89"/>
  </conditionalFormatting>
  <conditionalFormatting sqref="BV56">
    <cfRule type="duplicateValues" dxfId="1837" priority="88"/>
  </conditionalFormatting>
  <conditionalFormatting sqref="BX55">
    <cfRule type="duplicateValues" dxfId="1836" priority="141"/>
  </conditionalFormatting>
  <conditionalFormatting sqref="BX56:CF56 CH56:CP56">
    <cfRule type="duplicateValues" dxfId="1835" priority="121"/>
  </conditionalFormatting>
  <conditionalFormatting sqref="BX57:CF57 CH57:CQ57">
    <cfRule type="duplicateValues" dxfId="1834" priority="96"/>
  </conditionalFormatting>
  <conditionalFormatting sqref="BY55:CF55">
    <cfRule type="duplicateValues" dxfId="1833" priority="177"/>
  </conditionalFormatting>
  <conditionalFormatting sqref="CH55:CQ55">
    <cfRule type="duplicateValues" dxfId="1832" priority="176"/>
  </conditionalFormatting>
  <conditionalFormatting sqref="CQ56">
    <cfRule type="duplicateValues" dxfId="1831" priority="87"/>
  </conditionalFormatting>
  <conditionalFormatting sqref="CS55">
    <cfRule type="duplicateValues" dxfId="1830" priority="140"/>
  </conditionalFormatting>
  <conditionalFormatting sqref="CS56:DA56 DX56:EF56">
    <cfRule type="duplicateValues" dxfId="1829" priority="120"/>
  </conditionalFormatting>
  <conditionalFormatting sqref="CS57:DA57 DX57:EG57">
    <cfRule type="duplicateValues" dxfId="1828" priority="95"/>
  </conditionalFormatting>
  <conditionalFormatting sqref="CT55:DA55">
    <cfRule type="duplicateValues" dxfId="1827" priority="182"/>
  </conditionalFormatting>
  <conditionalFormatting sqref="DC55:DK55">
    <cfRule type="duplicateValues" dxfId="1826" priority="183"/>
  </conditionalFormatting>
  <conditionalFormatting sqref="DC56:DK56">
    <cfRule type="duplicateValues" dxfId="1825" priority="99"/>
  </conditionalFormatting>
  <conditionalFormatting sqref="DC57:DL57">
    <cfRule type="duplicateValues" dxfId="1824" priority="93"/>
  </conditionalFormatting>
  <conditionalFormatting sqref="DL55">
    <cfRule type="duplicateValues" dxfId="1823" priority="86"/>
  </conditionalFormatting>
  <conditionalFormatting sqref="DL56">
    <cfRule type="duplicateValues" dxfId="1822" priority="85"/>
  </conditionalFormatting>
  <conditionalFormatting sqref="DN55">
    <cfRule type="duplicateValues" dxfId="1821" priority="139"/>
  </conditionalFormatting>
  <conditionalFormatting sqref="DO55:DV55">
    <cfRule type="duplicateValues" dxfId="1820" priority="174"/>
  </conditionalFormatting>
  <conditionalFormatting sqref="DX55:EF55">
    <cfRule type="duplicateValues" dxfId="1819" priority="175"/>
  </conditionalFormatting>
  <conditionalFormatting sqref="EG55">
    <cfRule type="duplicateValues" dxfId="1818" priority="84"/>
  </conditionalFormatting>
  <conditionalFormatting sqref="EG56">
    <cfRule type="duplicateValues" dxfId="1817" priority="83"/>
  </conditionalFormatting>
  <conditionalFormatting sqref="EI55">
    <cfRule type="duplicateValues" dxfId="1816" priority="138"/>
  </conditionalFormatting>
  <conditionalFormatting sqref="EI56:EQ56 ES56:FA56">
    <cfRule type="duplicateValues" dxfId="1815" priority="119"/>
  </conditionalFormatting>
  <conditionalFormatting sqref="EI57:EQ57 ES57:FB57">
    <cfRule type="duplicateValues" dxfId="1814" priority="94"/>
  </conditionalFormatting>
  <conditionalFormatting sqref="EJ55:EQ55">
    <cfRule type="duplicateValues" dxfId="1813" priority="173"/>
  </conditionalFormatting>
  <conditionalFormatting sqref="ES55:FA55">
    <cfRule type="duplicateValues" dxfId="1812" priority="100"/>
  </conditionalFormatting>
  <conditionalFormatting sqref="FB55">
    <cfRule type="duplicateValues" dxfId="1811" priority="82"/>
  </conditionalFormatting>
  <conditionalFormatting sqref="FB56">
    <cfRule type="duplicateValues" dxfId="1810" priority="81"/>
  </conditionalFormatting>
  <conditionalFormatting sqref="FD55">
    <cfRule type="duplicateValues" dxfId="1809" priority="137"/>
  </conditionalFormatting>
  <conditionalFormatting sqref="FD56:FL56 FN56:FV56">
    <cfRule type="duplicateValues" dxfId="1808" priority="118"/>
  </conditionalFormatting>
  <conditionalFormatting sqref="FE55:FL55">
    <cfRule type="duplicateValues" dxfId="1807" priority="172"/>
  </conditionalFormatting>
  <conditionalFormatting sqref="FN55:FV55">
    <cfRule type="duplicateValues" dxfId="1806" priority="171"/>
  </conditionalFormatting>
  <conditionalFormatting sqref="FW55">
    <cfRule type="duplicateValues" dxfId="1805" priority="80"/>
  </conditionalFormatting>
  <conditionalFormatting sqref="FW56">
    <cfRule type="duplicateValues" dxfId="1804" priority="79"/>
  </conditionalFormatting>
  <conditionalFormatting sqref="FY55">
    <cfRule type="duplicateValues" dxfId="1803" priority="136"/>
  </conditionalFormatting>
  <conditionalFormatting sqref="FY56:GG56 GI56:GQ56">
    <cfRule type="duplicateValues" dxfId="1802" priority="117"/>
  </conditionalFormatting>
  <conditionalFormatting sqref="FZ55:GG55">
    <cfRule type="duplicateValues" dxfId="1801" priority="170"/>
  </conditionalFormatting>
  <conditionalFormatting sqref="GI55:GQ55">
    <cfRule type="duplicateValues" dxfId="1800" priority="169"/>
  </conditionalFormatting>
  <conditionalFormatting sqref="GR55">
    <cfRule type="duplicateValues" dxfId="1799" priority="78"/>
  </conditionalFormatting>
  <conditionalFormatting sqref="GR56">
    <cfRule type="duplicateValues" dxfId="1798" priority="77"/>
  </conditionalFormatting>
  <conditionalFormatting sqref="GT55">
    <cfRule type="duplicateValues" dxfId="1797" priority="135"/>
  </conditionalFormatting>
  <conditionalFormatting sqref="GU55:HB55">
    <cfRule type="duplicateValues" dxfId="1796" priority="168"/>
  </conditionalFormatting>
  <conditionalFormatting sqref="HD55:HL55">
    <cfRule type="duplicateValues" dxfId="1795" priority="167"/>
  </conditionalFormatting>
  <conditionalFormatting sqref="HM55">
    <cfRule type="duplicateValues" dxfId="1794" priority="65"/>
  </conditionalFormatting>
  <conditionalFormatting sqref="HO55">
    <cfRule type="duplicateValues" dxfId="1793" priority="134"/>
  </conditionalFormatting>
  <conditionalFormatting sqref="HP55:HW55">
    <cfRule type="duplicateValues" dxfId="1792" priority="166"/>
  </conditionalFormatting>
  <conditionalFormatting sqref="HY55:IG55">
    <cfRule type="duplicateValues" dxfId="1791" priority="165"/>
  </conditionalFormatting>
  <conditionalFormatting sqref="IH55">
    <cfRule type="duplicateValues" dxfId="1790" priority="66"/>
  </conditionalFormatting>
  <conditionalFormatting sqref="IJ55">
    <cfRule type="duplicateValues" dxfId="1789" priority="133"/>
  </conditionalFormatting>
  <conditionalFormatting sqref="IK55:IR55">
    <cfRule type="duplicateValues" dxfId="1788" priority="164"/>
  </conditionalFormatting>
  <conditionalFormatting sqref="IT55:JB55">
    <cfRule type="duplicateValues" dxfId="1787" priority="163"/>
  </conditionalFormatting>
  <conditionalFormatting sqref="JC55">
    <cfRule type="duplicateValues" dxfId="1786" priority="67"/>
  </conditionalFormatting>
  <conditionalFormatting sqref="JE55">
    <cfRule type="duplicateValues" dxfId="1785" priority="132"/>
  </conditionalFormatting>
  <conditionalFormatting sqref="JF55:JM55">
    <cfRule type="duplicateValues" dxfId="1784" priority="162"/>
  </conditionalFormatting>
  <conditionalFormatting sqref="JO55:JW55">
    <cfRule type="duplicateValues" dxfId="1783" priority="161"/>
  </conditionalFormatting>
  <conditionalFormatting sqref="JX55">
    <cfRule type="duplicateValues" dxfId="1782" priority="68"/>
  </conditionalFormatting>
  <conditionalFormatting sqref="JZ55">
    <cfRule type="duplicateValues" dxfId="1781" priority="131"/>
  </conditionalFormatting>
  <conditionalFormatting sqref="KA55:KH55">
    <cfRule type="duplicateValues" dxfId="1780" priority="160"/>
  </conditionalFormatting>
  <conditionalFormatting sqref="KJ55:KR55">
    <cfRule type="duplicateValues" dxfId="1779" priority="159"/>
  </conditionalFormatting>
  <conditionalFormatting sqref="KS55">
    <cfRule type="duplicateValues" dxfId="1778" priority="69"/>
  </conditionalFormatting>
  <conditionalFormatting sqref="KU55">
    <cfRule type="duplicateValues" dxfId="1777" priority="130"/>
  </conditionalFormatting>
  <conditionalFormatting sqref="KV55:LC55">
    <cfRule type="duplicateValues" dxfId="1776" priority="158"/>
  </conditionalFormatting>
  <conditionalFormatting sqref="LE55:LM55">
    <cfRule type="duplicateValues" dxfId="1775" priority="157"/>
  </conditionalFormatting>
  <conditionalFormatting sqref="LN55">
    <cfRule type="duplicateValues" dxfId="1774" priority="70"/>
  </conditionalFormatting>
  <conditionalFormatting sqref="LP55">
    <cfRule type="duplicateValues" dxfId="1773" priority="129"/>
  </conditionalFormatting>
  <conditionalFormatting sqref="LQ55:LX55">
    <cfRule type="duplicateValues" dxfId="1772" priority="155"/>
  </conditionalFormatting>
  <conditionalFormatting sqref="LZ55:MH55">
    <cfRule type="duplicateValues" dxfId="1771" priority="156"/>
  </conditionalFormatting>
  <conditionalFormatting sqref="MI55">
    <cfRule type="duplicateValues" dxfId="1770" priority="71"/>
  </conditionalFormatting>
  <conditionalFormatting sqref="MK55">
    <cfRule type="duplicateValues" dxfId="1769" priority="128"/>
  </conditionalFormatting>
  <conditionalFormatting sqref="ML55:MS55">
    <cfRule type="duplicateValues" dxfId="1768" priority="154"/>
  </conditionalFormatting>
  <conditionalFormatting sqref="MU55:NC55">
    <cfRule type="duplicateValues" dxfId="1767" priority="153"/>
  </conditionalFormatting>
  <conditionalFormatting sqref="ND55">
    <cfRule type="duplicateValues" dxfId="1766" priority="72"/>
  </conditionalFormatting>
  <conditionalFormatting sqref="NF55">
    <cfRule type="duplicateValues" dxfId="1765" priority="127"/>
  </conditionalFormatting>
  <conditionalFormatting sqref="NG55:NN55">
    <cfRule type="duplicateValues" dxfId="1764" priority="152"/>
  </conditionalFormatting>
  <conditionalFormatting sqref="NP55:NX55">
    <cfRule type="duplicateValues" dxfId="1763" priority="151"/>
  </conditionalFormatting>
  <conditionalFormatting sqref="NY55">
    <cfRule type="duplicateValues" dxfId="1762" priority="73"/>
  </conditionalFormatting>
  <conditionalFormatting sqref="OA55">
    <cfRule type="duplicateValues" dxfId="1761" priority="126"/>
  </conditionalFormatting>
  <conditionalFormatting sqref="OB55:OI55">
    <cfRule type="duplicateValues" dxfId="1760" priority="150"/>
  </conditionalFormatting>
  <conditionalFormatting sqref="OK55:OS55">
    <cfRule type="duplicateValues" dxfId="1759" priority="149"/>
  </conditionalFormatting>
  <conditionalFormatting sqref="OT55">
    <cfRule type="duplicateValues" dxfId="1758" priority="74"/>
  </conditionalFormatting>
  <conditionalFormatting sqref="OV55">
    <cfRule type="duplicateValues" dxfId="1757" priority="125"/>
  </conditionalFormatting>
  <conditionalFormatting sqref="OW55:PD55">
    <cfRule type="duplicateValues" dxfId="1756" priority="148"/>
  </conditionalFormatting>
  <conditionalFormatting sqref="PF55:PN55">
    <cfRule type="duplicateValues" dxfId="1755" priority="147"/>
  </conditionalFormatting>
  <conditionalFormatting sqref="PO55">
    <cfRule type="duplicateValues" dxfId="1754" priority="75"/>
  </conditionalFormatting>
  <conditionalFormatting sqref="PQ55">
    <cfRule type="duplicateValues" dxfId="1753" priority="124"/>
  </conditionalFormatting>
  <conditionalFormatting sqref="PR55:PY55">
    <cfRule type="duplicateValues" dxfId="1752" priority="146"/>
  </conditionalFormatting>
  <conditionalFormatting sqref="QA55:QI55">
    <cfRule type="duplicateValues" dxfId="1751" priority="145"/>
  </conditionalFormatting>
  <conditionalFormatting sqref="QJ55">
    <cfRule type="duplicateValues" dxfId="1750" priority="76"/>
  </conditionalFormatting>
  <conditionalFormatting sqref="QL55">
    <cfRule type="duplicateValues" dxfId="1749" priority="123"/>
  </conditionalFormatting>
  <conditionalFormatting sqref="QM55:QT55">
    <cfRule type="duplicateValues" dxfId="1748" priority="144"/>
  </conditionalFormatting>
  <conditionalFormatting sqref="QV55:RE55">
    <cfRule type="duplicateValues" dxfId="1747" priority="143"/>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0" r:id="rId14" name="Group Box 60">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25661" r:id="rId15" name="Option Button 61">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25662" r:id="rId16" name="Option Button 62">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25663" r:id="rId17" name="Option Button 63">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25664" r:id="rId18" name="Option Button 64">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25665" r:id="rId19" name="Option Button 65">
              <controlPr defaultSize="0" autoFill="0" autoLine="0" autoPict="0" altText="">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25666" r:id="rId20" name="Option Button 66">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25667" r:id="rId21" name="Option Button 67">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25668" r:id="rId22" name="Option Button 68">
              <controlPr defaultSize="0" autoFill="0" autoLine="0" autoPict="0" altText="">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25669" r:id="rId23" name="Option Button 69">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25670" r:id="rId24" name="Option Button 70">
              <controlPr defaultSize="0" autoFill="0" autoLine="0" autoPict="0" altText="">
                <anchor moveWithCells="1">
                  <from>
                    <xdr:col>12</xdr:col>
                    <xdr:colOff>144780</xdr:colOff>
                    <xdr:row>14</xdr:row>
                    <xdr:rowOff>106680</xdr:rowOff>
                  </from>
                  <to>
                    <xdr:col>12</xdr:col>
                    <xdr:colOff>182880</xdr:colOff>
                    <xdr:row>14</xdr:row>
                    <xdr:rowOff>144780</xdr:rowOff>
                  </to>
                </anchor>
              </controlPr>
            </control>
          </mc:Choice>
        </mc:AlternateContent>
        <mc:AlternateContent xmlns:mc="http://schemas.openxmlformats.org/markup-compatibility/2006">
          <mc:Choice Requires="x14">
            <control shapeId="25671" r:id="rId25" name="Option Button 71">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1494352-DD75-4894-A21F-7BBA86F71D43}">
            <xm:f>Info!$V$7=2</xm:f>
            <x14:dxf>
              <font>
                <color theme="0" tint="-4.9989318521683403E-2"/>
              </font>
              <border>
                <vertical/>
                <horizontal/>
              </border>
            </x14:dxf>
          </x14:cfRule>
          <xm:sqref>B99:N99</xm:sqref>
        </x14:conditionalFormatting>
        <x14:conditionalFormatting xmlns:xm="http://schemas.microsoft.com/office/excel/2006/main">
          <x14:cfRule type="expression" priority="614" id="{DF8230CE-ADD9-4E9A-AA40-D631286C717F}">
            <xm:f>$H$35=Formeln!$A$1</xm:f>
            <x14:dxf>
              <fill>
                <patternFill>
                  <bgColor theme="0" tint="-0.14996795556505021"/>
                </patternFill>
              </fill>
            </x14:dxf>
          </x14:cfRule>
          <xm:sqref>H35:K35</xm:sqref>
        </x14:conditionalFormatting>
        <x14:conditionalFormatting xmlns:xm="http://schemas.microsoft.com/office/excel/2006/main">
          <x14:cfRule type="expression" priority="612" id="{FDEA581F-A08F-4CF0-935D-29003DC6FFDC}">
            <xm:f>$H$38=Formeln!$A$1</xm:f>
            <x14:dxf>
              <fill>
                <patternFill>
                  <bgColor theme="0" tint="-0.14996795556505021"/>
                </patternFill>
              </fill>
            </x14:dxf>
          </x14:cfRule>
          <xm:sqref>H38:K38</xm:sqref>
        </x14:conditionalFormatting>
        <x14:conditionalFormatting xmlns:xm="http://schemas.microsoft.com/office/excel/2006/main">
          <x14:cfRule type="expression" priority="611" id="{5054827F-3F89-4F5E-BD3C-14A0D9FF51E8}">
            <xm:f>$H$48=Formeln!$A$1</xm:f>
            <x14:dxf>
              <fill>
                <patternFill>
                  <bgColor theme="0" tint="-0.14996795556505021"/>
                </patternFill>
              </fill>
            </x14:dxf>
          </x14:cfRule>
          <xm:sqref>H48:K48</xm:sqref>
        </x14:conditionalFormatting>
        <x14:conditionalFormatting xmlns:xm="http://schemas.microsoft.com/office/excel/2006/main">
          <x14:cfRule type="expression" priority="610" id="{4343E594-C9CD-412F-B810-C27CB2A1BE1A}">
            <xm:f>$H$49=Formeln!$A$1</xm:f>
            <x14:dxf>
              <fill>
                <patternFill>
                  <bgColor theme="0" tint="-0.14996795556505021"/>
                </patternFill>
              </fill>
            </x14:dxf>
          </x14:cfRule>
          <xm:sqref>H49:K49</xm:sqref>
        </x14:conditionalFormatting>
        <x14:conditionalFormatting xmlns:xm="http://schemas.microsoft.com/office/excel/2006/main">
          <x14:cfRule type="expression" priority="263" id="{04CB2AD0-E621-4AA4-BD27-2132A7C05134}">
            <xm:f>DP!$P$21=10</xm:f>
            <x14:dxf>
              <font>
                <color auto="1"/>
              </font>
            </x14:dxf>
          </x14:cfRule>
          <xm:sqref>I22</xm:sqref>
        </x14:conditionalFormatting>
        <x14:conditionalFormatting xmlns:xm="http://schemas.microsoft.com/office/excel/2006/main">
          <x14:cfRule type="expression" priority="604" id="{2763897B-9085-4785-A47A-0821D8E56D8D}">
            <xm:f>$I$102=Formeln!$A$1</xm:f>
            <x14:dxf>
              <fill>
                <patternFill>
                  <bgColor theme="0" tint="-0.14996795556505021"/>
                </patternFill>
              </fill>
            </x14:dxf>
          </x14:cfRule>
          <xm:sqref>I102</xm:sqref>
        </x14:conditionalFormatting>
        <x14:conditionalFormatting xmlns:xm="http://schemas.microsoft.com/office/excel/2006/main">
          <x14:cfRule type="expression" priority="605" id="{0B44622C-2AAD-43A2-8797-E5B0772DCAF5}">
            <xm:f>$I$101=Formeln!$A$1</xm:f>
            <x14:dxf>
              <fill>
                <patternFill>
                  <bgColor theme="0" tint="-0.14996795556505021"/>
                </patternFill>
              </fill>
            </x14:dxf>
          </x14:cfRule>
          <xm:sqref>I101:K101</xm:sqref>
        </x14:conditionalFormatting>
        <x14:conditionalFormatting xmlns:xm="http://schemas.microsoft.com/office/excel/2006/main">
          <x14:cfRule type="expression" priority="243" id="{704F4A09-9745-425D-940F-F36B6A08E07F}">
            <xm:f>$J55=Formeln!$A$1</xm:f>
            <x14:dxf>
              <fill>
                <patternFill>
                  <bgColor theme="0" tint="-0.14996795556505021"/>
                </patternFill>
              </fill>
            </x14:dxf>
          </x14:cfRule>
          <xm:sqref>J55:K57</xm:sqref>
        </x14:conditionalFormatting>
        <x14:conditionalFormatting xmlns:xm="http://schemas.microsoft.com/office/excel/2006/main">
          <x14:cfRule type="expression" priority="602" id="{824E9F3A-CCEA-4B72-A9ED-6B6AB71B01F9}">
            <xm:f>$K$102=Formeln!$A$1</xm:f>
            <x14:dxf>
              <fill>
                <patternFill>
                  <bgColor theme="0" tint="-0.14996795556505021"/>
                </patternFill>
              </fill>
            </x14:dxf>
          </x14:cfRule>
          <xm:sqref>K102</xm:sqref>
        </x14:conditionalFormatting>
        <x14:conditionalFormatting xmlns:xm="http://schemas.microsoft.com/office/excel/2006/main">
          <x14:cfRule type="expression" priority="25" id="{19BD7136-5769-4517-A51B-7E7474F0B1B9}">
            <xm:f>Info!$V$7=8</xm:f>
            <x14:dxf>
              <font>
                <color theme="1"/>
              </font>
              <border>
                <left style="thin">
                  <color auto="1"/>
                </left>
                <right style="thin">
                  <color auto="1"/>
                </right>
                <top style="thin">
                  <color auto="1"/>
                </top>
                <bottom style="thin">
                  <color auto="1"/>
                </bottom>
                <vertical/>
                <horizontal/>
              </border>
            </x14:dxf>
          </x14:cfRule>
          <xm:sqref>O30:O105</xm:sqref>
        </x14:conditionalFormatting>
        <x14:conditionalFormatting xmlns:xm="http://schemas.microsoft.com/office/excel/2006/main">
          <x14:cfRule type="expression" priority="27" id="{2582223C-998F-4B4C-8859-4CE5E36A523A}">
            <xm:f>Info!$V$7=8</xm:f>
            <x14:dxf>
              <font>
                <color theme="1"/>
              </font>
              <border>
                <bottom style="thin">
                  <color auto="1"/>
                </bottom>
              </border>
            </x14:dxf>
          </x14:cfRule>
          <xm:sqref>O107</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200-000000000000}">
          <x14:formula1>
            <xm:f>Formeln!$A$30:$A$51</xm:f>
          </x14:formula1>
          <xm:sqref>J55:K55</xm:sqref>
        </x14:dataValidation>
        <x14:dataValidation type="list" allowBlank="1" showInputMessage="1" showErrorMessage="1" xr:uid="{00000000-0002-0000-0200-000001000000}">
          <x14:formula1>
            <xm:f>Formeln!$A$23:$A$25</xm:f>
          </x14:formula1>
          <xm:sqref>I102</xm:sqref>
        </x14:dataValidation>
        <x14:dataValidation type="list" allowBlank="1" showInputMessage="1" showErrorMessage="1" xr:uid="{00000000-0002-0000-0200-000002000000}">
          <x14:formula1>
            <xm:f>Formeln!$A$20:$A$22</xm:f>
          </x14:formula1>
          <xm:sqref>H49:K49</xm:sqref>
        </x14:dataValidation>
        <x14:dataValidation type="list" allowBlank="1" showInputMessage="1" showErrorMessage="1" xr:uid="{00000000-0002-0000-0200-000003000000}">
          <x14:formula1>
            <xm:f>Formeln!$A$17:$A$19</xm:f>
          </x14:formula1>
          <xm:sqref>H48:K48</xm:sqref>
        </x14:dataValidation>
        <x14:dataValidation type="list" allowBlank="1" showInputMessage="1" showErrorMessage="1" xr:uid="{00000000-0002-0000-0200-000004000000}">
          <x14:formula1>
            <xm:f>Formeln!$A$9:$A$15</xm:f>
          </x14:formula1>
          <xm:sqref>H38:K38</xm:sqref>
        </x14:dataValidation>
        <x14:dataValidation type="list" allowBlank="1" showInputMessage="1" showErrorMessage="1" xr:uid="{00000000-0002-0000-0200-000005000000}">
          <x14:formula1>
            <xm:f>Formeln!$A$5:$A$8</xm:f>
          </x14:formula1>
          <xm:sqref>H36:K36</xm:sqref>
        </x14:dataValidation>
        <x14:dataValidation type="list" allowBlank="1" showInputMessage="1" showErrorMessage="1" xr:uid="{00000000-0002-0000-0200-000006000000}">
          <x14:formula1>
            <xm:f>Formeln!$A$1:$A$4</xm:f>
          </x14:formula1>
          <xm:sqref>H35:K35</xm:sqref>
        </x14:dataValidation>
        <x14:dataValidation type="list" allowBlank="1" showInputMessage="1" showErrorMessage="1" xr:uid="{00000000-0002-0000-0200-000007000000}">
          <x14:formula1>
            <xm:f>Formeln!$A$106:$A$111</xm:f>
          </x14:formula1>
          <xm:sqref>I101:K101</xm:sqref>
        </x14:dataValidation>
        <x14:dataValidation type="list" allowBlank="1" showInputMessage="1" showErrorMessage="1" xr:uid="{00000000-0002-0000-0200-000008000000}">
          <x14:formula1>
            <xm:f>Formeln!$A$52:$A$103</xm:f>
          </x14:formula1>
          <xm:sqref>J56:K56</xm:sqref>
        </x14:dataValidation>
        <x14:dataValidation type="list" allowBlank="1" showInputMessage="1" showErrorMessage="1" xr:uid="{00000000-0002-0000-0200-000009000000}">
          <x14:formula1>
            <xm:f>Formeln!$C$52:$C$111</xm:f>
          </x14:formula1>
          <xm:sqref>J57:K57</xm:sqref>
        </x14:dataValidation>
        <x14:dataValidation type="list" allowBlank="1" showInputMessage="1" showErrorMessage="1" xr:uid="{00000000-0002-0000-0200-00000A000000}">
          <x14:formula1>
            <xm:f>Formeln!$A$127:$A$138</xm:f>
          </x14:formula1>
          <xm:sqref>K102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RH128"/>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2.6640625" style="9" hidden="1" customWidth="1"/>
    <col min="17" max="17" width="20.6640625" style="9" hidden="1" customWidth="1"/>
    <col min="18" max="23" width="8.33203125" style="1" hidden="1" customWidth="1"/>
    <col min="24" max="27" width="7.109375" style="1" hidden="1" customWidth="1"/>
    <col min="28" max="28" width="2.5546875" style="1" hidden="1" customWidth="1"/>
    <col min="29" max="32" width="4" style="1" hidden="1" customWidth="1"/>
    <col min="33" max="33" width="6.88671875" style="1" hidden="1" customWidth="1"/>
    <col min="34" max="34" width="18.109375" style="1" hidden="1" customWidth="1"/>
    <col min="35" max="35" width="13.33203125" style="1" hidden="1" customWidth="1"/>
    <col min="36" max="36" width="12.6640625" style="1" hidden="1" customWidth="1"/>
    <col min="37" max="37" width="11.5546875" style="1" hidden="1" customWidth="1"/>
    <col min="38" max="38" width="12.44140625" style="1" hidden="1" customWidth="1"/>
    <col min="39" max="39" width="12" style="1" hidden="1" customWidth="1"/>
    <col min="40" max="40" width="11.33203125" style="1" hidden="1" customWidth="1"/>
    <col min="41" max="41" width="12" style="1" hidden="1" customWidth="1"/>
    <col min="42" max="42" width="11.88671875" style="1" hidden="1" customWidth="1"/>
    <col min="43" max="43" width="16.5546875" style="1" hidden="1" customWidth="1"/>
    <col min="44" max="466" width="8.6640625" style="1" hidden="1" customWidth="1"/>
    <col min="467" max="476" width="0" style="1" hidden="1" customWidth="1"/>
    <col min="477" max="16384" width="8.6640625" style="1" hidden="1"/>
  </cols>
  <sheetData>
    <row r="1" spans="1:18" ht="28.2">
      <c r="N1" s="2" t="str">
        <f>VLOOKUP(279,Sprachindex!$A:$Z,Info!$O$7,FALSE)</f>
        <v>Dachsysteme</v>
      </c>
    </row>
    <row r="2" spans="1:18" ht="28.2">
      <c r="D2" s="18"/>
      <c r="N2" s="2" t="str">
        <f>VLOOKUP(276,Sprachindex!$A:$Z,Info!$O$7,FALSE)</f>
        <v>Dachschindel DS.19</v>
      </c>
    </row>
    <row r="3" spans="1:18" ht="15" customHeight="1"/>
    <row r="4" spans="1:18" ht="17.25" customHeight="1">
      <c r="N4" s="204"/>
      <c r="R4" s="3"/>
    </row>
    <row r="5" spans="1:18" ht="17.25" customHeight="1">
      <c r="N5" s="204"/>
      <c r="R5" s="3"/>
    </row>
    <row r="6" spans="1:18" ht="17.25" customHeight="1">
      <c r="N6" s="204"/>
      <c r="O6" s="52">
        <v>1</v>
      </c>
      <c r="R6" s="3"/>
    </row>
    <row r="7" spans="1:18" ht="17.25" customHeight="1">
      <c r="N7" s="204"/>
      <c r="O7" s="52"/>
      <c r="R7" s="3"/>
    </row>
    <row r="8" spans="1:18" ht="17.25" customHeight="1">
      <c r="A8" s="88" t="str">
        <f>VLOOKUP(393,Sprachindex!$A:$Z,Info!$O$7,FALSE)</f>
        <v>Firma / Besteller:</v>
      </c>
      <c r="B8" s="70"/>
      <c r="C8" s="70"/>
      <c r="D8" s="70"/>
      <c r="E8" s="70"/>
      <c r="F8" s="70"/>
      <c r="G8" s="70"/>
      <c r="H8" s="70"/>
      <c r="I8" s="70"/>
      <c r="J8" s="70"/>
      <c r="K8" s="70"/>
      <c r="L8" s="70"/>
      <c r="Q8" s="10"/>
    </row>
    <row r="9" spans="1:18" ht="15" customHeight="1">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O9" s="53">
        <v>0</v>
      </c>
      <c r="R9" s="4"/>
    </row>
    <row r="10" spans="1:18" ht="15" customHeight="1">
      <c r="B10" s="74" t="str">
        <f>VLOOKUP(884,Sprachindex!$A:$Z,Info!$O$7,FALSE)</f>
        <v>Straße:</v>
      </c>
      <c r="C10" s="585"/>
      <c r="D10" s="586"/>
      <c r="E10" s="587"/>
      <c r="F10" s="70"/>
      <c r="G10" s="70"/>
      <c r="H10" s="70"/>
      <c r="I10" s="93"/>
      <c r="J10" s="71">
        <v>1</v>
      </c>
      <c r="K10" s="70"/>
      <c r="L10" s="70"/>
      <c r="R10" s="4"/>
    </row>
    <row r="11" spans="1:18" ht="15" customHeight="1">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O11" s="53">
        <v>0</v>
      </c>
      <c r="R11" s="4"/>
    </row>
    <row r="12" spans="1:18" ht="15" customHeight="1">
      <c r="B12" s="70"/>
      <c r="C12" s="70"/>
      <c r="D12" s="70"/>
      <c r="E12" s="70"/>
      <c r="F12" s="70"/>
      <c r="G12" s="70"/>
      <c r="H12" s="70"/>
      <c r="I12" s="89"/>
      <c r="J12" s="71">
        <v>1</v>
      </c>
      <c r="K12" s="70"/>
      <c r="L12" s="70"/>
    </row>
    <row r="13" spans="1:18" ht="15" customHeight="1">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O13" s="52"/>
      <c r="R13" s="4"/>
    </row>
    <row r="14" spans="1:18" ht="15" customHeight="1">
      <c r="B14" s="74" t="str">
        <f>VLOOKUP(901,Sprachindex!$A:$Z,Info!$O$7,FALSE)</f>
        <v>Telefon:</v>
      </c>
      <c r="C14" s="585"/>
      <c r="D14" s="586"/>
      <c r="E14" s="587"/>
      <c r="F14" s="70"/>
      <c r="G14" s="70"/>
      <c r="H14" s="70"/>
      <c r="I14" s="70"/>
      <c r="J14" s="70"/>
      <c r="K14" s="70"/>
      <c r="L14" s="70"/>
      <c r="R14" s="4"/>
    </row>
    <row r="15" spans="1:18" ht="15" customHeight="1">
      <c r="B15" s="74" t="str">
        <f>VLOOKUP(1698,Sprachindex!$A:$Z,Info!$O$7,FALSE)</f>
        <v>eMail:</v>
      </c>
      <c r="C15" s="585"/>
      <c r="D15" s="586"/>
      <c r="E15" s="587"/>
      <c r="F15" s="70"/>
      <c r="G15" s="94" t="str">
        <f>VLOOKUP(385,Sprachindex!$A:$Z,Info!$O$7,FALSE)</f>
        <v>Farbe:</v>
      </c>
      <c r="H15" s="70"/>
      <c r="I15" s="70"/>
      <c r="J15" s="70"/>
      <c r="K15" s="70"/>
      <c r="L15" s="70"/>
      <c r="R15" s="4"/>
    </row>
    <row r="16" spans="1:18" ht="15" customHeight="1">
      <c r="B16" s="70"/>
      <c r="C16" s="70"/>
      <c r="D16" s="70"/>
      <c r="E16" s="70"/>
      <c r="F16" s="70"/>
      <c r="G16" s="70" t="str">
        <f>VLOOKUP(25,Sprachindex!$A:$Z,Info!$O$7,FALSE)</f>
        <v>01 P.10 Braun</v>
      </c>
      <c r="H16" s="70"/>
      <c r="I16" s="70"/>
      <c r="J16" s="69" t="str">
        <f>VLOOKUP(37,Sprachindex!$A:$Z,Info!$O$7,FALSE)</f>
        <v>07 P.10 Hellgrau</v>
      </c>
      <c r="K16" s="70"/>
      <c r="L16" s="70"/>
    </row>
    <row r="17" spans="1:55" ht="15" customHeight="1">
      <c r="A17" s="88" t="str">
        <f>VLOOKUP(580,Sprachindex!$A:$Z,Info!$O$7,FALSE)</f>
        <v>Lieferadresse:</v>
      </c>
      <c r="B17" s="70"/>
      <c r="C17" s="70"/>
      <c r="D17" s="70"/>
      <c r="E17" s="70"/>
      <c r="F17" s="70"/>
      <c r="G17" s="70" t="str">
        <f>VLOOKUP(27,Sprachindex!$A:$Z,Info!$O$7,FALSE)</f>
        <v>02 P.10 Anthrazit</v>
      </c>
      <c r="H17" s="70"/>
      <c r="I17" s="70"/>
      <c r="J17" s="72" t="str">
        <f>VLOOKUP(51,Sprachindex!$A:$Z,Info!$O$7,FALSE)</f>
        <v>11 P.10 Nussbraun</v>
      </c>
      <c r="K17" s="70"/>
      <c r="L17" s="70"/>
      <c r="Q17" s="10"/>
    </row>
    <row r="18" spans="1:55" ht="15" customHeight="1">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O18" s="14"/>
      <c r="R18" s="4"/>
    </row>
    <row r="19" spans="1:55" ht="15" customHeight="1">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R19" s="4"/>
    </row>
    <row r="20" spans="1:55" ht="15" customHeight="1">
      <c r="B20" s="74" t="str">
        <f>VLOOKUP(884,Sprachindex!$A:$Z,Info!$O$7,FALSE)</f>
        <v>Straße:</v>
      </c>
      <c r="C20" s="585"/>
      <c r="D20" s="586"/>
      <c r="E20" s="587"/>
      <c r="F20" s="70"/>
      <c r="G20" s="70" t="str">
        <f>VLOOKUP(33,Sprachindex!$A:$Z,Info!$O$7,FALSE)</f>
        <v>05 P.10 Oxydrot</v>
      </c>
      <c r="H20" s="70"/>
      <c r="I20" s="70"/>
      <c r="J20" s="72"/>
      <c r="K20" s="70"/>
      <c r="L20" s="71"/>
      <c r="R20" s="4"/>
      <c r="T20" s="35"/>
      <c r="U20" s="35"/>
      <c r="AH20" s="35"/>
    </row>
    <row r="21" spans="1:55" ht="15" customHeight="1">
      <c r="B21" s="74" t="str">
        <f>VLOOKUP(641,Sprachindex!$A:$Z,Info!$O$7,FALSE)</f>
        <v>Ort:</v>
      </c>
      <c r="C21" s="585"/>
      <c r="D21" s="586"/>
      <c r="E21" s="587"/>
      <c r="F21" s="70"/>
      <c r="G21" s="70" t="str">
        <f>VLOOKUP(35,Sprachindex!$A:$Z,Info!$O$7,FALSE)</f>
        <v>06 P.10 Moosgrün</v>
      </c>
      <c r="H21" s="70"/>
      <c r="I21" s="95"/>
      <c r="J21" s="96"/>
      <c r="K21" s="96"/>
      <c r="L21" s="70"/>
      <c r="O21" s="52">
        <v>0</v>
      </c>
      <c r="R21" s="4"/>
    </row>
    <row r="22" spans="1:55" ht="15" customHeight="1">
      <c r="B22" s="74"/>
      <c r="C22" s="70"/>
      <c r="D22" s="70"/>
      <c r="E22" s="70"/>
      <c r="F22" s="70"/>
      <c r="G22" s="70"/>
      <c r="H22" s="70"/>
      <c r="I22" s="95"/>
      <c r="J22" s="96"/>
      <c r="K22" s="96"/>
      <c r="L22" s="70"/>
      <c r="O22" s="52"/>
      <c r="R22" s="4"/>
    </row>
    <row r="23" spans="1:55"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52"/>
      <c r="R23" s="4"/>
    </row>
    <row r="24" spans="1:55" ht="15" customHeight="1">
      <c r="B24" s="584" t="str">
        <f>VLOOKUP(1430,Sprachindex!$A:$Z,Info!$O$7,FALSE)</f>
        <v>Beschreibung</v>
      </c>
      <c r="C24" s="585"/>
      <c r="D24" s="586"/>
      <c r="E24" s="587"/>
      <c r="F24" s="70"/>
      <c r="G24" s="88"/>
      <c r="H24" s="74" t="str">
        <f>VLOOKUP(1429,Sprachindex!$A:$Z,Info!$O$7,FALSE)</f>
        <v>Bearbeiter:</v>
      </c>
      <c r="I24" s="450"/>
      <c r="J24" s="70"/>
      <c r="K24" s="70"/>
      <c r="L24" s="70"/>
      <c r="M24" s="70"/>
      <c r="N24" s="70"/>
      <c r="O24" s="52"/>
      <c r="R24" s="4"/>
    </row>
    <row r="25" spans="1:55" ht="15" customHeight="1">
      <c r="B25" s="584"/>
      <c r="C25" s="585"/>
      <c r="D25" s="586"/>
      <c r="E25" s="587"/>
      <c r="F25" s="70"/>
      <c r="G25" s="88"/>
      <c r="H25" s="74" t="str">
        <f>VLOOKUP(2243,Sprachindex!$A:$Z,Info!$O$7,FALSE)</f>
        <v>Projekt-ID:</v>
      </c>
      <c r="I25" s="450"/>
      <c r="J25" s="70"/>
      <c r="K25" s="70"/>
      <c r="L25" s="70"/>
      <c r="M25" s="70"/>
      <c r="N25" s="70"/>
      <c r="O25" s="52"/>
      <c r="R25" s="4"/>
    </row>
    <row r="26" spans="1:55" ht="15" customHeight="1">
      <c r="B26" s="584"/>
      <c r="C26" s="585"/>
      <c r="D26" s="586"/>
      <c r="E26" s="587"/>
      <c r="F26" s="70"/>
      <c r="G26" s="88"/>
      <c r="H26" s="74" t="str">
        <f>VLOOKUP(286,Sprachindex!$A:$Z,Info!$O$7,FALSE)</f>
        <v>Datum:</v>
      </c>
      <c r="I26" s="550">
        <f ca="1">TODAY()</f>
        <v>45580</v>
      </c>
      <c r="J26" s="70"/>
      <c r="K26" s="70"/>
      <c r="L26" s="70"/>
      <c r="M26" s="70"/>
      <c r="N26" s="70"/>
      <c r="O26" s="52"/>
      <c r="R26" s="4"/>
    </row>
    <row r="27" spans="1:55" ht="15" customHeight="1">
      <c r="B27" s="584"/>
      <c r="C27" s="585"/>
      <c r="D27" s="586"/>
      <c r="E27" s="587"/>
      <c r="F27" s="70"/>
      <c r="G27" s="5"/>
      <c r="H27" s="5"/>
      <c r="I27" s="5"/>
      <c r="J27" s="5"/>
      <c r="K27" s="5"/>
      <c r="L27" s="70"/>
      <c r="M27" s="70"/>
      <c r="N27" s="70"/>
      <c r="O27" s="52"/>
      <c r="R27" s="4"/>
    </row>
    <row r="28" spans="1:55" ht="15" customHeight="1">
      <c r="B28" s="74"/>
      <c r="C28" s="70"/>
      <c r="D28" s="70"/>
      <c r="E28" s="70"/>
      <c r="F28" s="70"/>
      <c r="G28" s="70"/>
      <c r="H28" s="70"/>
      <c r="I28" s="95"/>
      <c r="J28" s="70"/>
      <c r="K28" s="70"/>
      <c r="L28" s="70"/>
      <c r="R28" s="4"/>
    </row>
    <row r="29" spans="1:55" s="70" customFormat="1" ht="15" customHeight="1" thickBot="1">
      <c r="A29" s="100" t="str">
        <f>VLOOKUP(392,Sprachindex!$A:$Z,Info!$O$7,FALSE)</f>
        <v>Filter:</v>
      </c>
      <c r="B29" s="598"/>
      <c r="C29" s="598"/>
      <c r="D29" s="598"/>
      <c r="E29" s="598"/>
      <c r="O29" s="71"/>
      <c r="AC29" s="603" t="s">
        <v>25</v>
      </c>
      <c r="AD29" s="604"/>
      <c r="AE29" s="471"/>
      <c r="AF29" s="471"/>
      <c r="AH29" s="45" t="s">
        <v>26</v>
      </c>
      <c r="AI29" s="13"/>
      <c r="AJ29" s="13"/>
      <c r="AK29" s="13"/>
      <c r="AL29" s="13"/>
      <c r="AM29" s="13"/>
      <c r="AN29" s="13"/>
      <c r="AO29" s="13"/>
      <c r="AP29" s="13"/>
      <c r="AQ29" s="13"/>
      <c r="AR29" s="45" t="s">
        <v>27</v>
      </c>
      <c r="AS29" s="13"/>
      <c r="AT29" s="13"/>
      <c r="AU29" s="13"/>
      <c r="AV29" s="13"/>
      <c r="AW29" s="13"/>
      <c r="AX29" s="13"/>
      <c r="AY29" s="13"/>
      <c r="AZ29" s="13"/>
      <c r="BA29" s="46"/>
      <c r="BB29" s="277" t="s">
        <v>28</v>
      </c>
      <c r="BC29" s="277" t="s">
        <v>29</v>
      </c>
    </row>
    <row r="30" spans="1:55" s="70" customFormat="1"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P30" s="5"/>
      <c r="Q30" s="5"/>
      <c r="R30" s="78" t="str">
        <f>VLOOKUP(1786,Sprachindex!$A:$Z,Info!$O$7,FALSE)</f>
        <v>Preis</v>
      </c>
      <c r="S30" s="78" t="str">
        <f>VLOOKUP(1786,Sprachindex!$A:$Z,Info!$O$7,FALSE)</f>
        <v>Preis</v>
      </c>
      <c r="T30" s="71"/>
      <c r="U30" s="71"/>
      <c r="V30" s="71"/>
      <c r="W30" s="71"/>
      <c r="X30" s="71"/>
      <c r="Y30" s="71"/>
      <c r="Z30" s="71"/>
      <c r="AA30" s="71"/>
      <c r="AB30" s="71"/>
      <c r="AC30" s="163" t="s">
        <v>31</v>
      </c>
      <c r="AD30" s="163" t="s">
        <v>32</v>
      </c>
      <c r="AE30" s="472"/>
      <c r="AF30" s="472"/>
      <c r="AG30" s="71"/>
      <c r="AH30" s="101" t="s">
        <v>33</v>
      </c>
      <c r="AI30" s="101" t="s">
        <v>34</v>
      </c>
      <c r="AJ30" s="101" t="s">
        <v>35</v>
      </c>
      <c r="AK30" s="101" t="s">
        <v>36</v>
      </c>
      <c r="AL30" s="101" t="s">
        <v>37</v>
      </c>
      <c r="AM30" s="101" t="s">
        <v>38</v>
      </c>
      <c r="AN30" s="101" t="s">
        <v>39</v>
      </c>
      <c r="AO30" s="101" t="s">
        <v>40</v>
      </c>
      <c r="AP30" s="101" t="s">
        <v>41</v>
      </c>
      <c r="AQ30" s="101" t="s">
        <v>42</v>
      </c>
      <c r="AR30" s="101" t="s">
        <v>33</v>
      </c>
      <c r="AS30" s="101" t="s">
        <v>34</v>
      </c>
      <c r="AT30" s="101" t="s">
        <v>35</v>
      </c>
      <c r="AU30" s="101" t="s">
        <v>36</v>
      </c>
      <c r="AV30" s="101" t="s">
        <v>37</v>
      </c>
      <c r="AW30" s="101" t="s">
        <v>38</v>
      </c>
      <c r="AX30" s="101" t="s">
        <v>39</v>
      </c>
      <c r="AY30" s="101" t="s">
        <v>40</v>
      </c>
      <c r="AZ30" s="101" t="s">
        <v>41</v>
      </c>
      <c r="BA30" s="101" t="s">
        <v>42</v>
      </c>
    </row>
    <row r="31" spans="1:55" ht="32.1" customHeight="1">
      <c r="A31" s="98"/>
      <c r="B31" s="77" t="str">
        <f>VLOOKUP(588,Sprachindex!$A:$Z,Info!$O$7,FALSE)</f>
        <v>m²</v>
      </c>
      <c r="C31" s="103"/>
      <c r="D31" s="78">
        <f>IF($O$9=1,BC31,BB31)</f>
        <v>0</v>
      </c>
      <c r="E31" s="600" t="str">
        <f>VLOOKUP(276,Sprachindex!$A:$Z,Info!$O$7,FALSE)</f>
        <v>Dachschindel DS.19</v>
      </c>
      <c r="F31" s="601"/>
      <c r="G31" s="601"/>
      <c r="H31" s="601"/>
      <c r="I31" s="601"/>
      <c r="J31" s="601"/>
      <c r="K31" s="602"/>
      <c r="L31" s="77" t="str">
        <f>IF(A31=0,"",IF($O$11=1,AC31,AD31))</f>
        <v/>
      </c>
      <c r="M31" s="432" t="str">
        <f>B31</f>
        <v>m²</v>
      </c>
      <c r="N31" s="437"/>
      <c r="O31" s="202" t="str">
        <f>IF(ISNUMBER(L31), IF(O21=7, $L31*S31, $L31*R31), "")</f>
        <v/>
      </c>
      <c r="P31" s="5"/>
      <c r="Q31" s="5"/>
      <c r="R31" s="200">
        <v>39.450000000000003</v>
      </c>
      <c r="S31" s="200">
        <v>40.47</v>
      </c>
      <c r="T31" s="5"/>
      <c r="U31" s="5"/>
      <c r="V31" s="5"/>
      <c r="W31" s="5"/>
      <c r="X31" s="5"/>
      <c r="Y31" s="5"/>
      <c r="Z31" s="5"/>
      <c r="AA31" s="5"/>
      <c r="AB31" s="5"/>
      <c r="AC31" s="147">
        <f>ROUNDUP($A31/5,0)*5</f>
        <v>0</v>
      </c>
      <c r="AD31" s="146">
        <f>ROUNDUP($A31/1,0)*1</f>
        <v>0</v>
      </c>
      <c r="AE31" s="473"/>
      <c r="AF31" s="473"/>
      <c r="AG31" s="5"/>
      <c r="AH31" s="470">
        <v>112620</v>
      </c>
      <c r="AI31" s="470">
        <v>112621</v>
      </c>
      <c r="AJ31" s="470">
        <v>112622</v>
      </c>
      <c r="AK31" s="470">
        <v>112623</v>
      </c>
      <c r="AL31" s="470">
        <v>112624</v>
      </c>
      <c r="AM31" s="470">
        <v>112625</v>
      </c>
      <c r="AN31" s="470">
        <v>112626</v>
      </c>
      <c r="AO31" s="470">
        <v>112627</v>
      </c>
      <c r="AP31" s="470">
        <v>112628</v>
      </c>
      <c r="AQ31" s="470"/>
      <c r="AR31" s="469">
        <v>112600</v>
      </c>
      <c r="AS31" s="469">
        <v>112601</v>
      </c>
      <c r="AT31" s="469">
        <v>112602</v>
      </c>
      <c r="AU31" s="469">
        <v>112603</v>
      </c>
      <c r="AV31" s="469">
        <v>112604</v>
      </c>
      <c r="AW31" s="469">
        <v>112605</v>
      </c>
      <c r="AX31" s="469">
        <v>112606</v>
      </c>
      <c r="AY31" s="469">
        <v>112607</v>
      </c>
      <c r="AZ31" s="469">
        <v>112608</v>
      </c>
      <c r="BA31" s="469">
        <v>112609</v>
      </c>
      <c r="BB31" s="468">
        <f>IF($O$21=1,AH31,IF($O$21=4,AI31,IF($O$21=5,AJ31,IF($O$21=11,AK31,IF($O$21=7,AL31,IF($O$21=3,AM31,IF($O$21=6,AN31,IF($O$21=9,AO31,IF($O$21=2,AP31,IF($O$21=8,AQ31,0))))))))))</f>
        <v>0</v>
      </c>
      <c r="BC31" s="468">
        <f>IF($O$21=1,AR31,IF($O$21=4,AS31,IF($O$21=5,AT31,IF($O$21=11,AU31,IF($O$21=7,AV31,IF($O$21=3,AW31,IF($O$21=6,AX31,IF($O$21=9,AY31,IF($O$21=2,AZ31,IF($O$21=8,BA31,0))))))))))</f>
        <v>0</v>
      </c>
    </row>
    <row r="32" spans="1:55" ht="32.1" customHeight="1">
      <c r="A32" s="98"/>
      <c r="B32" s="79" t="str">
        <f>VLOOKUP(878,Sprachindex!$A:$Z,Info!$O$7,FALSE)</f>
        <v>Stk.</v>
      </c>
      <c r="C32" s="78"/>
      <c r="D32" s="78">
        <f>IF($O$9=1,BC32,BB32)</f>
        <v>0</v>
      </c>
      <c r="E32" s="561" t="str">
        <f>VLOOKUP(649,Sprachindex!$A:$Z,Info!$O$7,FALSE)</f>
        <v>Passschindel DS.19</v>
      </c>
      <c r="F32" s="562"/>
      <c r="G32" s="562"/>
      <c r="H32" s="562"/>
      <c r="I32" s="562"/>
      <c r="J32" s="562"/>
      <c r="K32" s="563"/>
      <c r="L32" s="79" t="str">
        <f>IF(A32=0,"",IF($O$11=1,AC32,AD32))</f>
        <v/>
      </c>
      <c r="M32" s="433" t="str">
        <f>B32</f>
        <v>Stk.</v>
      </c>
      <c r="N32" s="80"/>
      <c r="O32" s="202" t="str">
        <f>IF(ISNUMBER(A32), IF(O21=7, $L32*S32, $L32*R32), "")</f>
        <v/>
      </c>
      <c r="P32" s="5"/>
      <c r="Q32" s="5"/>
      <c r="R32" s="200">
        <v>11.67</v>
      </c>
      <c r="S32" s="195">
        <v>12.09</v>
      </c>
      <c r="T32" s="5"/>
      <c r="U32" s="5"/>
      <c r="V32" s="5"/>
      <c r="W32" s="5"/>
      <c r="X32" s="5"/>
      <c r="Y32" s="5"/>
      <c r="Z32" s="5"/>
      <c r="AA32" s="5"/>
      <c r="AB32" s="5"/>
      <c r="AC32" s="147">
        <f>ROUNDUP($A33/16,0)*16</f>
        <v>0</v>
      </c>
      <c r="AD32" s="146">
        <f>ROUNDUP($A32/1,0)*1</f>
        <v>0</v>
      </c>
      <c r="AE32" s="473"/>
      <c r="AF32" s="473"/>
      <c r="AG32" s="5"/>
      <c r="AH32" s="470">
        <v>112660</v>
      </c>
      <c r="AI32" s="470">
        <v>112661</v>
      </c>
      <c r="AJ32" s="470">
        <v>112662</v>
      </c>
      <c r="AK32" s="470">
        <v>112663</v>
      </c>
      <c r="AL32" s="470">
        <v>112664</v>
      </c>
      <c r="AM32" s="470">
        <v>112665</v>
      </c>
      <c r="AN32" s="470">
        <v>112666</v>
      </c>
      <c r="AO32" s="470">
        <v>112667</v>
      </c>
      <c r="AP32" s="470">
        <v>112668</v>
      </c>
      <c r="AQ32" s="470"/>
      <c r="AR32" s="469">
        <v>112640</v>
      </c>
      <c r="AS32" s="469">
        <v>112641</v>
      </c>
      <c r="AT32" s="469">
        <v>112642</v>
      </c>
      <c r="AU32" s="469">
        <v>112643</v>
      </c>
      <c r="AV32" s="469">
        <v>112644</v>
      </c>
      <c r="AW32" s="469">
        <v>112645</v>
      </c>
      <c r="AX32" s="469">
        <v>112646</v>
      </c>
      <c r="AY32" s="469">
        <v>112647</v>
      </c>
      <c r="AZ32" s="469">
        <v>112648</v>
      </c>
      <c r="BA32" s="469">
        <v>112649</v>
      </c>
      <c r="BB32" s="468">
        <f>IF($O$21=1,AH32,IF($O$21=4,AI32,IF($O$21=5,AJ32,IF($O$21=11,AK32,IF($O$21=7,AL32,IF($O$21=3,AM32,IF($O$21=6,AN32,IF($O$21=9,AO32,IF($O$21=2,AP32,IF($O$21=8,AQ32,0))))))))))</f>
        <v>0</v>
      </c>
      <c r="BC32" s="468">
        <f>IF($O$21=1,AR32,IF($O$21=4,AS32,IF($O$21=5,AT32,IF($O$21=11,AU32,IF($O$21=7,AV32,IF($O$21=3,AW32,IF($O$21=6,AX32,IF($O$21=9,AY32,IF($O$21=2,AZ32,IF($O$21=8,BA32,0))))))))))</f>
        <v>0</v>
      </c>
    </row>
    <row r="33" spans="1:55" ht="32.1" customHeight="1">
      <c r="A33" s="98"/>
      <c r="B33" s="79" t="str">
        <f>VLOOKUP(878,Sprachindex!$A:$Z,Info!$O$7,FALSE)</f>
        <v>Stk.</v>
      </c>
      <c r="C33" s="78"/>
      <c r="D33" s="78">
        <v>505001</v>
      </c>
      <c r="E33" s="561" t="str">
        <f>VLOOKUP(652,Sprachindex!$A:$Z,Info!$O$7,FALSE)</f>
        <v>Patenthaft für Dachplatte und Dachschindel</v>
      </c>
      <c r="F33" s="562"/>
      <c r="G33" s="562"/>
      <c r="H33" s="562"/>
      <c r="I33" s="562"/>
      <c r="J33" s="562"/>
      <c r="K33" s="563"/>
      <c r="L33" s="79" t="str">
        <f>IF(A33=0,"",IF($O$11=1,AC33,AD33))</f>
        <v/>
      </c>
      <c r="M33" s="433" t="str">
        <f t="shared" ref="M33:M96" si="0">B33</f>
        <v>Stk.</v>
      </c>
      <c r="N33" s="80"/>
      <c r="O33" s="202" t="str">
        <f>IF(ISNUMBER(A33),$L33*R33, "")</f>
        <v/>
      </c>
      <c r="P33" s="5"/>
      <c r="Q33" s="5"/>
      <c r="R33" s="200">
        <v>0.03</v>
      </c>
      <c r="S33" s="195"/>
      <c r="T33" s="5"/>
      <c r="U33" s="5"/>
      <c r="V33" s="5"/>
      <c r="W33" s="5"/>
      <c r="X33" s="5"/>
      <c r="Y33" s="5"/>
      <c r="Z33" s="5"/>
      <c r="AA33" s="5"/>
      <c r="AB33" s="5"/>
      <c r="AC33" s="149">
        <f>ROUNDUP($A33/840,0)*840</f>
        <v>0</v>
      </c>
      <c r="AD33" s="149">
        <f>ROUNDUP($A33,0)</f>
        <v>0</v>
      </c>
      <c r="AE33" s="8"/>
      <c r="AF33" s="8"/>
      <c r="AG33" s="5"/>
    </row>
    <row r="34" spans="1:55" ht="32.1" customHeight="1">
      <c r="A34" s="98"/>
      <c r="B34" s="79" t="str">
        <f>VLOOKUP(1512,Sprachindex!$A:$Z,Info!$O$7,FALSE)</f>
        <v>lfm</v>
      </c>
      <c r="C34" s="78"/>
      <c r="D34" s="82">
        <v>562005</v>
      </c>
      <c r="E34" s="561" t="str">
        <f>VLOOKUP(768,Sprachindex!$A:$Z,Info!$O$7,FALSE)</f>
        <v>Saumstreifen (1.800 × 158 × 1,00 mm)</v>
      </c>
      <c r="F34" s="562"/>
      <c r="G34" s="562"/>
      <c r="H34" s="562"/>
      <c r="I34" s="562"/>
      <c r="J34" s="562"/>
      <c r="K34" s="563"/>
      <c r="L34" s="79" t="str">
        <f>IF(A34=0,"",IF($O$11=1,AC34,AD34))</f>
        <v/>
      </c>
      <c r="M34" s="433" t="str">
        <f t="shared" si="0"/>
        <v>lfm</v>
      </c>
      <c r="N34" s="80"/>
      <c r="O34" s="202" t="str">
        <f>IF(ISNUMBER(A34),$L34*R34, "")</f>
        <v/>
      </c>
      <c r="P34" s="5"/>
      <c r="Q34" s="5"/>
      <c r="R34" s="200">
        <v>6.54</v>
      </c>
      <c r="S34" s="195"/>
      <c r="T34" s="5"/>
      <c r="U34" s="5"/>
      <c r="V34" s="5"/>
      <c r="W34" s="5"/>
      <c r="X34" s="5"/>
      <c r="Y34" s="5"/>
      <c r="Z34" s="5"/>
      <c r="AA34" s="5"/>
      <c r="AB34" s="5"/>
      <c r="AC34" s="148">
        <f>ROUNDUP($A34/2,0)*2</f>
        <v>0</v>
      </c>
      <c r="AD34" s="148">
        <f>ROUNDUP($A34/2,0)*2</f>
        <v>0</v>
      </c>
      <c r="AE34" s="474"/>
      <c r="AF34" s="474"/>
      <c r="AG34" s="5"/>
    </row>
    <row r="35" spans="1:55" ht="32.1" customHeight="1">
      <c r="A35" s="98"/>
      <c r="B35" s="79" t="str">
        <f>VLOOKUP(531,Sprachindex!$A:$Z,Info!$O$7,FALSE)</f>
        <v>kg</v>
      </c>
      <c r="C35" s="78"/>
      <c r="D35" s="78">
        <f>IF(H35=Formeln!A2,340392,IF(H35=Formeln!A3,340394,IF(H35=Formeln!A4,341392,0)))</f>
        <v>0</v>
      </c>
      <c r="E35" s="561" t="str">
        <f>VLOOKUP(707,Sprachindex!$A:$Z,Info!$O$7,FALSE)</f>
        <v>Rillennagel (verzinkt)</v>
      </c>
      <c r="F35" s="562"/>
      <c r="G35" s="562"/>
      <c r="H35" s="572"/>
      <c r="I35" s="573"/>
      <c r="J35" s="573"/>
      <c r="K35" s="574"/>
      <c r="L35" s="79" t="str">
        <f>IF(A35=0,"",IF($O$11=1,AC35,AD35))</f>
        <v/>
      </c>
      <c r="M35" s="433" t="str">
        <f t="shared" si="0"/>
        <v>kg</v>
      </c>
      <c r="N35" s="80"/>
      <c r="O35" s="202" t="str">
        <f>IF(ISNUMBER(A35),$L35*R35, "")</f>
        <v/>
      </c>
      <c r="P35" s="5"/>
      <c r="Q35" s="5"/>
      <c r="R35" s="200">
        <v>9.35</v>
      </c>
      <c r="S35" s="195"/>
      <c r="T35" s="5"/>
      <c r="U35" s="5"/>
      <c r="V35" s="5"/>
      <c r="W35" s="5"/>
      <c r="X35" s="5"/>
      <c r="Y35" s="5"/>
      <c r="Z35" s="5"/>
      <c r="AA35" s="5"/>
      <c r="AB35" s="5"/>
      <c r="AC35" s="148">
        <f>IF(OR($H35=Formeln!$A$2,$H35=Formeln!$A$3),ROUNDUP($A35/2.5,0)*2.5,ROUNDUP($A35/2,0)*2)</f>
        <v>0</v>
      </c>
      <c r="AD35" s="148">
        <f>ROUNDUP($A35,2)</f>
        <v>0</v>
      </c>
      <c r="AE35" s="474"/>
      <c r="AF35" s="474"/>
      <c r="AG35" s="5"/>
    </row>
    <row r="36" spans="1:55" ht="32.1" customHeight="1">
      <c r="A36" s="98"/>
      <c r="B36" s="79" t="str">
        <f>VLOOKUP(878,Sprachindex!$A:$Z,Info!$O$7,FALSE)</f>
        <v>Stk.</v>
      </c>
      <c r="C36" s="78"/>
      <c r="D36" s="81">
        <f>IF(H36=Formeln!A6,341395,IF(H36=Formeln!A7,341396,IF(H36=Formeln!A8,341398,0)))</f>
        <v>0</v>
      </c>
      <c r="E36" s="561" t="str">
        <f>VLOOKUP(2186,Sprachindex!$A:$Z,Info!$O$7,FALSE)</f>
        <v>Rillennägel gebunden</v>
      </c>
      <c r="F36" s="562"/>
      <c r="G36" s="562"/>
      <c r="H36" s="572"/>
      <c r="I36" s="573"/>
      <c r="J36" s="573"/>
      <c r="K36" s="574"/>
      <c r="L36" s="79" t="str">
        <f>IF($A36=0,"",IF($H36=Formeln!$A$5,"",IF($O$11=1,AC36,AD36)))</f>
        <v/>
      </c>
      <c r="M36" s="433" t="str">
        <f t="shared" si="0"/>
        <v>Stk.</v>
      </c>
      <c r="N36" s="80"/>
      <c r="O36" s="202" t="str">
        <f>IF(ISNUMBER(A36),IF(H36=Formeln!A7,$L36*S36/1000,IF(H36=Formeln!A6,$L36*R36/1000,L36*T36/1000))," ")</f>
        <v xml:space="preserve"> </v>
      </c>
      <c r="P36" s="5"/>
      <c r="Q36" s="5"/>
      <c r="R36" s="104">
        <v>34.4</v>
      </c>
      <c r="S36" s="195">
        <v>51.6</v>
      </c>
      <c r="T36" s="135">
        <v>64.400000000000006</v>
      </c>
      <c r="U36" s="5"/>
      <c r="V36" s="5"/>
      <c r="W36" s="5"/>
      <c r="X36" s="5"/>
      <c r="Y36" s="5"/>
      <c r="Z36" s="5"/>
      <c r="AA36" s="5"/>
      <c r="AB36" s="5"/>
      <c r="AC36" s="148">
        <f>IF(OR($H36=Formeln!$A$6,$H36=Formeln!$A$8),ROUNDUP($A36/3200,0)*3200,ROUNDUP($A36/2400,0)*2400)</f>
        <v>0</v>
      </c>
      <c r="AD36" s="149">
        <f>ROUNDUP($A36/1000,0)*1000</f>
        <v>0</v>
      </c>
      <c r="AE36" s="8"/>
      <c r="AF36" s="8"/>
      <c r="AG36" s="5"/>
      <c r="AH36" s="101" t="s">
        <v>33</v>
      </c>
      <c r="AI36" s="101" t="s">
        <v>34</v>
      </c>
      <c r="AJ36" s="101" t="s">
        <v>35</v>
      </c>
      <c r="AK36" s="101" t="s">
        <v>36</v>
      </c>
      <c r="AL36" s="101" t="s">
        <v>37</v>
      </c>
      <c r="AM36" s="101" t="s">
        <v>38</v>
      </c>
      <c r="AN36" s="101" t="s">
        <v>39</v>
      </c>
      <c r="AO36" s="101" t="s">
        <v>40</v>
      </c>
      <c r="AP36" s="101" t="s">
        <v>41</v>
      </c>
      <c r="AQ36" s="101" t="s">
        <v>42</v>
      </c>
    </row>
    <row r="37" spans="1:55" ht="32.1" customHeight="1">
      <c r="A37" s="98"/>
      <c r="B37" s="79" t="str">
        <f>VLOOKUP(1512,Sprachindex!$A:$Z,Info!$O$7,FALSE)</f>
        <v>lfm</v>
      </c>
      <c r="C37" s="78"/>
      <c r="D37" s="78">
        <f>IF($O$21=1,AH37,IF($O$21=4,AI37,IF($O$21=5,AJ37,IF($O$21=11,AK37,IF($O$21=7,AL37,IF($O$21=3,AM37,IF($O$21=6,AN37,IF($O$21=9,AO37,IF($O$21=2,AP37,IF($O$21=8,AQ37,0))))))))))</f>
        <v>0</v>
      </c>
      <c r="E37" s="561" t="str">
        <f>VLOOKUP(333,Sprachindex!$A:$Z,Info!$O$7,FALSE)</f>
        <v>Einlaufblech</v>
      </c>
      <c r="F37" s="562"/>
      <c r="G37" s="562"/>
      <c r="H37" s="562"/>
      <c r="I37" s="562"/>
      <c r="J37" s="562"/>
      <c r="K37" s="563"/>
      <c r="L37" s="79" t="str">
        <f t="shared" ref="L37:L54" si="1">IF(A37=0,"",IF($O$11=1,AC37,AD37))</f>
        <v/>
      </c>
      <c r="M37" s="433" t="str">
        <f t="shared" si="0"/>
        <v>lfm</v>
      </c>
      <c r="N37" s="80"/>
      <c r="O37" s="202" t="str">
        <f>IF(ISNUMBER(A37),$L37*R37, "")</f>
        <v/>
      </c>
      <c r="P37" s="5"/>
      <c r="Q37" s="5"/>
      <c r="R37" s="200">
        <v>8.65</v>
      </c>
      <c r="S37" s="200"/>
      <c r="T37" s="5"/>
      <c r="U37" s="5"/>
      <c r="V37" s="5"/>
      <c r="W37" s="5"/>
      <c r="X37" s="5"/>
      <c r="Y37" s="5"/>
      <c r="Z37" s="5"/>
      <c r="AA37" s="5"/>
      <c r="AB37" s="5"/>
      <c r="AC37" s="149">
        <f>ROUNDUP($A37/2,0)*2</f>
        <v>0</v>
      </c>
      <c r="AD37" s="149">
        <f t="shared" ref="AD37:AD42" si="2">ROUNDUP($A37,0)</f>
        <v>0</v>
      </c>
      <c r="AE37" s="8"/>
      <c r="AF37" s="8"/>
      <c r="AG37" s="5"/>
      <c r="AH37" s="44">
        <v>212100</v>
      </c>
      <c r="AI37" s="44"/>
      <c r="AJ37" s="44">
        <v>212102</v>
      </c>
      <c r="AK37" s="44">
        <v>212101</v>
      </c>
      <c r="AL37" s="44"/>
      <c r="AM37" s="44"/>
      <c r="AN37" s="44">
        <v>212106</v>
      </c>
      <c r="AO37" s="44"/>
      <c r="AP37" s="44">
        <v>212104</v>
      </c>
      <c r="AQ37" s="44">
        <v>212103</v>
      </c>
    </row>
    <row r="38" spans="1:55" ht="32.1" customHeight="1">
      <c r="A38" s="98"/>
      <c r="B38" s="79" t="str">
        <f>VLOOKUP(1512,Sprachindex!$A:$Z,Info!$O$7,FALSE)</f>
        <v>lfm</v>
      </c>
      <c r="C38" s="82"/>
      <c r="D38" s="82">
        <f>IF(H38=Formeln!A10,507403,IF(H38=Formeln!A11,507404,IF(H38=Formeln!A12,507402,IF(H38=Formeln!A13,507405,IF(H38=Formeln!A14,507412,IF(H38=Formeln!A15,507413,0))))))</f>
        <v>0</v>
      </c>
      <c r="E38" s="561" t="str">
        <f>VLOOKUP(586,Sprachindex!$A:$Z,Info!$O$7,FALSE)</f>
        <v>Lüftungsband</v>
      </c>
      <c r="F38" s="562"/>
      <c r="G38" s="562"/>
      <c r="H38" s="572"/>
      <c r="I38" s="573"/>
      <c r="J38" s="573"/>
      <c r="K38" s="574"/>
      <c r="L38" s="79" t="str">
        <f t="shared" si="1"/>
        <v/>
      </c>
      <c r="M38" s="433" t="str">
        <f t="shared" si="0"/>
        <v>lfm</v>
      </c>
      <c r="N38" s="80"/>
      <c r="O38" s="202" t="str">
        <f>IF(ISNUMBER(A38), IF(OR(H38=Formeln!A10,H38=Formeln!A11), $L38*R38, $L38*S38), "")</f>
        <v/>
      </c>
      <c r="P38" s="5"/>
      <c r="Q38" s="5"/>
      <c r="R38" s="200">
        <v>13.23</v>
      </c>
      <c r="S38" s="195">
        <v>21.27</v>
      </c>
      <c r="T38" s="5"/>
      <c r="U38" s="5"/>
      <c r="V38" s="5"/>
      <c r="W38" s="5"/>
      <c r="X38" s="5"/>
      <c r="Y38" s="5"/>
      <c r="Z38" s="5"/>
      <c r="AA38" s="5"/>
      <c r="AB38" s="5"/>
      <c r="AC38" s="149">
        <f>ROUNDUP($A38/40,0)*40</f>
        <v>0</v>
      </c>
      <c r="AD38" s="149">
        <f t="shared" si="2"/>
        <v>0</v>
      </c>
      <c r="AE38" s="8"/>
      <c r="AF38" s="8"/>
      <c r="AG38" s="5"/>
    </row>
    <row r="39" spans="1:55" ht="32.1" customHeight="1">
      <c r="A39" s="98"/>
      <c r="B39" s="79" t="str">
        <f>VLOOKUP(1512,Sprachindex!$A:$Z,Info!$O$7,FALSE)</f>
        <v>lfm</v>
      </c>
      <c r="C39" s="78"/>
      <c r="D39" s="78">
        <v>507300</v>
      </c>
      <c r="E39" s="561" t="str">
        <f>VLOOKUP(986,Sprachindex!$A:$Z,Info!$O$7,FALSE)</f>
        <v>Vogelschutzgitter (Braun/Anthrazit; 125 × 2.000 × 0,7 mm)</v>
      </c>
      <c r="F39" s="562"/>
      <c r="G39" s="562"/>
      <c r="H39" s="562"/>
      <c r="I39" s="562"/>
      <c r="J39" s="562"/>
      <c r="K39" s="563"/>
      <c r="L39" s="79" t="str">
        <f t="shared" si="1"/>
        <v/>
      </c>
      <c r="M39" s="433" t="str">
        <f t="shared" si="0"/>
        <v>lfm</v>
      </c>
      <c r="N39" s="80"/>
      <c r="O39" s="202" t="str">
        <f t="shared" ref="O39:O47" si="3">IF(ISNUMBER(A39),$L39*R39, "")</f>
        <v/>
      </c>
      <c r="P39" s="5"/>
      <c r="Q39" s="5"/>
      <c r="R39" s="200">
        <v>4.01</v>
      </c>
      <c r="S39" s="200"/>
      <c r="T39" s="5"/>
      <c r="U39" s="5"/>
      <c r="V39" s="5"/>
      <c r="W39" s="5"/>
      <c r="X39" s="5"/>
      <c r="Y39" s="5"/>
      <c r="Z39" s="5"/>
      <c r="AA39" s="5"/>
      <c r="AB39" s="5"/>
      <c r="AC39" s="149">
        <f>ROUNDUP($A39/2,0)*2</f>
        <v>0</v>
      </c>
      <c r="AD39" s="149">
        <f t="shared" si="2"/>
        <v>0</v>
      </c>
      <c r="AE39" s="8"/>
      <c r="AF39" s="8"/>
      <c r="AG39" s="5"/>
      <c r="AH39" s="101" t="s">
        <v>33</v>
      </c>
      <c r="AI39" s="101" t="s">
        <v>34</v>
      </c>
      <c r="AJ39" s="101" t="s">
        <v>35</v>
      </c>
      <c r="AK39" s="101" t="s">
        <v>36</v>
      </c>
      <c r="AL39" s="101" t="s">
        <v>37</v>
      </c>
      <c r="AM39" s="101" t="s">
        <v>38</v>
      </c>
      <c r="AN39" s="101" t="s">
        <v>39</v>
      </c>
      <c r="AO39" s="101" t="s">
        <v>40</v>
      </c>
      <c r="AP39" s="101" t="s">
        <v>41</v>
      </c>
      <c r="AQ39" s="101" t="s">
        <v>42</v>
      </c>
      <c r="AR39" s="101" t="s">
        <v>33</v>
      </c>
      <c r="AS39" s="101" t="s">
        <v>34</v>
      </c>
      <c r="AT39" s="101" t="s">
        <v>35</v>
      </c>
      <c r="AU39" s="101" t="s">
        <v>36</v>
      </c>
      <c r="AV39" s="101" t="s">
        <v>37</v>
      </c>
      <c r="AW39" s="101" t="s">
        <v>38</v>
      </c>
      <c r="AX39" s="101" t="s">
        <v>39</v>
      </c>
      <c r="AY39" s="101" t="s">
        <v>40</v>
      </c>
      <c r="AZ39" s="101" t="s">
        <v>41</v>
      </c>
      <c r="BA39" s="101" t="s">
        <v>42</v>
      </c>
    </row>
    <row r="40" spans="1:55" ht="32.1" customHeight="1">
      <c r="A40" s="98"/>
      <c r="B40" s="79" t="str">
        <f>VLOOKUP(1512,Sprachindex!$A:$Z,Info!$O$7,FALSE)</f>
        <v>lfm</v>
      </c>
      <c r="C40" s="78"/>
      <c r="D40" s="78">
        <f t="shared" ref="D40:D46" si="4">IF($O$9=1,BC40,BB40)</f>
        <v>0</v>
      </c>
      <c r="E40" s="561" t="str">
        <f>VLOOKUP(647,Sprachindex!$A:$Z,Info!$O$7,FALSE)</f>
        <v>Ortgangstreifen (95 × 2.000 × 0,70 mm)</v>
      </c>
      <c r="F40" s="562"/>
      <c r="G40" s="562"/>
      <c r="H40" s="562"/>
      <c r="I40" s="562"/>
      <c r="J40" s="562"/>
      <c r="K40" s="563"/>
      <c r="L40" s="79" t="str">
        <f t="shared" si="1"/>
        <v/>
      </c>
      <c r="M40" s="433" t="str">
        <f t="shared" si="0"/>
        <v>lfm</v>
      </c>
      <c r="N40" s="80"/>
      <c r="O40" s="202" t="str">
        <f t="shared" si="3"/>
        <v/>
      </c>
      <c r="P40" s="5"/>
      <c r="Q40" s="5"/>
      <c r="R40" s="200">
        <v>9.57</v>
      </c>
      <c r="S40" s="195"/>
      <c r="T40" s="5"/>
      <c r="U40" s="5"/>
      <c r="V40" s="5"/>
      <c r="W40" s="5"/>
      <c r="X40" s="5"/>
      <c r="Y40" s="5"/>
      <c r="Z40" s="5"/>
      <c r="AA40" s="5"/>
      <c r="AB40" s="5"/>
      <c r="AC40" s="149">
        <f>ROUNDUP($A40/2,0)*2</f>
        <v>0</v>
      </c>
      <c r="AD40" s="149">
        <f t="shared" si="2"/>
        <v>0</v>
      </c>
      <c r="AE40" s="8"/>
      <c r="AF40" s="8"/>
      <c r="AG40" s="5"/>
      <c r="AH40" s="44">
        <v>110500</v>
      </c>
      <c r="AI40" s="44">
        <v>110501</v>
      </c>
      <c r="AJ40" s="44">
        <v>110502</v>
      </c>
      <c r="AK40" s="44">
        <v>110503</v>
      </c>
      <c r="AL40" s="44">
        <v>110504</v>
      </c>
      <c r="AM40" s="44">
        <v>110505</v>
      </c>
      <c r="AN40" s="44">
        <v>110506</v>
      </c>
      <c r="AO40" s="44">
        <v>110507</v>
      </c>
      <c r="AP40" s="44">
        <v>110508</v>
      </c>
      <c r="AQ40" s="44"/>
      <c r="AR40" s="44">
        <v>110510</v>
      </c>
      <c r="AS40" s="44">
        <v>110511</v>
      </c>
      <c r="AT40" s="44">
        <v>110512</v>
      </c>
      <c r="AU40" s="44">
        <v>110513</v>
      </c>
      <c r="AV40" s="44">
        <v>110514</v>
      </c>
      <c r="AW40" s="44">
        <v>110515</v>
      </c>
      <c r="AX40" s="44">
        <v>110516</v>
      </c>
      <c r="AY40" s="44">
        <v>110517</v>
      </c>
      <c r="AZ40" s="44">
        <v>110518</v>
      </c>
      <c r="BA40" s="44">
        <v>110519</v>
      </c>
      <c r="BB40" s="468">
        <f t="shared" ref="BB40:BB46" si="5">IF($O$21=1,AH40,IF($O$21=4,AI40,IF($O$21=5,AJ40,IF($O$21=11,AK40,IF($O$21=7,AL40,IF($O$21=3,AM40,IF($O$21=6,AN40,IF($O$21=9,AO40,IF($O$21=2,AP40,IF($O$21=8,AQ40,0))))))))))</f>
        <v>0</v>
      </c>
      <c r="BC40" s="468">
        <f t="shared" ref="BC40:BC46" si="6">IF($O$21=1,AR40,IF($O$21=4,AS40,IF($O$21=5,AT40,IF($O$21=11,AU40,IF($O$21=7,AV40,IF($O$21=3,AW40,IF($O$21=6,AX40,IF($O$21=9,AY40,IF($O$21=2,AZ40,IF($O$21=8,BA40,0))))))))))</f>
        <v>0</v>
      </c>
    </row>
    <row r="41" spans="1:55" ht="32.1" customHeight="1">
      <c r="A41" s="98"/>
      <c r="B41" s="79" t="str">
        <f>VLOOKUP(1512,Sprachindex!$A:$Z,Info!$O$7,FALSE)</f>
        <v>lfm</v>
      </c>
      <c r="C41" s="78"/>
      <c r="D41" s="78">
        <f t="shared" si="4"/>
        <v>0</v>
      </c>
      <c r="E41" s="561" t="str">
        <f>VLOOKUP(825,Sprachindex!$A:$Z,Info!$O$7,FALSE)</f>
        <v>Sicherheitskehle (stucco; Länge: 3.000 mm)</v>
      </c>
      <c r="F41" s="562"/>
      <c r="G41" s="562"/>
      <c r="H41" s="562"/>
      <c r="I41" s="562"/>
      <c r="J41" s="562"/>
      <c r="K41" s="563"/>
      <c r="L41" s="79" t="str">
        <f t="shared" si="1"/>
        <v/>
      </c>
      <c r="M41" s="433" t="str">
        <f t="shared" si="0"/>
        <v>lfm</v>
      </c>
      <c r="N41" s="80"/>
      <c r="O41" s="202" t="str">
        <f t="shared" si="3"/>
        <v/>
      </c>
      <c r="P41" s="5"/>
      <c r="Q41" s="5"/>
      <c r="R41" s="200">
        <v>32.14</v>
      </c>
      <c r="S41" s="195"/>
      <c r="T41" s="5"/>
      <c r="U41" s="5"/>
      <c r="V41" s="5"/>
      <c r="W41" s="5"/>
      <c r="X41" s="5"/>
      <c r="Y41" s="5"/>
      <c r="Z41" s="5"/>
      <c r="AA41" s="5"/>
      <c r="AB41" s="5"/>
      <c r="AC41" s="149">
        <f>ROUNDUP($A41/3,0)*3</f>
        <v>0</v>
      </c>
      <c r="AD41" s="149">
        <f t="shared" si="2"/>
        <v>0</v>
      </c>
      <c r="AE41" s="8"/>
      <c r="AF41" s="8"/>
      <c r="AG41" s="5"/>
      <c r="AH41" s="44">
        <v>110520</v>
      </c>
      <c r="AI41" s="44">
        <v>110521</v>
      </c>
      <c r="AJ41" s="44">
        <v>110522</v>
      </c>
      <c r="AK41" s="44">
        <v>110523</v>
      </c>
      <c r="AL41" s="44">
        <v>110524</v>
      </c>
      <c r="AM41" s="44">
        <v>110525</v>
      </c>
      <c r="AN41" s="44">
        <v>110526</v>
      </c>
      <c r="AO41" s="44">
        <v>110527</v>
      </c>
      <c r="AP41" s="44">
        <v>110528</v>
      </c>
      <c r="AR41" s="44">
        <v>110530</v>
      </c>
      <c r="AS41" s="44">
        <v>110531</v>
      </c>
      <c r="AT41" s="44">
        <v>110532</v>
      </c>
      <c r="AU41" s="44">
        <v>110533</v>
      </c>
      <c r="AV41" s="44">
        <v>110534</v>
      </c>
      <c r="AW41" s="44">
        <v>110535</v>
      </c>
      <c r="AX41" s="44">
        <v>110536</v>
      </c>
      <c r="AY41" s="44">
        <v>110537</v>
      </c>
      <c r="AZ41" s="44">
        <v>110538</v>
      </c>
      <c r="BA41" s="44">
        <v>110539</v>
      </c>
      <c r="BB41" s="468">
        <f t="shared" si="5"/>
        <v>0</v>
      </c>
      <c r="BC41" s="468">
        <f t="shared" si="6"/>
        <v>0</v>
      </c>
    </row>
    <row r="42" spans="1:55" ht="32.1" customHeight="1">
      <c r="A42" s="98"/>
      <c r="B42" s="79" t="str">
        <f>VLOOKUP(1512,Sprachindex!$A:$Z,Info!$O$7,FALSE)</f>
        <v>lfm</v>
      </c>
      <c r="C42" s="78"/>
      <c r="D42" s="78">
        <f t="shared" si="4"/>
        <v>0</v>
      </c>
      <c r="E42" s="561" t="str">
        <f>VLOOKUP(440,Sprachindex!$A:$Z,Info!$O$7,FALSE)</f>
        <v>Grat- und Firstreiter (500 × 1,00 mm; stucco) inkl. Niro-Schraube 4,5 × 45 mm und Dichtscheibe</v>
      </c>
      <c r="F42" s="562"/>
      <c r="G42" s="562"/>
      <c r="H42" s="562"/>
      <c r="I42" s="562"/>
      <c r="J42" s="562"/>
      <c r="K42" s="563"/>
      <c r="L42" s="79" t="str">
        <f t="shared" si="1"/>
        <v/>
      </c>
      <c r="M42" s="433" t="str">
        <f t="shared" si="0"/>
        <v>lfm</v>
      </c>
      <c r="N42" s="80"/>
      <c r="O42" s="202" t="str">
        <f t="shared" si="3"/>
        <v/>
      </c>
      <c r="P42" s="5"/>
      <c r="Q42" s="5"/>
      <c r="R42" s="200">
        <v>14.77</v>
      </c>
      <c r="S42" s="195"/>
      <c r="T42" s="5"/>
      <c r="U42" s="5"/>
      <c r="V42" s="5"/>
      <c r="W42" s="5"/>
      <c r="X42" s="5"/>
      <c r="Y42" s="5"/>
      <c r="Z42" s="5"/>
      <c r="AA42" s="5"/>
      <c r="AB42" s="5"/>
      <c r="AC42" s="149">
        <f>ROUNDUP($A42/10,0)*10</f>
        <v>0</v>
      </c>
      <c r="AD42" s="149">
        <f t="shared" si="2"/>
        <v>0</v>
      </c>
      <c r="AE42" s="8"/>
      <c r="AF42" s="8"/>
      <c r="AG42" s="5"/>
      <c r="AH42" s="44">
        <v>110340</v>
      </c>
      <c r="AI42" s="44">
        <v>110341</v>
      </c>
      <c r="AJ42" s="44">
        <v>110342</v>
      </c>
      <c r="AK42" s="44">
        <v>110343</v>
      </c>
      <c r="AL42" s="44">
        <v>110344</v>
      </c>
      <c r="AM42" s="44">
        <v>110345</v>
      </c>
      <c r="AN42" s="44">
        <v>110346</v>
      </c>
      <c r="AO42" s="44">
        <v>110347</v>
      </c>
      <c r="AP42" s="44">
        <v>110348</v>
      </c>
      <c r="AQ42" s="44"/>
      <c r="AR42" s="44">
        <v>110350</v>
      </c>
      <c r="AS42" s="44">
        <v>110351</v>
      </c>
      <c r="AT42" s="44">
        <v>110352</v>
      </c>
      <c r="AU42" s="44">
        <v>110353</v>
      </c>
      <c r="AV42" s="44">
        <v>110354</v>
      </c>
      <c r="AW42" s="44">
        <v>110355</v>
      </c>
      <c r="AX42" s="44">
        <v>110356</v>
      </c>
      <c r="AY42" s="44">
        <v>110357</v>
      </c>
      <c r="AZ42" s="44">
        <v>110358</v>
      </c>
      <c r="BA42" s="44">
        <v>110359</v>
      </c>
      <c r="BB42" s="468">
        <f t="shared" si="5"/>
        <v>0</v>
      </c>
      <c r="BC42" s="468">
        <f t="shared" si="6"/>
        <v>0</v>
      </c>
    </row>
    <row r="43" spans="1:55" ht="32.1" customHeight="1">
      <c r="A43" s="98"/>
      <c r="B43" s="79" t="str">
        <f>VLOOKUP(878,Sprachindex!$A:$Z,Info!$O$7,FALSE)</f>
        <v>Stk.</v>
      </c>
      <c r="C43" s="78"/>
      <c r="D43" s="78">
        <f t="shared" si="4"/>
        <v>0</v>
      </c>
      <c r="E43" s="561" t="str">
        <f>VLOOKUP(441,Sprachindex!$A:$Z,Info!$O$7,FALSE)</f>
        <v>Gratreitervorkopf (stucco)</v>
      </c>
      <c r="F43" s="562"/>
      <c r="G43" s="562"/>
      <c r="H43" s="562"/>
      <c r="I43" s="562"/>
      <c r="J43" s="562"/>
      <c r="K43" s="563"/>
      <c r="L43" s="79" t="str">
        <f t="shared" si="1"/>
        <v/>
      </c>
      <c r="M43" s="433" t="str">
        <f t="shared" si="0"/>
        <v>Stk.</v>
      </c>
      <c r="N43" s="80"/>
      <c r="O43" s="202" t="str">
        <f t="shared" si="3"/>
        <v/>
      </c>
      <c r="P43" s="5"/>
      <c r="Q43" s="5"/>
      <c r="R43" s="200">
        <v>8.02</v>
      </c>
      <c r="S43" s="195"/>
      <c r="T43" s="5"/>
      <c r="U43" s="5"/>
      <c r="V43" s="5"/>
      <c r="W43" s="5"/>
      <c r="X43" s="5"/>
      <c r="Y43" s="5"/>
      <c r="Z43" s="5"/>
      <c r="AA43" s="5"/>
      <c r="AB43" s="5"/>
      <c r="AC43" s="149">
        <f>ROUNDUP($A43/10,0)*10</f>
        <v>0</v>
      </c>
      <c r="AD43" s="149">
        <f>ROUNDUP($A43/1,0)*1</f>
        <v>0</v>
      </c>
      <c r="AE43" s="8"/>
      <c r="AF43" s="8"/>
      <c r="AG43" s="5"/>
      <c r="AH43" s="44">
        <v>110320</v>
      </c>
      <c r="AI43" s="44">
        <v>110321</v>
      </c>
      <c r="AJ43" s="44">
        <v>110322</v>
      </c>
      <c r="AK43" s="44">
        <v>110323</v>
      </c>
      <c r="AL43" s="44">
        <v>110324</v>
      </c>
      <c r="AM43" s="44">
        <v>110325</v>
      </c>
      <c r="AN43" s="44">
        <v>110326</v>
      </c>
      <c r="AO43" s="44">
        <v>110327</v>
      </c>
      <c r="AP43" s="44">
        <v>110328</v>
      </c>
      <c r="AQ43" s="44"/>
      <c r="AR43" s="44">
        <v>110330</v>
      </c>
      <c r="AS43" s="44">
        <v>110331</v>
      </c>
      <c r="AT43" s="44">
        <v>110332</v>
      </c>
      <c r="AU43" s="44">
        <v>110333</v>
      </c>
      <c r="AV43" s="44">
        <v>110334</v>
      </c>
      <c r="AW43" s="44">
        <v>110335</v>
      </c>
      <c r="AX43" s="44">
        <v>110336</v>
      </c>
      <c r="AY43" s="44">
        <v>110337</v>
      </c>
      <c r="AZ43" s="44">
        <v>110338</v>
      </c>
      <c r="BA43" s="44">
        <v>110339</v>
      </c>
      <c r="BB43" s="468">
        <f t="shared" si="5"/>
        <v>0</v>
      </c>
      <c r="BC43" s="468">
        <f t="shared" si="6"/>
        <v>0</v>
      </c>
    </row>
    <row r="44" spans="1:55" ht="32.1" customHeight="1">
      <c r="A44" s="98"/>
      <c r="B44" s="79" t="str">
        <f>VLOOKUP(1512,Sprachindex!$A:$Z,Info!$O$7,FALSE)</f>
        <v>lfm</v>
      </c>
      <c r="C44" s="78"/>
      <c r="D44" s="78">
        <f t="shared" si="4"/>
        <v>0</v>
      </c>
      <c r="E44" s="561" t="str">
        <f>VLOOKUP(501,Sprachindex!$A:$Z,Info!$O$7,FALSE)</f>
        <v>Jet-Lüfter (stucco; 1.200 mm); inkl. Niro-Schraube und Dichtscheibe</v>
      </c>
      <c r="F44" s="562"/>
      <c r="G44" s="562"/>
      <c r="H44" s="562"/>
      <c r="I44" s="562"/>
      <c r="J44" s="562"/>
      <c r="K44" s="563"/>
      <c r="L44" s="79" t="str">
        <f t="shared" si="1"/>
        <v/>
      </c>
      <c r="M44" s="433" t="str">
        <f t="shared" si="0"/>
        <v>lfm</v>
      </c>
      <c r="N44" s="80"/>
      <c r="O44" s="202" t="str">
        <f t="shared" si="3"/>
        <v/>
      </c>
      <c r="P44" s="5"/>
      <c r="Q44" s="5"/>
      <c r="R44" s="200">
        <v>67.2</v>
      </c>
      <c r="S44" s="195"/>
      <c r="T44" s="5"/>
      <c r="U44" s="5"/>
      <c r="V44" s="5"/>
      <c r="W44" s="5"/>
      <c r="X44" s="5"/>
      <c r="Y44" s="5"/>
      <c r="Z44" s="5"/>
      <c r="AA44" s="5"/>
      <c r="AB44" s="5"/>
      <c r="AC44" s="149">
        <f>ROUNDUP($A44/1.2,0)*1.2</f>
        <v>0</v>
      </c>
      <c r="AD44" s="149">
        <f>ROUNDUP($A44/1.2,0)*1.2</f>
        <v>0</v>
      </c>
      <c r="AE44" s="8"/>
      <c r="AF44" s="8"/>
      <c r="AG44" s="5"/>
      <c r="AH44" s="44">
        <v>110640</v>
      </c>
      <c r="AI44" s="44">
        <v>110641</v>
      </c>
      <c r="AJ44" s="44">
        <v>110642</v>
      </c>
      <c r="AK44" s="44">
        <v>110643</v>
      </c>
      <c r="AL44" s="44">
        <v>110644</v>
      </c>
      <c r="AM44" s="44">
        <v>110645</v>
      </c>
      <c r="AN44" s="44">
        <v>110646</v>
      </c>
      <c r="AO44" s="44">
        <v>110647</v>
      </c>
      <c r="AP44" s="44">
        <v>110648</v>
      </c>
      <c r="AQ44" s="44"/>
      <c r="AR44" s="44">
        <v>110650</v>
      </c>
      <c r="AS44" s="44">
        <v>110651</v>
      </c>
      <c r="AT44" s="44">
        <v>110652</v>
      </c>
      <c r="AU44" s="44">
        <v>110653</v>
      </c>
      <c r="AV44" s="44">
        <v>110654</v>
      </c>
      <c r="AW44" s="44">
        <v>110655</v>
      </c>
      <c r="AX44" s="44">
        <v>110656</v>
      </c>
      <c r="AY44" s="44">
        <v>110657</v>
      </c>
      <c r="AZ44" s="44">
        <v>110658</v>
      </c>
      <c r="BA44" s="44">
        <v>110659</v>
      </c>
      <c r="BB44" s="468">
        <f t="shared" si="5"/>
        <v>0</v>
      </c>
      <c r="BC44" s="468">
        <f t="shared" si="6"/>
        <v>0</v>
      </c>
    </row>
    <row r="45" spans="1:55" ht="32.1" customHeight="1">
      <c r="A45" s="98"/>
      <c r="B45" s="79" t="str">
        <f>VLOOKUP(1512,Sprachindex!$A:$Z,Info!$O$7,FALSE)</f>
        <v>lfm</v>
      </c>
      <c r="C45" s="78"/>
      <c r="D45" s="78">
        <f t="shared" si="4"/>
        <v>0</v>
      </c>
      <c r="E45" s="561" t="str">
        <f>VLOOKUP(502,Sprachindex!$A:$Z,Info!$O$7,FALSE)</f>
        <v>Jet-Lüfter (stucco; 3.000 mm); inkl. Niro-Schraube und Dichtscheibe</v>
      </c>
      <c r="F45" s="562"/>
      <c r="G45" s="562"/>
      <c r="H45" s="562"/>
      <c r="I45" s="562"/>
      <c r="J45" s="562"/>
      <c r="K45" s="563"/>
      <c r="L45" s="79" t="str">
        <f t="shared" si="1"/>
        <v/>
      </c>
      <c r="M45" s="433" t="str">
        <f t="shared" si="0"/>
        <v>lfm</v>
      </c>
      <c r="N45" s="80"/>
      <c r="O45" s="202" t="str">
        <f t="shared" si="3"/>
        <v/>
      </c>
      <c r="P45" s="5"/>
      <c r="Q45" s="5"/>
      <c r="R45" s="200">
        <v>60.69</v>
      </c>
      <c r="S45" s="195"/>
      <c r="T45" s="5"/>
      <c r="U45" s="5"/>
      <c r="V45" s="5"/>
      <c r="W45" s="5"/>
      <c r="X45" s="5"/>
      <c r="Y45" s="5"/>
      <c r="Z45" s="5"/>
      <c r="AA45" s="5"/>
      <c r="AB45" s="5"/>
      <c r="AC45" s="149">
        <f>ROUNDUP($A45/9,0)*9</f>
        <v>0</v>
      </c>
      <c r="AD45" s="149">
        <f t="shared" ref="AD45:AD54" si="7">ROUNDUP($A45,0)</f>
        <v>0</v>
      </c>
      <c r="AE45" s="8"/>
      <c r="AF45" s="8"/>
      <c r="AG45" s="5"/>
      <c r="AH45" s="44">
        <v>110620</v>
      </c>
      <c r="AI45" s="44">
        <v>110621</v>
      </c>
      <c r="AJ45" s="44">
        <v>110622</v>
      </c>
      <c r="AK45" s="44">
        <v>110623</v>
      </c>
      <c r="AL45" s="44">
        <v>110624</v>
      </c>
      <c r="AM45" s="44">
        <v>110625</v>
      </c>
      <c r="AN45" s="44">
        <v>110626</v>
      </c>
      <c r="AO45" s="44">
        <v>110627</v>
      </c>
      <c r="AP45" s="44">
        <v>110628</v>
      </c>
      <c r="AQ45" s="44"/>
      <c r="AR45" s="44">
        <v>110630</v>
      </c>
      <c r="AS45" s="44">
        <v>110631</v>
      </c>
      <c r="AT45" s="44">
        <v>110632</v>
      </c>
      <c r="AU45" s="44">
        <v>110633</v>
      </c>
      <c r="AV45" s="44">
        <v>110634</v>
      </c>
      <c r="AW45" s="44">
        <v>110635</v>
      </c>
      <c r="AX45" s="44">
        <v>110636</v>
      </c>
      <c r="AY45" s="44">
        <v>110637</v>
      </c>
      <c r="AZ45" s="44">
        <v>110638</v>
      </c>
      <c r="BA45" s="44">
        <v>110639</v>
      </c>
      <c r="BB45" s="468">
        <f t="shared" si="5"/>
        <v>0</v>
      </c>
      <c r="BC45" s="468">
        <f t="shared" si="6"/>
        <v>0</v>
      </c>
    </row>
    <row r="46" spans="1:55" ht="32.1" customHeight="1">
      <c r="A46" s="98"/>
      <c r="B46" s="79" t="str">
        <f>VLOOKUP(878,Sprachindex!$A:$Z,Info!$O$7,FALSE)</f>
        <v>Stk.</v>
      </c>
      <c r="C46" s="78"/>
      <c r="D46" s="78">
        <f t="shared" si="4"/>
        <v>0</v>
      </c>
      <c r="E46" s="561" t="str">
        <f>VLOOKUP(503,Sprachindex!$A:$Z,Info!$O$7,FALSE)</f>
        <v>Jet-Lüfter-Vorkopf (stucco)</v>
      </c>
      <c r="F46" s="562"/>
      <c r="G46" s="562"/>
      <c r="H46" s="562"/>
      <c r="I46" s="562"/>
      <c r="J46" s="562"/>
      <c r="K46" s="563"/>
      <c r="L46" s="79" t="str">
        <f t="shared" si="1"/>
        <v/>
      </c>
      <c r="M46" s="433" t="str">
        <f t="shared" si="0"/>
        <v>Stk.</v>
      </c>
      <c r="N46" s="80"/>
      <c r="O46" s="202" t="str">
        <f t="shared" si="3"/>
        <v/>
      </c>
      <c r="P46" s="5"/>
      <c r="Q46" s="5"/>
      <c r="R46" s="200">
        <v>8.7100000000000009</v>
      </c>
      <c r="S46" s="195"/>
      <c r="T46" s="5"/>
      <c r="U46" s="5"/>
      <c r="V46" s="5"/>
      <c r="W46" s="5"/>
      <c r="X46" s="5"/>
      <c r="Y46" s="5"/>
      <c r="Z46" s="5"/>
      <c r="AA46" s="5"/>
      <c r="AB46" s="5"/>
      <c r="AC46" s="149">
        <f>ROUNDUP($A46/2,0)*2</f>
        <v>0</v>
      </c>
      <c r="AD46" s="149">
        <f t="shared" si="7"/>
        <v>0</v>
      </c>
      <c r="AE46" s="8"/>
      <c r="AF46" s="8"/>
      <c r="AG46" s="5"/>
      <c r="AH46" s="44">
        <v>110600</v>
      </c>
      <c r="AI46" s="44">
        <v>110601</v>
      </c>
      <c r="AJ46" s="44">
        <v>110602</v>
      </c>
      <c r="AK46" s="44">
        <v>110603</v>
      </c>
      <c r="AL46" s="44">
        <v>110604</v>
      </c>
      <c r="AM46" s="44">
        <v>110605</v>
      </c>
      <c r="AN46" s="44">
        <v>110606</v>
      </c>
      <c r="AO46" s="44">
        <v>110607</v>
      </c>
      <c r="AP46" s="44">
        <v>110608</v>
      </c>
      <c r="AQ46" s="44"/>
      <c r="AR46" s="44">
        <v>110610</v>
      </c>
      <c r="AS46" s="44">
        <v>110611</v>
      </c>
      <c r="AT46" s="44">
        <v>110612</v>
      </c>
      <c r="AU46" s="44">
        <v>110613</v>
      </c>
      <c r="AV46" s="44">
        <v>110614</v>
      </c>
      <c r="AW46" s="44">
        <v>110615</v>
      </c>
      <c r="AX46" s="44">
        <v>110616</v>
      </c>
      <c r="AY46" s="44">
        <v>110617</v>
      </c>
      <c r="AZ46" s="44">
        <v>110618</v>
      </c>
      <c r="BA46" s="44">
        <v>110619</v>
      </c>
      <c r="BB46" s="468">
        <f t="shared" si="5"/>
        <v>0</v>
      </c>
      <c r="BC46" s="468">
        <f t="shared" si="6"/>
        <v>0</v>
      </c>
    </row>
    <row r="47" spans="1:55" ht="32.1" customHeight="1">
      <c r="A47" s="98"/>
      <c r="B47" s="79" t="str">
        <f>VLOOKUP(878,Sprachindex!$A:$Z,Info!$O$7,FALSE)</f>
        <v>Stk.</v>
      </c>
      <c r="C47" s="78"/>
      <c r="D47" s="78">
        <f>IF($O$21=1,AH47,IF($O$21=4,AI47,IF($O$21=5,AJ47,IF($O$21=11,AK47,IF($O$21=7,AL47,IF($O$21=3,AM47,IF($O$21=6,AN47,IF($O$21=9,AO47,IF($O$21=2,AP47,IF($O$21=8,AQ47,0))))))))))</f>
        <v>0</v>
      </c>
      <c r="E47" s="561" t="str">
        <f>VLOOKUP(2187,Sprachindex!$A:$Z,Info!$O$7,FALSE)</f>
        <v>Dichtschraube NIRO, 4,5x25</v>
      </c>
      <c r="F47" s="562"/>
      <c r="G47" s="562"/>
      <c r="H47" s="562"/>
      <c r="I47" s="562"/>
      <c r="J47" s="562"/>
      <c r="K47" s="563"/>
      <c r="L47" s="79" t="str">
        <f t="shared" si="1"/>
        <v/>
      </c>
      <c r="M47" s="433" t="str">
        <f t="shared" si="0"/>
        <v>Stk.</v>
      </c>
      <c r="N47" s="80"/>
      <c r="O47" s="202" t="str">
        <f t="shared" si="3"/>
        <v/>
      </c>
      <c r="P47" s="5"/>
      <c r="Q47" s="5"/>
      <c r="R47" s="200">
        <v>0.46</v>
      </c>
      <c r="S47" s="195">
        <v>0.35</v>
      </c>
      <c r="T47" s="5"/>
      <c r="U47" s="5"/>
      <c r="V47" s="5"/>
      <c r="W47" s="5"/>
      <c r="X47" s="5"/>
      <c r="Y47" s="5"/>
      <c r="Z47" s="5"/>
      <c r="AA47" s="5"/>
      <c r="AB47" s="5"/>
      <c r="AC47" s="149">
        <f>ROUNDUP($A47/200,0)*200</f>
        <v>0</v>
      </c>
      <c r="AD47" s="149">
        <f t="shared" si="7"/>
        <v>0</v>
      </c>
      <c r="AE47" s="8"/>
      <c r="AF47" s="8"/>
      <c r="AG47" s="5"/>
      <c r="AH47" s="44">
        <v>340041</v>
      </c>
      <c r="AI47" s="44">
        <v>340042</v>
      </c>
      <c r="AJ47" s="44">
        <v>340043</v>
      </c>
      <c r="AK47" s="44">
        <v>340044</v>
      </c>
      <c r="AL47" s="138"/>
      <c r="AM47" s="44">
        <v>340045</v>
      </c>
      <c r="AN47" s="44">
        <v>340046</v>
      </c>
      <c r="AO47" s="44">
        <v>340047</v>
      </c>
      <c r="AP47" s="44">
        <v>340048</v>
      </c>
      <c r="AQ47" s="44">
        <v>340049</v>
      </c>
      <c r="AR47" s="1" t="s">
        <v>95</v>
      </c>
    </row>
    <row r="48" spans="1:55" ht="32.1" customHeight="1">
      <c r="A48" s="98"/>
      <c r="B48" s="79" t="str">
        <f>VLOOKUP(878,Sprachindex!$A:$Z,Info!$O$7,FALSE)</f>
        <v>Stk.</v>
      </c>
      <c r="C48" s="78"/>
      <c r="D48" s="78">
        <f>IF(H48=Formeln!A18,IF($O$21=1,AH48,IF($O$21=4,AI48,IF($O$21=5,AJ48,IF($O$21=11,AK48,IF($O$21=7,AL48,IF($O$21=3,AM48,IF($O$21=6,AN48,IF($O$21=9,AO48,IF($O$21=2,AP48,IF($O$21=8,AQ48,0)))))))))),IF(H48=Formeln!A19,AR48,0))</f>
        <v>0</v>
      </c>
      <c r="E48" s="561" t="str">
        <f>VLOOKUP(2188,Sprachindex!$A:$Z,Info!$O$7,FALSE)</f>
        <v>Dichtschraube NIRO 4,5 x 45 mm, für Grat- und Firstreiter</v>
      </c>
      <c r="F48" s="562"/>
      <c r="G48" s="562"/>
      <c r="H48" s="572"/>
      <c r="I48" s="573"/>
      <c r="J48" s="573"/>
      <c r="K48" s="574"/>
      <c r="L48" s="79" t="str">
        <f t="shared" si="1"/>
        <v/>
      </c>
      <c r="M48" s="433" t="str">
        <f t="shared" si="0"/>
        <v>Stk.</v>
      </c>
      <c r="N48" s="80"/>
      <c r="O48" s="202" t="str">
        <f>IF(ISNUMBER(A48),IF(H48=Formeln!A19,S48*L48,R48*L48),"")</f>
        <v/>
      </c>
      <c r="P48" s="5"/>
      <c r="Q48" s="5"/>
      <c r="R48" s="205">
        <v>0.68</v>
      </c>
      <c r="S48" s="206">
        <v>0.6</v>
      </c>
      <c r="T48" s="5"/>
      <c r="U48" s="5"/>
      <c r="V48" s="5"/>
      <c r="W48" s="5"/>
      <c r="X48" s="5"/>
      <c r="Y48" s="5"/>
      <c r="Z48" s="5"/>
      <c r="AA48" s="5"/>
      <c r="AB48" s="5"/>
      <c r="AC48" s="149">
        <f>ROUNDUP($A48/250,0)*250</f>
        <v>0</v>
      </c>
      <c r="AD48" s="149">
        <f t="shared" si="7"/>
        <v>0</v>
      </c>
      <c r="AE48" s="8"/>
      <c r="AF48" s="8"/>
      <c r="AG48" s="5"/>
      <c r="AH48" s="44">
        <v>340001</v>
      </c>
      <c r="AI48" s="44">
        <v>340004</v>
      </c>
      <c r="AJ48" s="44">
        <v>340003</v>
      </c>
      <c r="AK48" s="44">
        <v>340104</v>
      </c>
      <c r="AM48" s="44">
        <v>340002</v>
      </c>
      <c r="AN48" s="44">
        <v>340016</v>
      </c>
      <c r="AO48" s="44">
        <v>340011</v>
      </c>
      <c r="AP48" s="44">
        <v>340014</v>
      </c>
      <c r="AQ48" s="44">
        <v>340013</v>
      </c>
      <c r="AR48" s="1">
        <v>340103</v>
      </c>
    </row>
    <row r="49" spans="1:474" ht="32.1" customHeight="1">
      <c r="A49" s="98"/>
      <c r="B49" s="79" t="str">
        <f>VLOOKUP(878,Sprachindex!$A:$Z,Info!$O$7,FALSE)</f>
        <v>Stk.</v>
      </c>
      <c r="C49" s="78"/>
      <c r="D49" s="78">
        <f>IF(H49=Formeln!A21,IF($O$21=1,AH49,IF($O$21=4,AI49,IF($O$21=5,AJ49,IF($O$21=11,AK49,IF($O$21=7,AL49,IF($O$21=3,AM49,IF($O$21=6,AN49,IF($O$21=9,AO49,IF($O$21=2,AP49,IF($O$21=8,AQ49,0)))))))))),IF(H49=Formeln!A22,AR49,0))</f>
        <v>0</v>
      </c>
      <c r="E49" s="561" t="str">
        <f>VLOOKUP(2189,Sprachindex!$A:$Z,Info!$O$7,FALSE)</f>
        <v>Dichtschraube NIRO 4,5 x 60 mm, für Jet-Lüfter</v>
      </c>
      <c r="F49" s="562"/>
      <c r="G49" s="562"/>
      <c r="H49" s="572"/>
      <c r="I49" s="573"/>
      <c r="J49" s="573"/>
      <c r="K49" s="574"/>
      <c r="L49" s="79" t="str">
        <f t="shared" si="1"/>
        <v/>
      </c>
      <c r="M49" s="433" t="str">
        <f t="shared" si="0"/>
        <v>Stk.</v>
      </c>
      <c r="N49" s="80"/>
      <c r="O49" s="202" t="str">
        <f>IF(ISNUMBER(A49),IF(H49=Formeln!A22,S49*L49,R49*L49),"")</f>
        <v/>
      </c>
      <c r="P49" s="5"/>
      <c r="Q49" s="5"/>
      <c r="R49" s="205">
        <v>0.86</v>
      </c>
      <c r="S49" s="206">
        <v>0.68</v>
      </c>
      <c r="T49" s="5"/>
      <c r="U49" s="5"/>
      <c r="V49" s="5"/>
      <c r="W49" s="5"/>
      <c r="X49" s="5"/>
      <c r="Y49" s="5"/>
      <c r="Z49" s="5"/>
      <c r="AA49" s="5"/>
      <c r="AB49" s="5"/>
      <c r="AC49" s="149">
        <f>ROUNDUP($A49/100,0)*100</f>
        <v>0</v>
      </c>
      <c r="AD49" s="149">
        <f t="shared" si="7"/>
        <v>0</v>
      </c>
      <c r="AE49" s="8"/>
      <c r="AF49" s="8"/>
      <c r="AG49" s="5"/>
      <c r="AH49" s="44">
        <v>340020</v>
      </c>
      <c r="AI49" s="44">
        <v>340024</v>
      </c>
      <c r="AJ49" s="44">
        <v>340022</v>
      </c>
      <c r="AK49" s="44">
        <v>340021</v>
      </c>
      <c r="AM49" s="44">
        <v>340025</v>
      </c>
      <c r="AN49" s="44">
        <v>340032</v>
      </c>
      <c r="AO49" s="44">
        <v>340027</v>
      </c>
      <c r="AP49" s="44">
        <v>340030</v>
      </c>
      <c r="AQ49" s="44">
        <v>340036</v>
      </c>
      <c r="AR49" s="1">
        <v>340106</v>
      </c>
    </row>
    <row r="50" spans="1:474" ht="32.1" customHeight="1">
      <c r="A50" s="98"/>
      <c r="B50" s="79" t="str">
        <f>VLOOKUP(878,Sprachindex!$A:$Z,Info!$O$7,FALSE)</f>
        <v>Stk.</v>
      </c>
      <c r="C50" s="78"/>
      <c r="D50" s="78">
        <f>IF($O$21=1,AH50,IF($O$21=4,AI50,IF($O$21=5,AJ50,IF($O$21=11,AK50,IF($O$21=7,AL50,IF($O$21=3,AM50,IF($O$21=6,AN50,IF($O$21=9,AO50,IF($O$21=2,AP50,IF($O$21=8,AQ50,0))))))))))</f>
        <v>0</v>
      </c>
      <c r="E50" s="561" t="str">
        <f>VLOOKUP(409,Sprachindex!$A:$Z,Info!$O$7,FALSE)</f>
        <v>Froschmaullukenhaube</v>
      </c>
      <c r="F50" s="562"/>
      <c r="G50" s="562"/>
      <c r="H50" s="562"/>
      <c r="I50" s="562"/>
      <c r="J50" s="562"/>
      <c r="K50" s="563"/>
      <c r="L50" s="79" t="str">
        <f t="shared" si="1"/>
        <v/>
      </c>
      <c r="M50" s="433" t="str">
        <f t="shared" si="0"/>
        <v>Stk.</v>
      </c>
      <c r="N50" s="80"/>
      <c r="O50" s="202" t="str">
        <f>IF(ISNUMBER(A50),$L50*R50, "")</f>
        <v/>
      </c>
      <c r="P50" s="5"/>
      <c r="Q50" s="5"/>
      <c r="R50" s="200">
        <v>24.65</v>
      </c>
      <c r="S50" s="195"/>
      <c r="T50" s="5"/>
      <c r="U50" s="5"/>
      <c r="V50" s="5"/>
      <c r="W50" s="5"/>
      <c r="X50" s="5"/>
      <c r="Y50" s="5"/>
      <c r="Z50" s="5"/>
      <c r="AA50" s="5"/>
      <c r="AB50" s="5"/>
      <c r="AC50" s="149">
        <f>ROUNDUP($A50/20,0)*20</f>
        <v>0</v>
      </c>
      <c r="AD50" s="149">
        <f t="shared" si="7"/>
        <v>0</v>
      </c>
      <c r="AE50" s="8"/>
      <c r="AF50" s="8"/>
      <c r="AG50" s="5"/>
      <c r="AH50" s="44">
        <v>110100</v>
      </c>
      <c r="AI50" s="44">
        <v>110101</v>
      </c>
      <c r="AJ50" s="44">
        <v>110102</v>
      </c>
      <c r="AK50" s="44">
        <v>110103</v>
      </c>
      <c r="AL50" s="44">
        <v>110104</v>
      </c>
      <c r="AM50" s="44">
        <v>110105</v>
      </c>
      <c r="AN50" s="44">
        <v>110106</v>
      </c>
      <c r="AO50" s="44">
        <v>110107</v>
      </c>
      <c r="AP50" s="44">
        <v>110108</v>
      </c>
      <c r="AQ50" s="44">
        <v>121005</v>
      </c>
    </row>
    <row r="51" spans="1:474" ht="32.1" customHeight="1">
      <c r="A51" s="98"/>
      <c r="B51" s="79" t="str">
        <f>VLOOKUP(878,Sprachindex!$A:$Z,Info!$O$7,FALSE)</f>
        <v>Stk.</v>
      </c>
      <c r="C51" s="78"/>
      <c r="D51" s="78">
        <f>IF($O$9=1,BC51,BB51)</f>
        <v>0</v>
      </c>
      <c r="E51" s="561" t="str">
        <f>VLOOKUP(2218,Sprachindex!$A:$Z,Info!$O$7,FALSE)</f>
        <v>Froschmaulluke stucco für DS.19</v>
      </c>
      <c r="F51" s="562"/>
      <c r="G51" s="562"/>
      <c r="H51" s="562"/>
      <c r="I51" s="562"/>
      <c r="J51" s="562"/>
      <c r="K51" s="563"/>
      <c r="L51" s="79" t="str">
        <f t="shared" si="1"/>
        <v/>
      </c>
      <c r="M51" s="433" t="str">
        <f t="shared" si="0"/>
        <v>Stk.</v>
      </c>
      <c r="N51" s="80"/>
      <c r="O51" s="202" t="str">
        <f>IF(ISNUMBER(A51),$L51*R51, "")</f>
        <v/>
      </c>
      <c r="P51" s="5"/>
      <c r="Q51" s="5"/>
      <c r="R51" s="200">
        <v>43.71</v>
      </c>
      <c r="S51" s="195"/>
      <c r="T51" s="5"/>
      <c r="U51" s="5"/>
      <c r="V51" s="5"/>
      <c r="W51" s="5"/>
      <c r="X51" s="5"/>
      <c r="Y51" s="5"/>
      <c r="Z51" s="5"/>
      <c r="AA51" s="5"/>
      <c r="AB51" s="5"/>
      <c r="AC51" s="149">
        <f>ROUNDUP($A51/4,0)*4</f>
        <v>0</v>
      </c>
      <c r="AD51" s="149">
        <f t="shared" si="7"/>
        <v>0</v>
      </c>
      <c r="AE51" s="8"/>
      <c r="AF51" s="8"/>
      <c r="AG51" s="5"/>
      <c r="AH51" s="44"/>
      <c r="AI51" s="44"/>
      <c r="AJ51" s="44"/>
      <c r="AK51" s="44"/>
      <c r="AL51" s="44"/>
      <c r="AM51" s="44"/>
      <c r="AN51" s="44"/>
      <c r="AO51" s="44"/>
      <c r="AP51" s="44"/>
      <c r="AR51" s="44">
        <v>112700</v>
      </c>
      <c r="AS51" s="44">
        <v>112701</v>
      </c>
      <c r="AT51" s="44">
        <v>112702</v>
      </c>
      <c r="AU51" s="44">
        <v>112703</v>
      </c>
      <c r="AV51" s="44">
        <v>112704</v>
      </c>
      <c r="AW51" s="44">
        <v>112705</v>
      </c>
      <c r="AX51" s="44">
        <v>112706</v>
      </c>
      <c r="AY51" s="44">
        <v>112707</v>
      </c>
      <c r="AZ51" s="44">
        <v>112708</v>
      </c>
      <c r="BA51" s="44">
        <v>112689</v>
      </c>
      <c r="BB51" s="468">
        <f>IF($O$21=1,AH51,IF($O$21=4,AI51,IF($O$21=5,AJ51,IF($O$21=11,AK51,IF($O$21=7,AL51,IF($O$21=3,AM51,IF($O$21=6,AN51,IF($O$21=9,AO51,IF($O$21=2,AP51,IF($O$21=8,AQ51,0))))))))))</f>
        <v>0</v>
      </c>
      <c r="BC51" s="468">
        <f>IF($O$21=1,AR51,IF($O$21=4,AS51,IF($O$21=5,AT51,IF($O$21=11,AU51,IF($O$21=7,AV51,IF($O$21=3,AW51,IF($O$21=6,AX51,IF($O$21=9,AY51,IF($O$21=2,AZ51,IF($O$21=8,BA51,0))))))))))</f>
        <v>0</v>
      </c>
    </row>
    <row r="52" spans="1:474" ht="32.1" customHeight="1">
      <c r="A52" s="98"/>
      <c r="B52" s="79" t="str">
        <f>VLOOKUP(878,Sprachindex!$A:$Z,Info!$O$7,FALSE)</f>
        <v>Stk.</v>
      </c>
      <c r="C52" s="78"/>
      <c r="D52" s="78">
        <v>545106</v>
      </c>
      <c r="E52" s="588" t="str">
        <f>VLOOKUP(1874,Sprachindex!$A:$Z,Info!$O$7,FALSE)</f>
        <v>Einfassung Vario, 120-600 mm, stucco</v>
      </c>
      <c r="F52" s="589"/>
      <c r="G52" s="589"/>
      <c r="H52" s="589"/>
      <c r="I52" s="589"/>
      <c r="J52" s="589"/>
      <c r="K52" s="590"/>
      <c r="L52" s="79" t="str">
        <f t="shared" si="1"/>
        <v/>
      </c>
      <c r="M52" s="433" t="str">
        <f t="shared" si="0"/>
        <v>Stk.</v>
      </c>
      <c r="N52" s="80"/>
      <c r="O52" s="202" t="str">
        <f>IF(ISNUMBER(A52),$L52*R52, " ")</f>
        <v xml:space="preserve"> </v>
      </c>
      <c r="P52" s="5"/>
      <c r="Q52" s="5"/>
      <c r="R52" s="200"/>
      <c r="S52" s="195"/>
      <c r="T52" s="5"/>
      <c r="U52" s="5"/>
      <c r="V52" s="5"/>
      <c r="W52" s="5"/>
      <c r="X52" s="5"/>
      <c r="Y52" s="5"/>
      <c r="Z52" s="5"/>
      <c r="AA52" s="5"/>
      <c r="AB52" s="5"/>
      <c r="AC52" s="149">
        <f t="shared" ref="AC52:AC63" si="8">ROUNDUP($A52,0)</f>
        <v>0</v>
      </c>
      <c r="AD52" s="149">
        <f t="shared" si="7"/>
        <v>0</v>
      </c>
      <c r="AE52" s="8"/>
      <c r="AF52" s="8"/>
      <c r="AG52" s="5"/>
      <c r="AH52" s="44"/>
      <c r="AI52" s="44"/>
      <c r="AJ52" s="44"/>
      <c r="AK52" s="44"/>
      <c r="AL52" s="44"/>
      <c r="AM52" s="44"/>
      <c r="AN52" s="44"/>
      <c r="AO52" s="44"/>
      <c r="AP52" s="44"/>
      <c r="AQ52" s="44"/>
    </row>
    <row r="53" spans="1:474" ht="32.1" customHeight="1">
      <c r="A53" s="98"/>
      <c r="B53" s="79" t="str">
        <f>VLOOKUP(878,Sprachindex!$A:$Z,Info!$O$7,FALSE)</f>
        <v>Stk.</v>
      </c>
      <c r="C53" s="78"/>
      <c r="D53" s="78">
        <v>545106</v>
      </c>
      <c r="E53" s="588" t="str">
        <f>VLOOKUP(1875,Sprachindex!$A:$Z,Info!$O$7,FALSE)</f>
        <v>Einfassung Vario, 600-1.020 mm, stucco</v>
      </c>
      <c r="F53" s="589"/>
      <c r="G53" s="589"/>
      <c r="H53" s="589"/>
      <c r="I53" s="589"/>
      <c r="J53" s="589"/>
      <c r="K53" s="590"/>
      <c r="L53" s="79" t="str">
        <f t="shared" si="1"/>
        <v/>
      </c>
      <c r="M53" s="433" t="str">
        <f t="shared" si="0"/>
        <v>Stk.</v>
      </c>
      <c r="N53" s="80"/>
      <c r="O53" s="202" t="str">
        <f>IF(ISNUMBER(A53),$L53*R53, "")</f>
        <v/>
      </c>
      <c r="P53" s="5"/>
      <c r="Q53" s="5"/>
      <c r="R53" s="200"/>
      <c r="S53" s="195"/>
      <c r="T53" s="5"/>
      <c r="U53" s="5"/>
      <c r="V53" s="5"/>
      <c r="W53" s="5"/>
      <c r="X53" s="5"/>
      <c r="Y53" s="5"/>
      <c r="Z53" s="5"/>
      <c r="AA53" s="5"/>
      <c r="AB53" s="5"/>
      <c r="AC53" s="149">
        <f t="shared" si="8"/>
        <v>0</v>
      </c>
      <c r="AD53" s="149">
        <f t="shared" si="7"/>
        <v>0</v>
      </c>
      <c r="AE53" s="8"/>
      <c r="AF53" s="8"/>
      <c r="AG53" s="5"/>
      <c r="AH53" s="44"/>
      <c r="AI53" s="44"/>
      <c r="AJ53" s="44"/>
      <c r="AK53" s="44"/>
      <c r="AL53" s="44"/>
      <c r="AM53" s="44"/>
      <c r="AN53" s="44"/>
      <c r="AO53" s="44"/>
      <c r="AP53" s="44"/>
      <c r="AQ53" s="44"/>
    </row>
    <row r="54" spans="1:474" ht="32.1" customHeight="1">
      <c r="A54" s="98"/>
      <c r="B54" s="79" t="str">
        <f>VLOOKUP(878,Sprachindex!$A:$Z,Info!$O$7,FALSE)</f>
        <v>Stk.</v>
      </c>
      <c r="C54" s="78"/>
      <c r="D54" s="78">
        <f>IF($O$9=1,BC54,BB54)</f>
        <v>0</v>
      </c>
      <c r="E54" s="588" t="str">
        <f>VLOOKUP(254,Sprachindex!$A:$Z,Info!$O$7,FALSE)</f>
        <v>Dachluke (600 × 600 mm); komplett mit Holzrahmen</v>
      </c>
      <c r="F54" s="589"/>
      <c r="G54" s="589"/>
      <c r="H54" s="589"/>
      <c r="I54" s="589"/>
      <c r="J54" s="589"/>
      <c r="K54" s="590"/>
      <c r="L54" s="79" t="str">
        <f t="shared" si="1"/>
        <v/>
      </c>
      <c r="M54" s="433" t="str">
        <f t="shared" si="0"/>
        <v>Stk.</v>
      </c>
      <c r="N54" s="80"/>
      <c r="O54" s="202" t="str">
        <f>IF(ISNUMBER(A54),$L54*R54, "")</f>
        <v/>
      </c>
      <c r="P54" s="5"/>
      <c r="Q54" s="5"/>
      <c r="R54" s="200">
        <v>247.5</v>
      </c>
      <c r="S54" s="195"/>
      <c r="T54" s="5"/>
      <c r="U54" s="5"/>
      <c r="V54" s="5"/>
      <c r="W54" s="5"/>
      <c r="X54" s="5"/>
      <c r="Y54" s="5"/>
      <c r="Z54" s="5"/>
      <c r="AA54" s="5"/>
      <c r="AB54" s="5"/>
      <c r="AC54" s="149">
        <f t="shared" si="8"/>
        <v>0</v>
      </c>
      <c r="AD54" s="149">
        <f t="shared" si="7"/>
        <v>0</v>
      </c>
      <c r="AE54" s="8"/>
      <c r="AF54" s="8"/>
      <c r="AG54" s="5"/>
      <c r="AH54" s="44">
        <v>110020</v>
      </c>
      <c r="AI54" s="44">
        <v>110021</v>
      </c>
      <c r="AJ54" s="44">
        <v>110022</v>
      </c>
      <c r="AK54" s="44">
        <v>110023</v>
      </c>
      <c r="AL54" s="44">
        <v>110024</v>
      </c>
      <c r="AM54" s="44">
        <v>110025</v>
      </c>
      <c r="AN54" s="44">
        <v>110026</v>
      </c>
      <c r="AO54" s="44">
        <v>110027</v>
      </c>
      <c r="AP54" s="44">
        <v>110028</v>
      </c>
      <c r="AQ54" s="44"/>
      <c r="AR54" s="44">
        <v>110030</v>
      </c>
      <c r="AS54" s="44">
        <v>110031</v>
      </c>
      <c r="AT54" s="44">
        <v>110032</v>
      </c>
      <c r="AU54" s="44">
        <v>110033</v>
      </c>
      <c r="AV54" s="44">
        <v>110034</v>
      </c>
      <c r="AW54" s="44">
        <v>110035</v>
      </c>
      <c r="AX54" s="44">
        <v>110036</v>
      </c>
      <c r="AY54" s="44">
        <v>110037</v>
      </c>
      <c r="AZ54" s="44">
        <v>110038</v>
      </c>
      <c r="BA54" s="44">
        <v>110039</v>
      </c>
      <c r="BB54" s="468">
        <f>IF($O$21=1,AH54,IF($O$21=4,AI54,IF($O$21=5,AJ54,IF($O$21=11,AK54,IF($O$21=7,AL54,IF($O$21=3,AM54,IF($O$21=6,AN54,IF($O$21=9,AO54,IF($O$21=2,AP54,IF($O$21=8,AQ54,0))))))))))</f>
        <v>0</v>
      </c>
      <c r="BC54" s="468">
        <f>IF($O$21=1,AR54,IF($O$21=4,AS54,IF($O$21=5,AT54,IF($O$21=11,AU54,IF($O$21=7,AV54,IF($O$21=3,AW54,IF($O$21=6,AX54,IF($O$21=9,AY54,IF($O$21=2,AZ54,IF($O$21=8,BA54,0))))))))))</f>
        <v>0</v>
      </c>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98"/>
      <c r="B55" s="79" t="str">
        <f>VLOOKUP(878,Sprachindex!$A:$Z,Info!$O$7,FALSE)</f>
        <v>Stk.</v>
      </c>
      <c r="C55" s="78"/>
      <c r="D55" s="78">
        <f>IF(Info!V7=2,'Velux DE Artikelnummern'!C30,Q55)</f>
        <v>0</v>
      </c>
      <c r="E55" s="561" t="str">
        <f>VLOOKUP(324,Sprachindex!$A:$Z,Info!$O$7,FALSE)</f>
        <v>Einfassung für Velux-Dachflächenfenster (stucco)</v>
      </c>
      <c r="F55" s="562"/>
      <c r="G55" s="562"/>
      <c r="H55" s="562"/>
      <c r="I55" s="84" t="str">
        <f>VLOOKUP(591,Sprachindex!$A:$Z,Info!$O$7,FALSE)</f>
        <v>Maße:</v>
      </c>
      <c r="J55" s="572"/>
      <c r="K55" s="574"/>
      <c r="L55" s="79" t="str">
        <f>IF($A55=0,"",IF($J55=Formeln!$A$30," ",IF($O$11=1,AC55,AD55)))</f>
        <v/>
      </c>
      <c r="M55" s="433" t="str">
        <f t="shared" si="0"/>
        <v>Stk.</v>
      </c>
      <c r="N55" s="80"/>
      <c r="O55" s="202" t="str">
        <f>IF(ISNUMBER(L55),IF(OR(J55=Formeln!A30,J55=Formeln!A31,J55=Formeln!A32),R55,IF(OR(J55=Formeln!A33,J55=Formeln!A34,J55=Formeln!A35),S55,IF(OR(J55=Formeln!A36,J55=Formeln!A37,J55=Formeln!A38),T55,IF(OR(J55=Formeln!A39,J55=Formeln!A40),U55,IF(OR(J55=Formeln!A41,J55=Formeln!A42,J55=Formeln!A43),V55,IF(OR(J55=Formeln!A44),W55,IF(OR(J55=Formeln!A45,J55=Formeln!A46),X55,IF(OR(J55=Formeln!A47),Y55,IF(OR(J55=Formeln!A48,J55=Formeln!A49),Z55,IF(OR(J55=Formeln!A50),AA55,0)))))))))), "")</f>
        <v/>
      </c>
      <c r="P55" s="5"/>
      <c r="Q55" s="1">
        <f>IF(J55=Formeln!$A$31,BB55,IF(J55=Formeln!$A$32,BW55,IF(J55=Formeln!$A$33,CR55,IF(J55=Formeln!$A$34,DM55,IF(J55=Formeln!$A$35,EH55,IF(J55=Formeln!$A$36,FC55,IF(J55=Formeln!$A$37,FX55,IF(J55=Formeln!$A$38,GS55,IF(J55=Formeln!$A$39,HN55,IF(J55=Formeln!$A$40,II55,IF(J55=Formeln!$A$41,JD55,IF(J55=Formeln!$A$42,JY55,IF(J55=Formeln!$A$43,KT55,IF(J55=Formeln!$A$44,LO55,IF(J55=Formeln!$A$45,MJ55,IF(J55=Formeln!$A$46,NE55,IF(J55=Formeln!$A$47,NZ55,IF(J55=Formeln!$A$48,OU55,IF(J55=Formeln!$A$49,PP55,IF(J55=Formeln!$A$50,QK55,IF(J55=Formeln!$A$51,RF55,0)))))))))))))))))))))</f>
        <v>0</v>
      </c>
      <c r="R55" s="200">
        <v>264.7</v>
      </c>
      <c r="S55" s="200">
        <v>271.8</v>
      </c>
      <c r="T55" s="200">
        <v>272.3</v>
      </c>
      <c r="U55" s="200">
        <v>285.8</v>
      </c>
      <c r="V55" s="200">
        <v>328.1</v>
      </c>
      <c r="W55" s="200">
        <v>335.1</v>
      </c>
      <c r="X55" s="200">
        <v>335.1</v>
      </c>
      <c r="Y55" s="200">
        <v>335.1</v>
      </c>
      <c r="Z55" s="200">
        <v>337.4</v>
      </c>
      <c r="AA55" s="200">
        <v>337.4</v>
      </c>
      <c r="AC55" s="149">
        <f t="shared" si="8"/>
        <v>0</v>
      </c>
      <c r="AD55" s="149">
        <f t="shared" ref="AD55:AD81" si="9">ROUNDUP($A55,0)</f>
        <v>0</v>
      </c>
      <c r="AE55" s="8"/>
      <c r="AF55" s="8"/>
      <c r="AG55" s="5"/>
      <c r="AH55" s="44"/>
      <c r="AI55" s="48"/>
      <c r="AJ55" s="48"/>
      <c r="AK55" s="48"/>
      <c r="AL55" s="48"/>
      <c r="AM55" s="48"/>
      <c r="AN55" s="48"/>
      <c r="AO55" s="48"/>
      <c r="AP55" s="48"/>
      <c r="AR55" s="48">
        <v>111100</v>
      </c>
      <c r="AS55" s="48">
        <v>111101</v>
      </c>
      <c r="AT55" s="48">
        <v>111102</v>
      </c>
      <c r="AU55" s="48">
        <v>111103</v>
      </c>
      <c r="AV55" s="48">
        <v>111104</v>
      </c>
      <c r="AW55" s="48">
        <v>111105</v>
      </c>
      <c r="AX55" s="48">
        <v>111106</v>
      </c>
      <c r="AY55" s="48">
        <v>111107</v>
      </c>
      <c r="AZ55" s="48">
        <v>111108</v>
      </c>
      <c r="BA55" s="174">
        <v>111109</v>
      </c>
      <c r="BB55" s="50">
        <f>IF(AND($O$9=2,$O$21=1),AH55,IF(AND($O$9=2,$O$21=4),AI55,IF(AND($O$9=2,$O$21=5),AJ55,IF(AND($O$9=2,$O$21=11),AK55,IF(AND($O$9=2,$O$21=7),AL55,IF(AND($O$9=2,$O$21=3),AM55,IF(AND($O$9=2,$O$21=6),AN55,IF(AND($O$9=2,$O$21=9),AO55,IF(AND($O$9=2,$O$21=2),AP55,IF(AND($O$9=2,$O$21=8),AQ55,IF(AND($O$9=1,$O$21=1),AR55,IF(AND($O$9=1,$O$21=1),AR55,IF(AND($O$9=1,$O$21=4),AS55,IF(AND($O$9=1,$O$21=5),AT55,IF(AND($O$9=1,$O$21=11),AU55,IF(AND($O$9=1,$O$21=7),AV55,IF(AND($O$9=1,$O$21=3),AW55,IF(AND($O$9=1,$O$21=6),AX55,IF(AND($O$9=1,$O$21=9),AY55,IF(AND($O$9=1,$O$21=2),AZ55,IF(AND($O$9=1,$O$21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74">
        <v>111109</v>
      </c>
      <c r="BW55" s="50">
        <f>IF(AND($O$9=2,$O$21=1),BC55,IF(AND($O$9=2,$O$21=4),BD55,IF(AND($O$9=2,$O$21=5),BE55,IF(AND($O$9=2,$O$21=11),BF55,IF(AND($O$9=2,$O$21=7),BG55,IF(AND($O$9=2,$O$21=3),BH55,IF(AND($O$9=2,$O$21=6),BI55,IF(AND($O$9=2,$O$21=9),BJ55,IF(AND($O$9=2,$O$21=2),BK55,IF(AND($O$9=2,$O$21=8),BL55,IF(AND($O$9=1,$O$21=1),BM55,IF(AND($O$9=1,$O$21=1),BM55,IF(AND($O$9=1,$O$21=4),BN55,IF(AND($O$9=1,$O$21=5),BO55,IF(AND($O$9=1,$O$21=11),BP55,IF(AND($O$9=1,$O$21=7),BQ55,IF(AND($O$9=1,$O$21=3),BR55,IF(AND($O$9=1,$O$21=6),BS55,IF(AND($O$9=1,$O$21=9),BT55,IF(AND($O$9=1,$O$21=2),BU55,IF(AND($O$9=1,$O$21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74">
        <v>111109</v>
      </c>
      <c r="CR55" s="50">
        <f>IF(AND($O$9=2,$O$21=1),BX55,IF(AND($O$9=2,$O$21=4),BY55,IF(AND($O$9=2,$O$21=5),BZ55,IF(AND($O$9=2,$O$21=11),CA55,IF(AND($O$9=2,$O$21=7),CB55,IF(AND($O$9=2,$O$21=3),CC55,IF(AND($O$9=2,$O$21=6),CD55,IF(AND($O$9=2,$O$21=9),CE55,IF(AND($O$9=2,$O$21=2),CF55,IF(AND($O$9=2,$O$21=8),CG55,IF(AND($O$9=1,$O$21=1),CH55,IF(AND($O$9=1,$O$21=1),CH55,IF(AND($O$9=1,$O$21=4),CI55,IF(AND($O$9=1,$O$21=5),CJ55,IF(AND($O$9=1,$O$21=11),CK55,IF(AND($O$9=1,$O$21=7),CL55,IF(AND($O$9=1,$O$21=3),CM55,IF(AND($O$9=1,$O$21=6),CN55,IF(AND($O$9=1,$O$21=9),CO55,IF(AND($O$9=1,$O$21=2),CP55,IF(AND($O$9=1,$O$21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74">
        <v>111129</v>
      </c>
      <c r="DM55" s="50">
        <f>IF(AND($O$9=2,$O$21=1),CS55,IF(AND($O$9=2,$O$21=4),CT55,IF(AND($O$9=2,$O$21=5),CU55,IF(AND($O$9=2,$O$21=11),CV55,IF(AND($O$9=2,$O$21=7),CW55,IF(AND($O$9=2,$O$21=3),CX55,IF(AND($O$9=2,$O$21=6),CY55,IF(AND($O$9=2,$O$21=9),CZ55,IF(AND($O$9=2,$O$21=2),DA55,IF(AND($O$9=2,$O$21=8),DB55,IF(AND($O$9=1,$O$21=1),DC55,IF(AND($O$9=1,$O$21=1),DC55,IF(AND($O$9=1,$O$21=4),DD55,IF(AND($O$9=1,$O$21=5),DE55,IF(AND($O$9=1,$O$21=11),DF55,IF(AND($O$9=1,$O$21=7),DG55,IF(AND($O$9=1,$O$21=3),DH55,IF(AND($O$9=1,$O$21=6),DI55,IF(AND($O$9=1,$O$21=9),DJ55,IF(AND($O$9=1,$O$21=2),DK55,IF(AND($O$9=1,$O$21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74">
        <v>111129</v>
      </c>
      <c r="EH55" s="50">
        <f>IF(AND($O$9=2,$O$21=1),DN55,IF(AND($O$9=2,$O$21=4),DO55,IF(AND($O$9=2,$O$21=5),DP55,IF(AND($O$9=2,$O$21=11),DQ55,IF(AND($O$9=2,$O$21=7),DR55,IF(AND($O$9=2,$O$21=3),DS55,IF(AND($O$9=2,$O$21=6),DT55,IF(AND($O$9=2,$O$21=9),DU55,IF(AND($O$9=2,$O$21=2),DV55,IF(AND($O$9=2,$O$21=8),DW55,IF(AND($O$9=1,$O$21=1),DX55,IF(AND($O$9=1,$O$21=1),DX55,IF(AND($O$9=1,$O$21=4),DY55,IF(AND($O$9=1,$O$21=5),DZ55,IF(AND($O$9=1,$O$21=11),EA55,IF(AND($O$9=1,$O$21=7),EB55,IF(AND($O$9=1,$O$21=3),EC55,IF(AND($O$9=1,$O$21=6),ED55,IF(AND($O$9=1,$O$21=9),EE55,IF(AND($O$9=1,$O$21=2),EF55,IF(AND($O$9=1,$O$21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74">
        <v>111129</v>
      </c>
      <c r="FC55" s="50">
        <f>IF(AND($O$9=2,$O$21=1),EI55,IF(AND($O$9=2,$O$21=4),EJ55,IF(AND($O$9=2,$O$21=5),EK55,IF(AND($O$9=2,$O$21=11),EL55,IF(AND($O$9=2,$O$21=7),EM55,IF(AND($O$9=2,$O$21=3),EN55,IF(AND($O$9=2,$O$21=6),EO55,IF(AND($O$9=2,$O$21=9),EP55,IF(AND($O$9=2,$O$21=2),EQ55,IF(AND($O$9=2,$O$21=8),ER55,IF(AND($O$9=1,$O$21=1),ES55,IF(AND($O$9=1,$O$21=1),ES55,IF(AND($O$9=1,$O$21=4),ET55,IF(AND($O$9=1,$O$21=5),EU55,IF(AND($O$9=1,$O$21=11),EV55,IF(AND($O$9=1,$O$21=7),EW55,IF(AND($O$9=1,$O$21=3),EX55,IF(AND($O$9=1,$O$21=6),EY55,IF(AND($O$9=1,$O$21=9),EZ55,IF(AND($O$9=1,$O$21=2),FA55,IF(AND($O$9=1,$O$21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74">
        <v>111169</v>
      </c>
      <c r="FX55" s="50">
        <f>IF(AND($O$9=2,$O$21=1),FD55,IF(AND($O$9=2,$O$21=4),FE55,IF(AND($O$9=2,$O$21=5),FF55,IF(AND($O$9=2,$O$21=11),FG55,IF(AND($O$9=2,$O$21=7),FH55,IF(AND($O$9=2,$O$21=3),FI55,IF(AND($O$9=2,$O$21=6),FJ55,IF(AND($O$9=2,$O$21=9),FK55,IF(AND($O$9=2,$O$21=2),FL55,IF(AND($O$9=2,$O$21=8),FM55,IF(AND($O$9=1,$O$21=1),FN55,IF(AND($O$9=1,$O$21=1),FN55,IF(AND($O$9=1,$O$21=4),FO55,IF(AND($O$9=1,$O$21=5),FP55,IF(AND($O$9=1,$O$21=11),FQ55,IF(AND($O$9=1,$O$21=7),FR55,IF(AND($O$9=1,$O$21=3),FS55,IF(AND($O$9=1,$O$21=6),FT55,IF(AND($O$9=1,$O$21=9),FU55,IF(AND($O$9=1,$O$21=2),FV55,IF(AND($O$9=1,$O$21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74">
        <v>111169</v>
      </c>
      <c r="GS55" s="50">
        <f>IF(AND($O$9=2,$O$21=1),FY55,IF(AND($O$9=2,$O$21=4),FZ55,IF(AND($O$9=2,$O$21=5),GA55,IF(AND($O$9=2,$O$21=11),GB55,IF(AND($O$9=2,$O$21=7),GC55,IF(AND($O$9=2,$O$21=3),GD55,IF(AND($O$9=2,$O$21=6),GE55,IF(AND($O$9=2,$O$21=9),GF55,IF(AND($O$9=2,$O$21=2),GG55,IF(AND($O$9=2,$O$21=8),GH55,IF(AND($O$9=1,$O$21=1),GI55,IF(AND($O$9=1,$O$21=1),GI55,IF(AND($O$9=1,$O$21=4),GJ55,IF(AND($O$9=1,$O$21=5),GK55,IF(AND($O$9=1,$O$21=11),GL55,IF(AND($O$9=1,$O$21=7),GM55,IF(AND($O$9=1,$O$21=3),GN55,IF(AND($O$9=1,$O$21=6),GO55,IF(AND($O$9=1,$O$21=9),GP55,IF(AND($O$9=1,$O$21=2),GQ55,IF(AND($O$9=1,$O$21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75">
        <v>111169</v>
      </c>
      <c r="HN55" s="50">
        <f>IF(AND($O$9=2,$O$21=1),GT55,IF(AND($O$9=2,$O$21=4),GU55,IF(AND($O$9=2,$O$21=5),GV55,IF(AND($O$9=2,$O$21=11),GW55,IF(AND($O$9=2,$O$21=7),GX55,IF(AND($O$9=2,$O$21=3),GY55,IF(AND($O$9=2,$O$21=6),GZ55,IF(AND($O$9=2,$O$21=9),HA55,IF(AND($O$9=2,$O$21=2),HB55,IF(AND($O$9=2,$O$21=8),HC55,IF(AND($O$9=1,$O$21=1),HD55,IF(AND($O$9=1,$O$21=1),HD55,IF(AND($O$9=1,$O$21=4),HE55,IF(AND($O$9=1,$O$21=5),HF55,IF(AND($O$9=1,$O$21=11),HG55,IF(AND($O$9=1,$O$21=7),HH55,IF(AND($O$9=1,$O$21=3),HI55,IF(AND($O$9=1,$O$21=6),HJ55,IF(AND($O$9=1,$O$21=9),HK55,IF(AND($O$9=1,$O$21=2),HL55,IF(AND($O$9=1,$O$21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75">
        <v>111289</v>
      </c>
      <c r="II55" s="50">
        <f>IF(AND($O$9=2,$O$21=1),HO55,IF(AND($O$9=2,$O$21=4),HP55,IF(AND($O$9=2,$O$21=5),HQ55,IF(AND($O$9=2,$O$21=11),HR55,IF(AND($O$9=2,$O$21=7),HS55,IF(AND($O$9=2,$O$21=3),HT55,IF(AND($O$9=2,$O$21=6),HU55,IF(AND($O$9=2,$O$21=9),HV55,IF(AND($O$9=2,$O$21=2),HW55,IF(AND($O$9=2,$O$21=8),HX55,IF(AND($O$9=1,$O$21=1),HY55,IF(AND($O$9=1,$O$21=1),HY55,IF(AND($O$9=1,$O$21=4),HZ55,IF(AND($O$9=1,$O$21=5),IA55,IF(AND($O$9=1,$O$21=11),IB55,IF(AND($O$9=1,$O$21=7),IC55,IF(AND($O$9=1,$O$21=3),ID55,IF(AND($O$9=1,$O$21=6),IE55,IF(AND($O$9=1,$O$21=9),IF55,IF(AND($O$9=1,$O$21=2),IG55,IF(AND($O$9=1,$O$21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75">
        <v>111289</v>
      </c>
      <c r="JD55" s="50">
        <f>IF(AND($O$9=2,$O$21=1),IJ55,IF(AND($O$9=2,$O$21=4),IK55,IF(AND($O$9=2,$O$21=5),IL55,IF(AND($O$9=2,$O$21=11),IM55,IF(AND($O$9=2,$O$21=7),IN55,IF(AND($O$9=2,$O$21=3),IO55,IF(AND($O$9=2,$O$21=6),IP55,IF(AND($O$9=2,$O$21=9),IQ55,IF(AND($O$9=2,$O$21=2),IR55,IF(AND($O$9=2,$O$21=8),IS55,IF(AND($O$9=1,$O$21=1),IT55,IF(AND($O$9=1,$O$21=1),IT55,IF(AND($O$9=1,$O$21=4),IU55,IF(AND($O$9=1,$O$21=5),IV55,IF(AND($O$9=1,$O$21=11),IW55,IF(AND($O$9=1,$O$21=7),IX55,IF(AND($O$9=1,$O$21=3),IY55,IF(AND($O$9=1,$O$21=6),IZ55,IF(AND($O$9=1,$O$21=9),JA55,IF(AND($O$9=1,$O$21=2),JB55,IF(AND($O$9=1,$O$21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75">
        <v>111189</v>
      </c>
      <c r="JY55" s="50">
        <f>IF(AND($O$9=2,$O$21=1),JE55,IF(AND($O$9=2,$O$21=4),JF55,IF(AND($O$9=2,$O$21=5),JG55,IF(AND($O$9=2,$O$21=11),JH55,IF(AND($O$9=2,$O$21=7),JI55,IF(AND($O$9=2,$O$21=3),JJ55,IF(AND($O$9=2,$O$21=6),JK55,IF(AND($O$9=2,$O$21=9),JL55,IF(AND($O$9=2,$O$21=2),JM55,IF(AND($O$9=2,$O$21=8),JN55,IF(AND($O$9=1,$O$21=1),JO55,IF(AND($O$9=1,$O$21=1),JO55,IF(AND($O$9=1,$O$21=4),JP55,IF(AND($O$9=1,$O$21=5),JQ55,IF(AND($O$9=1,$O$21=11),JR55,IF(AND($O$9=1,$O$21=7),JS55,IF(AND($O$9=1,$O$21=3),JT55,IF(AND($O$9=1,$O$21=6),JU55,IF(AND($O$9=1,$O$21=9),JV55,IF(AND($O$9=1,$O$21=2),JW55,IF(AND($O$9=1,$O$21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75">
        <v>111189</v>
      </c>
      <c r="KT55" s="50">
        <f>IF(AND($O$9=2,$O$21=1),JZ55,IF(AND($O$9=2,$O$21=4),KA55,IF(AND($O$9=2,$O$21=5),KB55,IF(AND($O$9=2,$O$21=11),KC55,IF(AND($O$9=2,$O$21=7),KD55,IF(AND($O$9=2,$O$21=3),KE55,IF(AND($O$9=2,$O$21=6),KF55,IF(AND($O$9=2,$O$21=9),KG55,IF(AND($O$9=2,$O$21=2),KH55,IF(AND($O$9=2,$O$21=8),KI55,IF(AND($O$9=1,$O$21=1),KJ55,IF(AND($O$9=1,$O$21=1),KJ55,IF(AND($O$9=1,$O$21=4),KK55,IF(AND($O$9=1,$O$21=5),KL55,IF(AND($O$9=1,$O$21=11),KM55,IF(AND($O$9=1,$O$21=7),KN55,IF(AND($O$9=1,$O$21=3),KO55,IF(AND($O$9=1,$O$21=6),KP55,IF(AND($O$9=1,$O$21=9),KQ55,IF(AND($O$9=1,$O$21=2),KR55,IF(AND($O$9=1,$O$21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75">
        <v>111189</v>
      </c>
      <c r="LO55" s="50">
        <f>IF(AND($O$9=2,$O$21=1),KU55,IF(AND($O$9=2,$O$21=4),KV55,IF(AND($O$9=2,$O$21=5),KW55,IF(AND($O$9=2,$O$21=11),KX55,IF(AND($O$9=2,$O$21=7),KY55,IF(AND($O$9=2,$O$21=3),KZ55,IF(AND($O$9=2,$O$21=6),LA55,IF(AND($O$9=2,$O$21=9),LB55,IF(AND($O$9=2,$O$21=2),LC55,IF(AND($O$9=2,$O$21=8),LD55,IF(AND($O$9=1,$O$21=1),LE55,IF(AND($O$9=1,$O$21=1),LE55,IF(AND($O$9=1,$O$21=4),LF55,IF(AND($O$9=1,$O$21=5),LG55,IF(AND($O$9=1,$O$21=11),LH55,IF(AND($O$9=1,$O$21=7),LI55,IF(AND($O$9=1,$O$21=3),LJ55,IF(AND($O$9=1,$O$21=6),LK55,IF(AND($O$9=1,$O$21=9),LL55,IF(AND($O$9=1,$O$21=2),LM55,IF(AND($O$9=1,$O$21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75">
        <v>111209</v>
      </c>
      <c r="MJ55" s="50">
        <f>IF(AND($O$9=2,$O$21=1),LP55,IF(AND($O$9=2,$O$21=4),LQ55,IF(AND($O$9=2,$O$21=5),LR55,IF(AND($O$9=2,$O$21=11),LS55,IF(AND($O$9=2,$O$21=7),LT55,IF(AND($O$9=2,$O$21=3),LU55,IF(AND($O$9=2,$O$21=6),LV55,IF(AND($O$9=2,$O$21=9),LW55,IF(AND($O$9=2,$O$21=2),LX55,IF(AND($O$9=2,$O$21=8),LY55,IF(AND($O$9=1,$O$21=1),LZ55,IF(AND($O$9=1,$O$21=1),LZ55,IF(AND($O$9=1,$O$21=4),MA55,IF(AND($O$9=1,$O$21=5),MB55,IF(AND($O$9=1,$O$21=11),MC55,IF(AND($O$9=1,$O$21=7),MD55,IF(AND($O$9=1,$O$21=3),ME55,IF(AND($O$9=1,$O$21=6),MF55,IF(AND($O$9=1,$O$21=9),MG55,IF(AND($O$9=1,$O$21=2),MH55,IF(AND($O$9=1,$O$21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75">
        <v>111229</v>
      </c>
      <c r="NE55" s="50">
        <f>IF(AND($O$9=2,$O$21=1),MK55,IF(AND($O$9=2,$O$21=4),ML55,IF(AND($O$9=2,$O$21=5),MM55,IF(AND($O$9=2,$O$21=11),MN55,IF(AND($O$9=2,$O$21=7),MO55,IF(AND($O$9=2,$O$21=3),MP55,IF(AND($O$9=2,$O$21=6),MQ55,IF(AND($O$9=2,$O$21=9),MR55,IF(AND($O$9=2,$O$21=2),MS55,IF(AND($O$9=2,$O$21=8),MT55,IF(AND($O$9=1,$O$21=1),MU55,IF(AND($O$9=1,$O$21=1),MU55,IF(AND($O$9=1,$O$21=4),MV55,IF(AND($O$9=1,$O$21=5),MW55,IF(AND($O$9=1,$O$21=11),MX55,IF(AND($O$9=1,$O$21=7),MY55,IF(AND($O$9=1,$O$21=3),MZ55,IF(AND($O$9=1,$O$21=6),NA55,IF(AND($O$9=1,$O$21=9),NB55,IF(AND($O$9=1,$O$21=2),NC55,IF(AND($O$9=1,$O$21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75">
        <v>111229</v>
      </c>
      <c r="NZ55" s="50">
        <f>IF(AND($O$9=2,$O$21=1),NF55,IF(AND($O$9=2,$O$21=4),NG55,IF(AND($O$9=2,$O$21=5),NH55,IF(AND($O$9=2,$O$21=11),NI55,IF(AND($O$9=2,$O$21=7),NJ55,IF(AND($O$9=2,$O$21=3),NK55,IF(AND($O$9=2,$O$21=6),NL55,IF(AND($O$9=2,$O$21=9),NM55,IF(AND($O$9=2,$O$21=2),NN55,IF(AND($O$9=2,$O$21=8),NO55,IF(AND($O$9=1,$O$21=1),NP55,IF(AND($O$9=1,$O$21=1),NP55,IF(AND($O$9=1,$O$21=4),NQ55,IF(AND($O$9=1,$O$21=5),NR55,IF(AND($O$9=1,$O$21=11),NS55,IF(AND($O$9=1,$O$21=7),NT55,IF(AND($O$9=1,$O$21=3),NU55,IF(AND($O$9=1,$O$21=6),NV55,IF(AND($O$9=1,$O$21=9),NW55,IF(AND($O$9=1,$O$21=2),NX55,IF(AND($O$9=1,$O$21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75">
        <v>111609</v>
      </c>
      <c r="OU55" s="50">
        <f>IF(AND($O$9=2,$O$21=1),OA55,IF(AND($O$9=2,$O$21=4),OB55,IF(AND($O$9=2,$O$21=5),OC55,IF(AND($O$9=2,$O$21=11),OD55,IF(AND($O$9=2,$O$21=7),OE55,IF(AND($O$9=2,$O$21=3),OF55,IF(AND($O$9=2,$O$21=6),OG55,IF(AND($O$9=2,$O$21=9),OH55,IF(AND($O$9=2,$O$21=2),OI55,IF(AND($O$9=2,$O$21=8),OJ55,IF(AND($O$9=1,$O$21=1),OK55,IF(AND($O$9=1,$O$21=1),OK55,IF(AND($O$9=1,$O$21=4),OL55,IF(AND($O$9=1,$O$21=5),OM55,IF(AND($O$9=1,$O$21=11),ON55,IF(AND($O$9=1,$O$21=7),OO55,IF(AND($O$9=1,$O$21=3),OP55,IF(AND($O$9=1,$O$21=6),OQ55,IF(AND($O$9=1,$O$21=9),OR55,IF(AND($O$9=1,$O$21=2),OS55,IF(AND($O$9=1,$O$21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75">
        <v>111249</v>
      </c>
      <c r="PP55" s="50">
        <f>IF(AND($O$9=2,$O$21=1),OV55,IF(AND($O$9=2,$O$21=4),OW55,IF(AND($O$9=2,$O$21=5),OX55,IF(AND($O$9=2,$O$21=11),OY55,IF(AND($O$9=2,$O$21=7),OZ55,IF(AND($O$9=2,$O$21=3),PA55,IF(AND($O$9=2,$O$21=6),PB55,IF(AND($O$9=2,$O$21=9),PC55,IF(AND($O$9=2,$O$21=2),PD55,IF(AND($O$9=2,$O$21=8),PE55,IF(AND($O$9=1,$O$21=1),PF55,IF(AND($O$9=1,$O$21=1),PF55,IF(AND($O$9=1,$O$21=4),PG55,IF(AND($O$9=1,$O$21=5),PH55,IF(AND($O$9=1,$O$21=11),PI55,IF(AND($O$9=1,$O$21=7),PJ55,IF(AND($O$9=1,$O$21=3),PK55,IF(AND($O$9=1,$O$21=6),PL55,IF(AND($O$9=1,$O$21=9),PM55,IF(AND($O$9=1,$O$21=2),PN55,IF(AND($O$9=1,$O$21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75">
        <v>111249</v>
      </c>
      <c r="QK55" s="50">
        <f>IF(AND($O$9=2,$O$21=1),PQ55,IF(AND($O$9=2,$O$21=4),PR55,IF(AND($O$9=2,$O$21=5),PS55,IF(AND($O$9=2,$O$21=11),PT55,IF(AND($O$9=2,$O$21=7),PU55,IF(AND($O$9=2,$O$21=3),PV55,IF(AND($O$9=2,$O$21=6),PW55,IF(AND($O$9=2,$O$21=9),PX55,IF(AND($O$9=2,$O$21=2),PY55,IF(AND($O$9=2,$O$21=8),PZ55,IF(AND($O$9=1,$O$21=1),QA55,IF(AND($O$9=1,$O$21=1),QA55,IF(AND($O$9=1,$O$21=4),QB55,IF(AND($O$9=1,$O$21=5),QC55,IF(AND($O$9=1,$O$21=11),QD55,IF(AND($O$9=1,$O$21=7),QE55,IF(AND($O$9=1,$O$21=3),QF55,IF(AND($O$9=1,$O$21=6),QG55,IF(AND($O$9=1,$O$21=9),QH55,IF(AND($O$9=1,$O$21=2),QI55,IF(AND($O$9=1,$O$21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75">
        <v>111629</v>
      </c>
      <c r="RF55" s="50">
        <f>IF(AND($O$9=2,$O$21=1),QL55,IF(AND($O$9=2,$O$21=4),QM55,IF(AND($O$9=2,$O$21=5),QN55,IF(AND($O$9=2,$O$21=11),QO55,IF(AND($O$9=2,$O$21=7),QP55,IF(AND($O$9=2,$O$21=3),QQ55,IF(AND($O$9=2,$O$21=6),QR55,IF(AND($O$9=2,$O$21=9),QS55,IF(AND($O$9=2,$O$21=2),QT55,IF(AND($O$9=2,$O$21=8),QU55,IF(AND($O$9=1,$O$21=1),QV55,IF(AND($O$9=1,$O$21=1),QV55,IF(AND($O$9=1,$O$21=4),QW55,IF(AND($O$9=1,$O$21=5),QX55,IF(AND($O$9=1,$O$21=11),QY55,IF(AND($O$9=1,$O$21=7),QZ55,IF(AND($O$9=1,$O$21=3),RA55,IF(AND($O$9=1,$O$21=6),RB55,IF(AND($O$9=1,$O$21=9),RC55,IF(AND($O$9=1,$O$21=2),RD55,IF(AND($O$9=1,$O$21=8),RE55,0)))))))))))))))))))))</f>
        <v>0</v>
      </c>
    </row>
    <row r="56" spans="1:474" ht="32.1" customHeight="1">
      <c r="A56" s="98"/>
      <c r="B56" s="79" t="str">
        <f>VLOOKUP(878,Sprachindex!$A:$Z,Info!$O$7,FALSE)</f>
        <v>Stk.</v>
      </c>
      <c r="C56" s="78"/>
      <c r="D56" s="78">
        <f>IF(OR(J56=Formeln!$A$54,J56=Formeln!$A$55,J56=Formeln!$A$56,J56=Formeln!$A$80,J56=Formeln!$A$81,J56=Formeln!$A$82),BB56,IF(OR(J56=Formeln!$A$57,J56=Formeln!$A$58,J56=Formeln!$A$59,J56=Formeln!$A$83,J56=Formeln!$A$84,J56=Formeln!$A$85),BW56,IF(OR(J56=Formeln!$A$60,J56=Formeln!$A$61,J56=Formeln!$A$62,J56=Formeln!$A$86,J56=Formeln!$A$87,J56=Formeln!$A$88),CR56,IF(OR(J56=Formeln!$A$63,J56=Formeln!$A$64,J56=Formeln!$A$89,J56=Formeln!$A$90),DM56,IF(OR(J56=Formeln!$A$65,J56=Formeln!$A$66,J56=Formeln!$A$67,J56=Formeln!$A$91,J56=Formeln!$A$92,J56=Formeln!$A$93),EH56,IF(OR(J56=Formeln!$A$68,J56=Formeln!$A$69,J56=Formeln!$A$94,J56=Formeln!$A$95),FC56,IF(OR(J56=Formeln!$A$70,J56=Formeln!$A$71,J56=Formeln!$A$72,J56=Formeln!$A$73,J56=Formeln!$A$74,J56=Formeln!$A$96,J56=Formeln!$A$97,J56=Formeln!$A$98,J56=Formeln!$A$99,J56=Formeln!$A$100),FX56,IF(OR(J56=Formeln!$A$75,J56=Formeln!$A$76,J56=Formeln!$A$77,J56=Formeln!$A$101,J56=Formeln!$A$102,J56=Formeln!$A$103),GS56,0))))))))</f>
        <v>0</v>
      </c>
      <c r="E56" s="561" t="str">
        <f>VLOOKUP(321,Sprachindex!$A:$Z,Info!$O$7,FALSE)</f>
        <v>Einfassung für Roto-Dachflächenfenster (stucco)</v>
      </c>
      <c r="F56" s="562"/>
      <c r="G56" s="562"/>
      <c r="H56" s="562"/>
      <c r="I56" s="84" t="str">
        <f>VLOOKUP(591,Sprachindex!$A:$Z,Info!$O$7,FALSE)</f>
        <v>Maße:</v>
      </c>
      <c r="J56" s="572"/>
      <c r="K56" s="574"/>
      <c r="L56" s="79" t="str">
        <f>IF($A56=0,"",IF($J56=Formeln!$A$52," ",IF($O$11=1,AC56,AD56)))</f>
        <v/>
      </c>
      <c r="M56" s="433" t="str">
        <f t="shared" si="0"/>
        <v>Stk.</v>
      </c>
      <c r="N56" s="80"/>
      <c r="O56" s="202" t="str">
        <f>IF(ISNUMBER(L56),IF(OR(J56=Formeln!A53,J56=Formeln!A54,J56=Formeln!A55,J56=Formeln!A79,J56=Formeln!A80,J56=Formeln!A81),R56,IF(OR(J56=Formeln!A56,J56=Formeln!A57,J56=Formeln!A58,J56=Formeln!A82,J56=Formeln!A83,J56=Formeln!A84),S56,IF(OR(J56=Formeln!A59,J56=Formeln!A60,J56=Formeln!A61,J56=Formeln!A85,J56=Formeln!A86,J56=Formeln!A87),T56,IF(OR(J56=Formeln!A62,J56=Formeln!A63,J56=Formeln!A88,J56=Formeln!A89),U56,IF(OR(J56=Formeln!A64,J56=Formeln!A65,J56=Formeln!A66,J56=Formeln!A90,J56=Formeln!A91,J56=Formeln!A92),V56,IF(OR(J56=Formeln!A67,J56=Formeln!A68,J56=Formeln!A93,J56=Formeln!A94),W56,IF(OR(J56=Formeln!A69,J56=Formeln!A70,J56=Formeln!A71,J56=Formeln!A72,J56=Formeln!A73,J56=Formeln!A95,J56=Formeln!A96,J56=Formeln!A97,J56=Formeln!A98,J56=Formeln!A99),X56,IF(OR(J56=Formeln!A74,J56=Formeln!A75,J56=Formeln!A76,J56=Formeln!A100,J56=Formeln!A101,J56=Formeln!A102),Y56,0)))))))), "")</f>
        <v/>
      </c>
      <c r="P56" s="5"/>
      <c r="Q56" s="5"/>
      <c r="R56" s="200">
        <v>264.7</v>
      </c>
      <c r="S56" s="200">
        <v>271.8</v>
      </c>
      <c r="T56" s="200">
        <v>271.8</v>
      </c>
      <c r="U56" s="200">
        <v>285.8</v>
      </c>
      <c r="V56" s="200">
        <v>328.1</v>
      </c>
      <c r="W56" s="200">
        <v>335.1</v>
      </c>
      <c r="X56" s="200">
        <v>335.1</v>
      </c>
      <c r="Y56" s="200">
        <v>337.4</v>
      </c>
      <c r="Z56" s="195"/>
      <c r="AA56" s="195"/>
      <c r="AB56" s="195"/>
      <c r="AC56" s="149">
        <f t="shared" si="8"/>
        <v>0</v>
      </c>
      <c r="AD56" s="149">
        <f t="shared" si="9"/>
        <v>0</v>
      </c>
      <c r="AE56" s="8"/>
      <c r="AF56" s="8"/>
      <c r="AG56" s="5"/>
      <c r="AH56" s="44"/>
      <c r="AI56" s="44"/>
      <c r="AJ56" s="44"/>
      <c r="AK56" s="44"/>
      <c r="AL56" s="44"/>
      <c r="AM56" s="44"/>
      <c r="AN56" s="44"/>
      <c r="AO56" s="44"/>
      <c r="AP56" s="44"/>
      <c r="AR56" s="44">
        <v>111300</v>
      </c>
      <c r="AS56" s="44">
        <v>111301</v>
      </c>
      <c r="AT56" s="44">
        <v>111302</v>
      </c>
      <c r="AU56" s="44">
        <v>111303</v>
      </c>
      <c r="AV56" s="44">
        <v>111304</v>
      </c>
      <c r="AW56" s="44">
        <v>111305</v>
      </c>
      <c r="AX56" s="44">
        <v>111306</v>
      </c>
      <c r="AY56" s="44">
        <v>111307</v>
      </c>
      <c r="AZ56" s="44">
        <v>111308</v>
      </c>
      <c r="BA56" s="174">
        <v>111309</v>
      </c>
      <c r="BB56" s="50">
        <f>IF(AND($O$9=2,$O$21=1),AH56,IF(AND($O$9=2,$O$21=4),AI56,IF(AND($O$9=2,$O$21=5),AJ56,IF(AND($O$9=2,$O$21=11),AK56,IF(AND($O$9=2,$O$21=7),AL56,IF(AND($O$9=2,$O$21=3),AM56,IF(AND($O$9=2,$O$21=6),AN56,IF(AND($O$9=2,$O$21=9),AO56,IF(AND($O$9=2,$O$21=2),AP56,IF(AND($O$9=2,$O$21=8),AQ56,IF(AND($O$9=1,$O$21=1),AR56,IF(AND($O$9=1,$O$21=1),AR56,IF(AND($O$9=1,$O$21=4),AS56,IF(AND($O$9=1,$O$21=5),AT56,IF(AND($O$9=1,$O$21=11),AU56,IF(AND($O$9=1,$O$21=7),AV56,IF(AND($O$9=1,$O$21=3),AW56,IF(AND($O$9=1,$O$21=6),AX56,IF(AND($O$9=1,$O$21=9),AY56,IF(AND($O$9=1,$O$21=2),AZ56,IF(AND($O$9=1,$O$21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74">
        <v>111329</v>
      </c>
      <c r="BW56" s="50">
        <f>IF(AND($O$9=2,$O$21=1),BC56,IF(AND($O$9=2,$O$21=4),BD56,IF(AND($O$9=2,$O$21=5),BE56,IF(AND($O$9=2,$O$21=11),BF56,IF(AND($O$9=2,$O$21=7),BG56,IF(AND($O$9=2,$O$21=3),BH56,IF(AND($O$9=2,$O$21=6),BI56,IF(AND($O$9=2,$O$21=9),BJ56,IF(AND($O$9=2,$O$21=2),BK56,IF(AND($O$9=2,$O$21=8),BL56,IF(AND($O$9=1,$O$21=1),BM56,IF(AND($O$9=1,$O$21=1),BM56,IF(AND($O$9=1,$O$21=4),BN56,IF(AND($O$9=1,$O$21=5),BO56,IF(AND($O$9=1,$O$21=11),BP56,IF(AND($O$9=1,$O$21=7),BQ56,IF(AND($O$9=1,$O$21=3),BR56,IF(AND($O$9=1,$O$21=6),BS56,IF(AND($O$9=1,$O$21=9),BT56,IF(AND($O$9=1,$O$21=2),BU56,IF(AND($O$9=1,$O$21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74">
        <v>111349</v>
      </c>
      <c r="CR56" s="50">
        <f>IF(AND($O$9=2,$O$21=1),BX56,IF(AND($O$9=2,$O$21=4),BY56,IF(AND($O$9=2,$O$21=5),BZ56,IF(AND($O$9=2,$O$21=11),CA56,IF(AND($O$9=2,$O$21=7),CB56,IF(AND($O$9=2,$O$21=3),CC56,IF(AND($O$9=2,$O$21=6),CD56,IF(AND($O$9=2,$O$21=9),CE56,IF(AND($O$9=2,$O$21=2),CF56,IF(AND($O$9=2,$O$21=8),CG56,IF(AND($O$9=1,$O$21=1),CH56,IF(AND($O$9=1,$O$21=1),CH56,IF(AND($O$9=1,$O$21=4),CI56,IF(AND($O$9=1,$O$21=5),CJ56,IF(AND($O$9=1,$O$21=11),CK56,IF(AND($O$9=1,$O$21=7),CL56,IF(AND($O$9=1,$O$21=3),CM56,IF(AND($O$9=1,$O$21=6),CN56,IF(AND($O$9=1,$O$21=9),CO56,IF(AND($O$9=1,$O$21=2),CP56,IF(AND($O$9=1,$O$21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74">
        <v>111369</v>
      </c>
      <c r="DM56" s="50">
        <f>IF(AND($O$9=2,$O$21=1),BX56,IF(AND($O$9=2,$O$21=4),BY56,IF(AND($O$9=2,$O$21=5),BZ56,IF(AND($O$9=2,$O$21=11),CA56,IF(AND($O$9=2,$O$21=7),CB56,IF(AND($O$9=2,$O$21=3),CC56,IF(AND($O$9=2,$O$21=6),CD56,IF(AND($O$9=2,$O$21=9),CE56,IF(AND($O$9=2,$O$21=2),CF56,IF(AND($O$9=2,$O$21=8),CG56,IF(AND($O$9=1,$O$21=1),DC56,IF(AND($O$9=1,$O$21=1),DC56,IF(AND($O$9=1,$O$21=4),DD56,IF(AND($O$9=1,$O$21=5),DE56,IF(AND($O$9=1,$O$21=11),DF56,IF(AND($O$9=1,$O$21=7),DG56,IF(AND($O$9=1,$O$21=3),DH56,IF(AND($O$9=1,$O$21=6),DI56,IF(AND($O$9=1,$O$21=9),DJ56,IF(AND($O$9=1,$O$21=2),DK56,IF(AND($O$9=1,$O$21=8),DL56,0)))))))))))))))))))))</f>
        <v>0</v>
      </c>
      <c r="DX56" s="44">
        <v>111380</v>
      </c>
      <c r="DY56" s="44">
        <v>111381</v>
      </c>
      <c r="DZ56" s="44">
        <v>111382</v>
      </c>
      <c r="EA56" s="44">
        <v>111383</v>
      </c>
      <c r="EB56" s="44">
        <v>111384</v>
      </c>
      <c r="EC56" s="44">
        <v>111385</v>
      </c>
      <c r="ED56" s="44">
        <v>111386</v>
      </c>
      <c r="EE56" s="44">
        <v>111387</v>
      </c>
      <c r="EF56" s="44">
        <v>111388</v>
      </c>
      <c r="EG56" s="174">
        <v>111389</v>
      </c>
      <c r="EH56" s="50">
        <f>IF(AND($O$9=2,$O$21=1),CS56,IF(AND($O$9=2,$O$21=4),CT56,IF(AND($O$9=2,$O$21=5),CU56,IF(AND($O$9=2,$O$21=11),CV56,IF(AND($O$9=2,$O$21=7),CW56,IF(AND($O$9=2,$O$21=3),CX56,IF(AND($O$9=2,$O$21=6),CY56,IF(AND($O$9=2,$O$21=9),CZ56,IF(AND($O$9=2,$O$21=2),DA56,IF(AND($O$9=2,$O$21=8),DB56,IF(AND($O$9=1,$O$21=1),DX56,IF(AND($O$9=1,$O$21=1),DX56,IF(AND($O$9=1,$O$21=4),DY56,IF(AND($O$9=1,$O$21=5),DZ56,IF(AND($O$9=1,$O$21=11),EA56,IF(AND($O$9=1,$O$21=7),EB56,IF(AND($O$9=1,$O$21=3),EC56,IF(AND($O$9=1,$O$21=6),ED56,IF(AND($O$9=1,$O$21=9),EE56,IF(AND($O$9=1,$O$21=2),EF56,IF(AND($O$9=1,$O$21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74">
        <v>111409</v>
      </c>
      <c r="FC56" s="50">
        <f>IF(AND($O$9=2,$O$21=1),EI56,IF(AND($O$9=2,$O$21=4),EJ56,IF(AND($O$9=2,$O$21=5),EK56,IF(AND($O$9=2,$O$21=11),EL56,IF(AND($O$9=2,$O$21=7),EM56,IF(AND($O$9=2,$O$21=3),EN56,IF(AND($O$9=2,$O$21=6),EO56,IF(AND($O$9=2,$O$21=9),EP56,IF(AND($O$9=2,$O$21=2),EQ56,IF(AND($O$9=2,$O$21=8),ER56,IF(AND($O$9=1,$O$21=1),ES56,IF(AND($O$9=1,$O$21=1),ES56,IF(AND($O$9=1,$O$21=4),ET56,IF(AND($O$9=1,$O$21=5),EU56,IF(AND($O$9=1,$O$21=11),EV56,IF(AND($O$9=1,$O$21=7),EW56,IF(AND($O$9=1,$O$21=3),EX56,IF(AND($O$9=1,$O$21=6),EY56,IF(AND($O$9=1,$O$21=9),EZ56,IF(AND($O$9=1,$O$21=2),FA56,IF(AND($O$9=1,$O$21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74">
        <v>111429</v>
      </c>
      <c r="FX56" s="50">
        <f>IF(AND($O$9=2,$O$21=1),FD56,IF(AND($O$9=2,$O$21=4),FE56,IF(AND($O$9=2,$O$21=5),FF56,IF(AND($O$9=2,$O$21=11),FG56,IF(AND($O$9=2,$O$21=7),FH56,IF(AND($O$9=2,$O$21=3),FI56,IF(AND($O$9=2,$O$21=6),FJ56,IF(AND($O$9=2,$O$21=9),FK56,IF(AND($O$9=2,$O$21=2),FL56,IF(AND($O$9=2,$O$21=8),FM56,IF(AND($O$9=1,$O$21=1),FN56,IF(AND($O$9=1,$O$21=1),FN56,IF(AND($O$9=1,$O$21=4),FO56,IF(AND($O$9=1,$O$21=5),FP56,IF(AND($O$9=1,$O$21=11),FQ56,IF(AND($O$9=1,$O$21=7),FR56,IF(AND($O$9=1,$O$21=3),FS56,IF(AND($O$9=1,$O$21=6),FT56,IF(AND($O$9=1,$O$21=9),FU56,IF(AND($O$9=1,$O$21=2),FV56,IF(AND($O$9=1,$O$21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74">
        <v>111449</v>
      </c>
      <c r="GS56" s="50">
        <f>IF(AND($O$9=2,$O$21=1),FY56,IF(AND($O$9=2,$O$21=4),FZ56,IF(AND($O$9=2,$O$21=5),GA56,IF(AND($O$9=2,$O$21=11),GB56,IF(AND($O$9=2,$O$21=7),GC56,IF(AND($O$9=2,$O$21=3),GD56,IF(AND($O$9=2,$O$21=6),GE56,IF(AND($O$9=2,$O$21=9),GF56,IF(AND($O$9=2,$O$21=2),GG56,IF(AND($O$9=2,$O$21=8),GH56,IF(AND($O$9=1,$O$21=1),GI56,IF(AND($O$9=1,$O$21=1),GI56,IF(AND($O$9=1,$O$21=4),GJ56,IF(AND($O$9=1,$O$21=5),GK56,IF(AND($O$9=1,$O$21=11),GL56,IF(AND($O$9=1,$O$21=7),GM56,IF(AND($O$9=1,$O$21=3),GN56,IF(AND($O$9=1,$O$21=6),GO56,IF(AND($O$9=1,$O$21=9),GP56,IF(AND($O$9=1,$O$21=2),GQ56,IF(AND($O$9=1,$O$21=8),GR56,0)))))))))))))))))))))</f>
        <v>0</v>
      </c>
      <c r="HN56" s="50"/>
      <c r="II56" s="50"/>
      <c r="JD56" s="50"/>
      <c r="JY56" s="50"/>
      <c r="KT56" s="50"/>
      <c r="LO56" s="50"/>
      <c r="MJ56" s="50"/>
      <c r="NE56" s="50"/>
      <c r="NZ56" s="50"/>
      <c r="OU56" s="50"/>
      <c r="PP56" s="50"/>
      <c r="QK56" s="50"/>
      <c r="RF56" s="50"/>
    </row>
    <row r="57" spans="1:474" ht="32.1" customHeight="1">
      <c r="A57" s="98"/>
      <c r="B57" s="79" t="str">
        <f>VLOOKUP(878,Sprachindex!$A:$Z,Info!$O$7,FALSE)</f>
        <v>Stk.</v>
      </c>
      <c r="C57" s="78"/>
      <c r="D57" s="78">
        <v>111700</v>
      </c>
      <c r="E57" s="561" t="str">
        <f>VLOOKUP(322,Sprachindex!$A:$Z,Info!$O$7,FALSE)</f>
        <v>Einfassung für Roto-Q-Serie (stucco)</v>
      </c>
      <c r="F57" s="562"/>
      <c r="G57" s="562"/>
      <c r="H57" s="562"/>
      <c r="I57" s="84" t="str">
        <f>VLOOKUP(591,Sprachindex!$A:$Z,Info!$O$7,FALSE)</f>
        <v>Maße:</v>
      </c>
      <c r="J57" s="572"/>
      <c r="K57" s="574"/>
      <c r="L57" s="79" t="str">
        <f>IF($A57=0,"",IF($J57=Formeln!$A$52," ",IF($O$11=1,AC57,AD57)))</f>
        <v/>
      </c>
      <c r="M57" s="433" t="str">
        <f t="shared" si="0"/>
        <v>Stk.</v>
      </c>
      <c r="N57" s="80"/>
      <c r="O57" s="202" t="str">
        <f>IF(ISNUMBER(L57),IF(OR(J57=Formeln!C53,J57=Formeln!C54,J57=Formeln!C55,J57=Formeln!C83,J57=Formeln!C84,J57=Formeln!C85),R57,IF(OR(J57=Formeln!C56,J57=Formeln!C57,J57=Formeln!C58,J57=Formeln!C86,J57=Formeln!C87,J57=Formeln!C88),S57,IF(OR(J57=Formeln!C59,J57=Formeln!C60,J57=Formeln!C61,J57=Formeln!C62,J57=Formeln!C63,J57=Formeln!C89,J57=Formeln!C90,J57=Formeln!C91,J57=Formeln!C92,J57=Formeln!C93),T57,IF(OR(J57=Formeln!C64,J57=Formeln!C65,J57=Formeln!C66,J57=Formeln!C67,J57=Formeln!C68,J57=Formeln!C69,J57=Formeln!C94,J57=Formeln!C95,J57=Formeln!C96,J57=Formeln!C97,J57=Formeln!C98,J57=Formeln!C99),U57,IF(OR(J57=Formeln!C70,J57=Formeln!C71,J57=Formeln!C72,J57=Formeln!C73,J57=Formeln!C74,J57=Formeln!C75,J57=Formeln!C100,J57=Formeln!C101,J57=Formeln!C102,J57=Formeln!C103,J57=Formeln!C104,J57=Formeln!C105),V57,IF(OR(J57=Formeln!C76,J57=Formeln!C77,J57=Formeln!C78,J57=Formeln!C79,J57=Formeln!C80,J57=Formeln!C106,J57=Formeln!C107,J57=Formeln!C108,J57=Formeln!C109,J57=Formeln!C110),W57,0)))))), "")</f>
        <v/>
      </c>
      <c r="P57" s="5"/>
      <c r="Q57" s="5"/>
      <c r="R57" s="200">
        <v>291.25</v>
      </c>
      <c r="S57" s="200">
        <v>298.98</v>
      </c>
      <c r="T57" s="200">
        <v>298.98</v>
      </c>
      <c r="U57" s="200">
        <v>360.78</v>
      </c>
      <c r="V57" s="200">
        <v>368.64</v>
      </c>
      <c r="W57" s="200">
        <v>371.17</v>
      </c>
      <c r="X57" s="195"/>
      <c r="Y57" s="195"/>
      <c r="Z57" s="195"/>
      <c r="AA57" s="195"/>
      <c r="AB57" s="195"/>
      <c r="AC57" s="149">
        <f t="shared" si="8"/>
        <v>0</v>
      </c>
      <c r="AD57" s="149">
        <f t="shared" si="9"/>
        <v>0</v>
      </c>
      <c r="AE57" s="8"/>
      <c r="AF57" s="8"/>
      <c r="AG57" s="5"/>
      <c r="AH57" s="44"/>
      <c r="AI57" s="44"/>
      <c r="AJ57" s="44"/>
      <c r="AK57" s="44"/>
      <c r="AL57" s="44"/>
      <c r="AM57" s="44"/>
      <c r="AN57" s="44"/>
      <c r="AO57" s="44"/>
      <c r="AP57" s="44"/>
      <c r="AR57" s="127"/>
      <c r="AS57" s="127"/>
      <c r="AT57" s="127"/>
      <c r="AU57" s="127"/>
      <c r="AV57" s="127"/>
      <c r="AW57" s="127"/>
      <c r="AX57" s="127"/>
      <c r="AY57" s="127"/>
      <c r="AZ57" s="127"/>
      <c r="BA57" s="176"/>
      <c r="BB57" s="50">
        <f>IF(AND($O$9=2,$O$21=1),AH57,IF(AND($O$9=2,$O$21=4),AI57,IF(AND($O$9=2,$O$21=5),AJ57,IF(AND($O$9=2,$O$21=11),AK57,IF(AND($O$9=2,$O$21=7),AL57,IF(AND($O$9=2,$O$21=3),AM57,IF(AND($O$9=2,$O$21=6),AN57,IF(AND($O$9=2,$O$21=9),AO57,IF(AND($O$9=2,$O$21=2),AP57,IF(AND($O$9=2,$O$21=8),AQ57,IF(AND($O$9=1,$O$21=1),AR57,IF(AND($O$9=1,$O$21=1),AR57,IF(AND($O$9=1,$O$21=4),AS57,IF(AND($O$9=1,$O$21=5),AT57,IF(AND($O$9=1,$O$21=11),AU57,IF(AND($O$9=1,$O$21=7),AV57,IF(AND($O$9=1,$O$21=3),AW57,IF(AND($O$9=1,$O$21=6),AX57,IF(AND($O$9=1,$O$21=9),AY57,IF(AND($O$9=1,$O$21=2),AZ57,0))))))))))))))))))))</f>
        <v>0</v>
      </c>
      <c r="BC57" s="44"/>
      <c r="BD57" s="44"/>
      <c r="BE57" s="44"/>
      <c r="BF57" s="44"/>
      <c r="BG57" s="44"/>
      <c r="BH57" s="44"/>
      <c r="BI57" s="44"/>
      <c r="BJ57" s="44"/>
      <c r="BK57" s="44"/>
      <c r="BM57" s="127"/>
      <c r="BN57" s="127"/>
      <c r="BO57" s="127"/>
      <c r="BP57" s="127"/>
      <c r="BQ57" s="127"/>
      <c r="BR57" s="127"/>
      <c r="BS57" s="127"/>
      <c r="BT57" s="127"/>
      <c r="BU57" s="127"/>
      <c r="BV57" s="176"/>
      <c r="BW57" s="50">
        <f>IF(AND($O$9=2,$O$21=1),BC57,IF(AND($O$9=2,$O$21=4),BD57,IF(AND($O$9=2,$O$21=5),BE57,IF(AND($O$9=2,$O$21=11),BF57,IF(AND($O$9=2,$O$21=7),BG57,IF(AND($O$9=2,$O$21=3),BH57,IF(AND($O$9=2,$O$21=6),BI57,IF(AND($O$9=2,$O$21=9),BJ57,IF(AND($O$9=2,$O$21=2),BK57,IF(AND($O$9=2,$O$21=8),BL57,IF(AND($O$9=1,$O$21=1),BM57,IF(AND($O$9=1,$O$21=1),BM57,IF(AND($O$9=1,$O$21=4),BN57,IF(AND($O$9=1,$O$21=5),BO57,IF(AND($O$9=1,$O$21=11),BP57,IF(AND($O$9=1,$O$21=7),BQ57,IF(AND($O$9=1,$O$21=3),BR57,IF(AND($O$9=1,$O$21=6),BS57,IF(AND($O$9=1,$O$21=9),BT57,IF(AND($O$9=1,$O$21=2),BU57,0))))))))))))))))))))</f>
        <v>0</v>
      </c>
      <c r="BX57" s="44"/>
      <c r="BY57" s="44"/>
      <c r="BZ57" s="44"/>
      <c r="CA57" s="44"/>
      <c r="CB57" s="44"/>
      <c r="CC57" s="44"/>
      <c r="CD57" s="44"/>
      <c r="CE57" s="44"/>
      <c r="CF57" s="44"/>
      <c r="CH57" s="127"/>
      <c r="CI57" s="127"/>
      <c r="CJ57" s="127"/>
      <c r="CK57" s="127"/>
      <c r="CL57" s="127"/>
      <c r="CM57" s="127"/>
      <c r="CN57" s="127"/>
      <c r="CO57" s="127"/>
      <c r="CP57" s="127"/>
      <c r="CQ57" s="176"/>
      <c r="CR57" s="50">
        <f>IF(AND($O$9=2,$O$21=1),BX57,IF(AND($O$9=2,$O$21=4),BY57,IF(AND($O$9=2,$O$21=5),BZ57,IF(AND($O$9=2,$O$21=11),CA57,IF(AND($O$9=2,$O$21=7),CB57,IF(AND($O$9=2,$O$21=3),CC57,IF(AND($O$9=2,$O$21=6),CD57,IF(AND($O$9=2,$O$21=9),CE57,IF(AND($O$9=2,$O$21=2),CF57,IF(AND($O$9=2,$O$21=8),CG57,IF(AND($O$9=1,$O$21=1),CH57,IF(AND($O$9=1,$O$21=1),CH57,IF(AND($O$9=1,$O$21=4),CI57,IF(AND($O$9=1,$O$21=5),CJ57,IF(AND($O$9=1,$O$21=11),CK57,IF(AND($O$9=1,$O$21=7),CL57,IF(AND($O$9=1,$O$21=3),CM57,IF(AND($O$9=1,$O$21=6),CN57,IF(AND($O$9=1,$O$21=9),CO57,IF(AND($O$9=1,$O$21=2),CP57,0))))))))))))))))))))</f>
        <v>0</v>
      </c>
      <c r="CS57" s="44"/>
      <c r="CT57" s="44"/>
      <c r="CU57" s="44"/>
      <c r="CV57" s="44"/>
      <c r="CW57" s="44"/>
      <c r="CX57" s="44"/>
      <c r="CY57" s="44"/>
      <c r="CZ57" s="44"/>
      <c r="DA57" s="44"/>
      <c r="DC57" s="127"/>
      <c r="DD57" s="127"/>
      <c r="DE57" s="127"/>
      <c r="DF57" s="127"/>
      <c r="DG57" s="127"/>
      <c r="DH57" s="127"/>
      <c r="DI57" s="127"/>
      <c r="DJ57" s="127"/>
      <c r="DK57" s="127"/>
      <c r="DL57" s="176"/>
      <c r="DM57" s="50">
        <f>IF(AND($O$9=2,$O$21=1),BX57,IF(AND($O$9=2,$O$21=4),BY57,IF(AND($O$9=2,$O$21=5),BZ57,IF(AND($O$9=2,$O$21=11),CA57,IF(AND($O$9=2,$O$21=7),CB57,IF(AND($O$9=2,$O$21=3),CC57,IF(AND($O$9=2,$O$21=6),CD57,IF(AND($O$9=2,$O$21=9),CE57,IF(AND($O$9=2,$O$21=2),CF57,IF(AND($O$9=2,$O$21=8),CG57,IF(AND($O$9=1,$O$21=1),DC57,IF(AND($O$9=1,$O$21=1),DC57,IF(AND($O$9=1,$O$21=4),DD57,IF(AND($O$9=1,$O$21=5),DE57,IF(AND($O$9=1,$O$21=11),DF57,IF(AND($O$9=1,$O$21=7),DG57,IF(AND($O$9=1,$O$21=3),DH57,IF(AND($O$9=1,$O$21=6),DI57,IF(AND($O$9=1,$O$21=9),DJ57,IF(AND($O$9=1,$O$21=2),DK57,0))))))))))))))))))))</f>
        <v>0</v>
      </c>
      <c r="DX57" s="127"/>
      <c r="DY57" s="127"/>
      <c r="DZ57" s="127"/>
      <c r="EA57" s="127"/>
      <c r="EB57" s="127"/>
      <c r="EC57" s="127"/>
      <c r="ED57" s="127"/>
      <c r="EE57" s="127"/>
      <c r="EF57" s="127"/>
      <c r="EG57" s="176"/>
      <c r="EH57" s="50">
        <f>IF(AND($O$9=2,$O$21=1),CS57,IF(AND($O$9=2,$O$21=4),CT57,IF(AND($O$9=2,$O$21=5),CU57,IF(AND($O$9=2,$O$21=11),CV57,IF(AND($O$9=2,$O$21=7),CW57,IF(AND($O$9=2,$O$21=3),CX57,IF(AND($O$9=2,$O$21=6),CY57,IF(AND($O$9=2,$O$21=9),CZ57,IF(AND($O$9=2,$O$21=2),DA57,IF(AND($O$9=2,$O$21=8),DB57,IF(AND($O$9=1,$O$21=1),DX57,IF(AND($O$9=1,$O$21=1),DX57,IF(AND($O$9=1,$O$21=4),DY57,IF(AND($O$9=1,$O$21=5),DZ57,IF(AND($O$9=1,$O$21=11),EA57,IF(AND($O$9=1,$O$21=7),EB57,IF(AND($O$9=1,$O$21=3),EC57,IF(AND($O$9=1,$O$21=6),ED57,IF(AND($O$9=1,$O$21=9),EE57,IF(AND($O$9=1,$O$21=2),EF57,0))))))))))))))))))))</f>
        <v>0</v>
      </c>
      <c r="EI57" s="44"/>
      <c r="EJ57" s="44"/>
      <c r="EK57" s="44"/>
      <c r="EL57" s="44"/>
      <c r="EM57" s="44"/>
      <c r="EN57" s="44"/>
      <c r="EO57" s="44"/>
      <c r="EP57" s="44"/>
      <c r="EQ57" s="44"/>
      <c r="ES57" s="127"/>
      <c r="ET57" s="127"/>
      <c r="EU57" s="127"/>
      <c r="EV57" s="127"/>
      <c r="EW57" s="127"/>
      <c r="EX57" s="127"/>
      <c r="EY57" s="127"/>
      <c r="EZ57" s="127"/>
      <c r="FA57" s="127"/>
      <c r="FB57" s="176"/>
      <c r="FC57" s="50">
        <f>IF(AND($O$9=2,$O$21=1),EI57,IF(AND($O$9=2,$O$21=4),EJ57,IF(AND($O$9=2,$O$21=5),EK57,IF(AND($O$9=2,$O$21=11),EL57,IF(AND($O$9=2,$O$21=7),EM57,IF(AND($O$9=2,$O$21=3),EN57,IF(AND($O$9=2,$O$21=6),EO57,IF(AND($O$9=2,$O$21=9),EP57,IF(AND($O$9=2,$O$21=2),EQ57,IF(AND($O$9=2,$O$21=8),ER57,IF(AND($O$9=1,$O$21=1),ES57,IF(AND($O$9=1,$O$21=1),ES57,IF(AND($O$9=1,$O$21=4),ET57,IF(AND($O$9=1,$O$21=5),EU57,IF(AND($O$9=1,$O$21=11),EV57,IF(AND($O$9=1,$O$21=7),EW57,IF(AND($O$9=1,$O$21=3),EX57,IF(AND($O$9=1,$O$21=6),EY57,IF(AND($O$9=1,$O$21=9),EZ57,IF(AND($O$9=1,$O$21=2),FA57,0))))))))))))))))))))</f>
        <v>0</v>
      </c>
      <c r="HK57" s="126"/>
      <c r="IF57" s="126"/>
      <c r="JA57" s="126"/>
      <c r="JV57" s="126"/>
      <c r="KQ57" s="126"/>
      <c r="LL57" s="126"/>
      <c r="MG57" s="126"/>
      <c r="NB57" s="126"/>
      <c r="NW57" s="126"/>
      <c r="OR57" s="126"/>
      <c r="PM57" s="126"/>
      <c r="QH57" s="126"/>
      <c r="RC57" s="126"/>
    </row>
    <row r="58" spans="1:474" ht="32.1" customHeight="1">
      <c r="A58" s="98"/>
      <c r="B58" s="79" t="str">
        <f>VLOOKUP(878,Sprachindex!$A:$Z,Info!$O$7,FALSE)</f>
        <v>Stk.</v>
      </c>
      <c r="C58" s="78"/>
      <c r="D58" s="78">
        <f>IF($O$21=1,AH58,IF($O$21=4,AI58,IF($O$21=5,AJ58,IF($O$21=11,AK58,IF($O$21=7,AL58,IF($O$21=3,AM58,IF($O$21=6,AN58,IF($O$21=9,AO58,IF($O$21=2,AP58,IF($O$21=8,AQ58,0))))))))))</f>
        <v>0</v>
      </c>
      <c r="E58" s="561" t="str">
        <f>VLOOKUP(345,Sprachindex!$A:$Z,Info!$O$7,FALSE)</f>
        <v>Einzeltritt (inkl. zwei Fußteile)</v>
      </c>
      <c r="F58" s="562"/>
      <c r="G58" s="562"/>
      <c r="H58" s="562"/>
      <c r="I58" s="562"/>
      <c r="J58" s="562"/>
      <c r="K58" s="563"/>
      <c r="L58" s="79" t="str">
        <f t="shared" ref="L58:L99" si="10">IF(A58=0,"",IF($O$11=1,AC58,AD58))</f>
        <v/>
      </c>
      <c r="M58" s="433" t="str">
        <f t="shared" si="0"/>
        <v>Stk.</v>
      </c>
      <c r="N58" s="80"/>
      <c r="O58" s="202" t="str">
        <f t="shared" ref="O58:O78" si="11">IF(ISNUMBER(A58),$L58*R58, "")</f>
        <v/>
      </c>
      <c r="P58" s="5"/>
      <c r="Q58" s="5"/>
      <c r="R58" s="200">
        <v>70.75</v>
      </c>
      <c r="S58" s="200"/>
      <c r="T58" s="5"/>
      <c r="U58" s="5"/>
      <c r="V58" s="5"/>
      <c r="W58" s="5"/>
      <c r="X58" s="5"/>
      <c r="Y58" s="5"/>
      <c r="Z58" s="5"/>
      <c r="AA58" s="5"/>
      <c r="AB58" s="5"/>
      <c r="AC58" s="149">
        <f t="shared" si="8"/>
        <v>0</v>
      </c>
      <c r="AD58" s="149">
        <f t="shared" si="9"/>
        <v>0</v>
      </c>
      <c r="AE58" s="8"/>
      <c r="AF58" s="8"/>
      <c r="AG58" s="5"/>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98"/>
      <c r="B59" s="79" t="str">
        <f>VLOOKUP(878,Sprachindex!$A:$Z,Info!$O$7,FALSE)</f>
        <v>Stk.</v>
      </c>
      <c r="C59" s="78"/>
      <c r="D59" s="78">
        <f>IF($O$21=1,AH59,IF($O$21=4,AI59,IF($O$21=5,AJ59,IF($O$21=11,AK59,IF($O$21=7,AL59,IF($O$21=3,AM59,IF($O$21=6,AN59,IF($O$21=9,AO59,IF($O$21=2,AP59,IF($O$21=8,AQ59,0))))))))))</f>
        <v>0</v>
      </c>
      <c r="E59" s="561" t="str">
        <f>VLOOKUP(567,Sprachindex!$A:$Z,Info!$O$7,FALSE)</f>
        <v>Laufstegstütze auf einem Fußteil</v>
      </c>
      <c r="F59" s="562"/>
      <c r="G59" s="562"/>
      <c r="H59" s="562"/>
      <c r="I59" s="562"/>
      <c r="J59" s="562"/>
      <c r="K59" s="563"/>
      <c r="L59" s="79" t="str">
        <f t="shared" si="10"/>
        <v/>
      </c>
      <c r="M59" s="433" t="str">
        <f t="shared" si="0"/>
        <v>Stk.</v>
      </c>
      <c r="N59" s="80"/>
      <c r="O59" s="202" t="str">
        <f t="shared" si="11"/>
        <v/>
      </c>
      <c r="P59" s="5"/>
      <c r="Q59" s="5"/>
      <c r="R59" s="200">
        <v>52.32</v>
      </c>
      <c r="S59" s="195"/>
      <c r="T59" s="5"/>
      <c r="U59" s="5"/>
      <c r="V59" s="5"/>
      <c r="W59" s="5"/>
      <c r="X59" s="5"/>
      <c r="Y59" s="5"/>
      <c r="Z59" s="5"/>
      <c r="AA59" s="5"/>
      <c r="AB59" s="5"/>
      <c r="AC59" s="149">
        <f t="shared" si="8"/>
        <v>0</v>
      </c>
      <c r="AD59" s="149">
        <f t="shared" si="9"/>
        <v>0</v>
      </c>
      <c r="AE59" s="8"/>
      <c r="AF59" s="8"/>
      <c r="AG59" s="5"/>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98"/>
      <c r="B60" s="79" t="str">
        <f>VLOOKUP(878,Sprachindex!$A:$Z,Info!$O$7,FALSE)</f>
        <v>Stk.</v>
      </c>
      <c r="C60" s="78"/>
      <c r="D60" s="78">
        <v>649304</v>
      </c>
      <c r="E60" s="561" t="str">
        <f>VLOOKUP(568,Sprachindex!$A:$Z,Info!$O$7,FALSE)</f>
        <v>Laufstegstütze auf zwei Fußteilen</v>
      </c>
      <c r="F60" s="562"/>
      <c r="G60" s="562"/>
      <c r="H60" s="562"/>
      <c r="I60" s="562"/>
      <c r="J60" s="562"/>
      <c r="K60" s="563"/>
      <c r="L60" s="79" t="str">
        <f t="shared" si="10"/>
        <v/>
      </c>
      <c r="M60" s="433" t="str">
        <f t="shared" si="0"/>
        <v>Stk.</v>
      </c>
      <c r="N60" s="80"/>
      <c r="O60" s="202" t="str">
        <f t="shared" si="11"/>
        <v/>
      </c>
      <c r="P60" s="5"/>
      <c r="Q60" s="5"/>
      <c r="R60" s="200">
        <v>74.13</v>
      </c>
      <c r="S60" s="195"/>
      <c r="T60" s="5"/>
      <c r="U60" s="5"/>
      <c r="V60" s="5"/>
      <c r="W60" s="5"/>
      <c r="X60" s="5"/>
      <c r="Y60" s="5"/>
      <c r="Z60" s="5"/>
      <c r="AA60" s="5"/>
      <c r="AB60" s="5"/>
      <c r="AC60" s="149">
        <f t="shared" si="8"/>
        <v>0</v>
      </c>
      <c r="AD60" s="149">
        <f t="shared" si="9"/>
        <v>0</v>
      </c>
      <c r="AE60" s="8"/>
      <c r="AF60" s="8"/>
      <c r="AG60" s="5"/>
      <c r="AH60" s="44"/>
      <c r="AI60" s="44"/>
      <c r="AJ60" s="44"/>
      <c r="AK60" s="44"/>
      <c r="AL60" s="44"/>
      <c r="AM60" s="44"/>
      <c r="AN60" s="44"/>
      <c r="AO60" s="44"/>
      <c r="AP60" s="44"/>
      <c r="AQ60" s="44"/>
    </row>
    <row r="61" spans="1:474" ht="32.1" customHeight="1">
      <c r="A61" s="98"/>
      <c r="B61" s="79" t="str">
        <f>VLOOKUP(878,Sprachindex!$A:$Z,Info!$O$7,FALSE)</f>
        <v>Stk.</v>
      </c>
      <c r="C61" s="78"/>
      <c r="D61" s="78">
        <f>IF($O$21=1,AH61,IF($O$21=4,AI61,IF($O$21=5,AJ61,IF($O$21=11,AK61,IF($O$21=7,AL61,IF($O$21=3,AM61,IF($O$21=6,AN61,IF($O$21=9,AO61,IF($O$21=2,AP61,IF($O$21=8,AQ61,0))))))))))</f>
        <v>0</v>
      </c>
      <c r="E61" s="561" t="str">
        <f>VLOOKUP(560,Sprachindex!$A:$Z,Info!$O$7,FALSE)</f>
        <v>Laufsteg (250 × 1.200 mm)</v>
      </c>
      <c r="F61" s="562"/>
      <c r="G61" s="562"/>
      <c r="H61" s="562"/>
      <c r="I61" s="562"/>
      <c r="J61" s="562"/>
      <c r="K61" s="563"/>
      <c r="L61" s="79" t="str">
        <f t="shared" si="10"/>
        <v/>
      </c>
      <c r="M61" s="433" t="str">
        <f t="shared" si="0"/>
        <v>Stk.</v>
      </c>
      <c r="N61" s="80"/>
      <c r="O61" s="202" t="str">
        <f t="shared" si="11"/>
        <v/>
      </c>
      <c r="P61" s="5"/>
      <c r="Q61" s="5"/>
      <c r="R61" s="200">
        <v>74.430000000000007</v>
      </c>
      <c r="S61" s="195"/>
      <c r="T61" s="5"/>
      <c r="U61" s="5"/>
      <c r="V61" s="5"/>
      <c r="W61" s="5"/>
      <c r="X61" s="5"/>
      <c r="Y61" s="5"/>
      <c r="Z61" s="5"/>
      <c r="AA61" s="5"/>
      <c r="AB61" s="5"/>
      <c r="AC61" s="149">
        <f t="shared" si="8"/>
        <v>0</v>
      </c>
      <c r="AD61" s="149">
        <f t="shared" si="9"/>
        <v>0</v>
      </c>
      <c r="AE61" s="8"/>
      <c r="AF61" s="8"/>
      <c r="AG61" s="5"/>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98"/>
      <c r="B62" s="79" t="str">
        <f>VLOOKUP(878,Sprachindex!$A:$Z,Info!$O$7,FALSE)</f>
        <v>Stk.</v>
      </c>
      <c r="C62" s="78"/>
      <c r="D62" s="78">
        <f>IF($O$21=1,AH62,IF($O$21=4,AI62,IF($O$21=5,AJ62,IF($O$21=11,AK62,IF($O$21=7,AL62,IF($O$21=3,AM62,IF($O$21=6,AN62,IF($O$21=9,AO62,IF($O$21=2,AP62,IF($O$21=8,AQ62,0))))))))))</f>
        <v>0</v>
      </c>
      <c r="E62" s="561" t="str">
        <f>VLOOKUP(563,Sprachindex!$A:$Z,Info!$O$7,FALSE)</f>
        <v>Laufsteg (250 × 800 mm)</v>
      </c>
      <c r="F62" s="562"/>
      <c r="G62" s="562"/>
      <c r="H62" s="562"/>
      <c r="I62" s="562"/>
      <c r="J62" s="562"/>
      <c r="K62" s="563"/>
      <c r="L62" s="79" t="str">
        <f t="shared" si="10"/>
        <v/>
      </c>
      <c r="M62" s="433" t="str">
        <f t="shared" si="0"/>
        <v>Stk.</v>
      </c>
      <c r="N62" s="80"/>
      <c r="O62" s="202" t="str">
        <f t="shared" si="11"/>
        <v/>
      </c>
      <c r="P62" s="5"/>
      <c r="Q62" s="5"/>
      <c r="R62" s="200">
        <v>54.95</v>
      </c>
      <c r="S62" s="195"/>
      <c r="T62" s="5"/>
      <c r="U62" s="5"/>
      <c r="V62" s="5"/>
      <c r="W62" s="5"/>
      <c r="X62" s="5"/>
      <c r="Y62" s="5"/>
      <c r="Z62" s="5"/>
      <c r="AA62" s="5"/>
      <c r="AB62" s="5"/>
      <c r="AC62" s="149">
        <f t="shared" si="8"/>
        <v>0</v>
      </c>
      <c r="AD62" s="149">
        <f t="shared" si="9"/>
        <v>0</v>
      </c>
      <c r="AE62" s="8"/>
      <c r="AF62" s="8"/>
      <c r="AG62" s="5"/>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98"/>
      <c r="B63" s="79" t="str">
        <f>VLOOKUP(878,Sprachindex!$A:$Z,Info!$O$7,FALSE)</f>
        <v>Stk.</v>
      </c>
      <c r="C63" s="78"/>
      <c r="D63" s="78">
        <f>IF($O$21=1,AH63,IF($O$21=4,AI63,IF($O$21=5,AJ63,IF($O$21=11,AK63,IF($O$21=7,AL63,IF($O$21=3,AM63,IF($O$21=6,AN63,IF($O$21=9,AO63,IF($O$21=2,AP63,IF($O$21=8,AQ63,0))))))))))</f>
        <v>0</v>
      </c>
      <c r="E63" s="561" t="str">
        <f>VLOOKUP(562,Sprachindex!$A:$Z,Info!$O$7,FALSE)</f>
        <v>Laufsteg (250 × 600 mm)</v>
      </c>
      <c r="F63" s="562"/>
      <c r="G63" s="562"/>
      <c r="H63" s="562"/>
      <c r="I63" s="562"/>
      <c r="J63" s="562"/>
      <c r="K63" s="563"/>
      <c r="L63" s="79" t="str">
        <f t="shared" si="10"/>
        <v/>
      </c>
      <c r="M63" s="433" t="str">
        <f t="shared" si="0"/>
        <v>Stk.</v>
      </c>
      <c r="N63" s="80"/>
      <c r="O63" s="202" t="str">
        <f t="shared" si="11"/>
        <v/>
      </c>
      <c r="P63" s="5"/>
      <c r="Q63" s="5"/>
      <c r="R63" s="200">
        <v>52.52</v>
      </c>
      <c r="S63" s="195"/>
      <c r="T63" s="5"/>
      <c r="U63" s="5"/>
      <c r="V63" s="5"/>
      <c r="W63" s="5"/>
      <c r="X63" s="5"/>
      <c r="Y63" s="5"/>
      <c r="Z63" s="5"/>
      <c r="AA63" s="5"/>
      <c r="AB63" s="5"/>
      <c r="AC63" s="149">
        <f t="shared" si="8"/>
        <v>0</v>
      </c>
      <c r="AD63" s="149">
        <f t="shared" si="9"/>
        <v>0</v>
      </c>
      <c r="AE63" s="8"/>
      <c r="AF63" s="8"/>
      <c r="AG63" s="5"/>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98"/>
      <c r="B64" s="79" t="str">
        <f>VLOOKUP(878,Sprachindex!$A:$Z,Info!$O$7,FALSE)</f>
        <v>Stk.</v>
      </c>
      <c r="C64" s="78"/>
      <c r="D64" s="78">
        <f>IF($O$21=1,AH64,IF($O$21=4,AI64,IF($O$21=5,AJ64,IF($O$21=11,AK64,IF($O$21=7,AL64,IF($O$21=3,AM64,IF($O$21=6,AN64,IF($O$21=9,AO64,IF($O$21=2,AP64,IF($O$21=8,AQ64,0))))))))))</f>
        <v>0</v>
      </c>
      <c r="E64" s="561" t="str">
        <f>VLOOKUP(561,Sprachindex!$A:$Z,Info!$O$7,FALSE)</f>
        <v>Laufsteg (250 × 420 mm)</v>
      </c>
      <c r="F64" s="562"/>
      <c r="G64" s="562"/>
      <c r="H64" s="562"/>
      <c r="I64" s="562"/>
      <c r="J64" s="562"/>
      <c r="K64" s="563"/>
      <c r="L64" s="79" t="str">
        <f t="shared" si="10"/>
        <v/>
      </c>
      <c r="M64" s="433" t="str">
        <f t="shared" si="0"/>
        <v>Stk.</v>
      </c>
      <c r="N64" s="80"/>
      <c r="O64" s="202" t="str">
        <f t="shared" si="11"/>
        <v/>
      </c>
      <c r="P64" s="5"/>
      <c r="Q64" s="5"/>
      <c r="R64" s="200">
        <v>38.97</v>
      </c>
      <c r="S64" s="195"/>
      <c r="T64" s="5"/>
      <c r="U64" s="5"/>
      <c r="V64" s="5"/>
      <c r="W64" s="5"/>
      <c r="X64" s="5"/>
      <c r="Y64" s="5"/>
      <c r="Z64" s="5"/>
      <c r="AA64" s="5"/>
      <c r="AB64" s="5"/>
      <c r="AC64" s="149">
        <f>ROUNDUP($A64/4,0)*4</f>
        <v>0</v>
      </c>
      <c r="AD64" s="149">
        <f t="shared" si="9"/>
        <v>0</v>
      </c>
      <c r="AE64" s="8"/>
      <c r="AF64" s="8"/>
      <c r="AG64" s="5"/>
      <c r="AH64" s="44">
        <v>120010</v>
      </c>
      <c r="AI64" s="44">
        <v>120011</v>
      </c>
      <c r="AJ64" s="44">
        <v>120012</v>
      </c>
      <c r="AK64" s="44">
        <v>120013</v>
      </c>
      <c r="AL64" s="44">
        <v>120014</v>
      </c>
      <c r="AM64" s="44">
        <v>120015</v>
      </c>
      <c r="AN64" s="44">
        <v>120016</v>
      </c>
      <c r="AO64" s="44">
        <v>120017</v>
      </c>
      <c r="AP64" s="44">
        <v>120018</v>
      </c>
      <c r="AQ64" s="44">
        <v>120019</v>
      </c>
    </row>
    <row r="65" spans="1:55" ht="32.1" customHeight="1">
      <c r="A65" s="98"/>
      <c r="B65" s="79" t="str">
        <f>VLOOKUP(878,Sprachindex!$A:$Z,Info!$O$7,FALSE)</f>
        <v>Stk.</v>
      </c>
      <c r="C65" s="78"/>
      <c r="D65" s="78">
        <v>649305</v>
      </c>
      <c r="E65" s="561" t="str">
        <f>VLOOKUP(565,Sprachindex!$A:$Z,Info!$O$7,FALSE)</f>
        <v>Laufsteg (360 × 800 mm)</v>
      </c>
      <c r="F65" s="562"/>
      <c r="G65" s="562"/>
      <c r="H65" s="562"/>
      <c r="I65" s="562"/>
      <c r="J65" s="562"/>
      <c r="K65" s="563"/>
      <c r="L65" s="79" t="str">
        <f t="shared" si="10"/>
        <v/>
      </c>
      <c r="M65" s="433" t="str">
        <f t="shared" si="0"/>
        <v>Stk.</v>
      </c>
      <c r="N65" s="80"/>
      <c r="O65" s="202" t="str">
        <f t="shared" si="11"/>
        <v/>
      </c>
      <c r="P65" s="5"/>
      <c r="Q65" s="5"/>
      <c r="R65" s="200">
        <v>80.81</v>
      </c>
      <c r="S65" s="195"/>
      <c r="T65" s="5"/>
      <c r="U65" s="5"/>
      <c r="V65" s="5"/>
      <c r="W65" s="5"/>
      <c r="X65" s="5"/>
      <c r="Y65" s="5"/>
      <c r="Z65" s="5"/>
      <c r="AA65" s="5"/>
      <c r="AB65" s="5"/>
      <c r="AC65" s="149">
        <f>ROUNDUP($A65,0)</f>
        <v>0</v>
      </c>
      <c r="AD65" s="149">
        <f t="shared" si="9"/>
        <v>0</v>
      </c>
      <c r="AE65" s="8"/>
      <c r="AF65" s="8"/>
      <c r="AG65" s="5"/>
      <c r="AH65" s="44"/>
      <c r="AI65" s="44"/>
      <c r="AJ65" s="44"/>
      <c r="AK65" s="44"/>
      <c r="AL65" s="44"/>
      <c r="AM65" s="44"/>
      <c r="AN65" s="44"/>
      <c r="AO65" s="44"/>
      <c r="AP65" s="44"/>
      <c r="AQ65" s="44"/>
    </row>
    <row r="66" spans="1:55" ht="32.1" customHeight="1">
      <c r="A66" s="98"/>
      <c r="B66" s="79" t="str">
        <f>VLOOKUP(878,Sprachindex!$A:$Z,Info!$O$7,FALSE)</f>
        <v>Stk.</v>
      </c>
      <c r="C66" s="78"/>
      <c r="D66" s="78">
        <v>649306</v>
      </c>
      <c r="E66" s="561" t="str">
        <f>VLOOKUP(564,Sprachindex!$A:$Z,Info!$O$7,FALSE)</f>
        <v>Laufsteg (360 × 1.200 mm)</v>
      </c>
      <c r="F66" s="562"/>
      <c r="G66" s="562"/>
      <c r="H66" s="562"/>
      <c r="I66" s="562"/>
      <c r="J66" s="562"/>
      <c r="K66" s="563"/>
      <c r="L66" s="79" t="str">
        <f t="shared" si="10"/>
        <v/>
      </c>
      <c r="M66" s="433" t="str">
        <f t="shared" si="0"/>
        <v>Stk.</v>
      </c>
      <c r="N66" s="80"/>
      <c r="O66" s="202" t="str">
        <f t="shared" si="11"/>
        <v/>
      </c>
      <c r="P66" s="5"/>
      <c r="Q66" s="5"/>
      <c r="R66" s="200">
        <v>119.7</v>
      </c>
      <c r="S66" s="195"/>
      <c r="T66" s="5"/>
      <c r="U66" s="5"/>
      <c r="V66" s="5"/>
      <c r="W66" s="5"/>
      <c r="X66" s="5"/>
      <c r="Y66" s="5"/>
      <c r="Z66" s="5"/>
      <c r="AA66" s="5"/>
      <c r="AB66" s="5"/>
      <c r="AC66" s="149">
        <f>ROUNDUP($A66,0)</f>
        <v>0</v>
      </c>
      <c r="AD66" s="149">
        <f t="shared" si="9"/>
        <v>0</v>
      </c>
      <c r="AE66" s="8"/>
      <c r="AF66" s="8"/>
      <c r="AG66" s="5"/>
      <c r="AH66" s="44"/>
      <c r="AI66" s="44"/>
      <c r="AJ66" s="44"/>
      <c r="AK66" s="44"/>
      <c r="AL66" s="44"/>
      <c r="AM66" s="44"/>
      <c r="AN66" s="44"/>
      <c r="AO66" s="44"/>
      <c r="AP66" s="44"/>
      <c r="AQ66" s="44"/>
    </row>
    <row r="67" spans="1:55" ht="32.1" customHeight="1">
      <c r="A67" s="98"/>
      <c r="B67" s="79" t="str">
        <f>VLOOKUP(878,Sprachindex!$A:$Z,Info!$O$7,FALSE)</f>
        <v>Stk.</v>
      </c>
      <c r="C67" s="78"/>
      <c r="D67" s="83">
        <v>649001</v>
      </c>
      <c r="E67" s="561" t="str">
        <f>VLOOKUP(955,Sprachindex!$A:$Z,Info!$O$7,FALSE)</f>
        <v>Verbinder (verzinkt; für Laufsteg; Breite: 250 mm)</v>
      </c>
      <c r="F67" s="562"/>
      <c r="G67" s="562"/>
      <c r="H67" s="562"/>
      <c r="I67" s="562"/>
      <c r="J67" s="562"/>
      <c r="K67" s="563"/>
      <c r="L67" s="79" t="str">
        <f t="shared" si="10"/>
        <v/>
      </c>
      <c r="M67" s="433" t="str">
        <f t="shared" si="0"/>
        <v>Stk.</v>
      </c>
      <c r="N67" s="80"/>
      <c r="O67" s="202" t="str">
        <f t="shared" si="11"/>
        <v/>
      </c>
      <c r="P67" s="5"/>
      <c r="Q67" s="5"/>
      <c r="R67" s="200">
        <v>24.02</v>
      </c>
      <c r="S67" s="195"/>
      <c r="T67" s="5"/>
      <c r="U67" s="5"/>
      <c r="V67" s="5"/>
      <c r="W67" s="5"/>
      <c r="X67" s="5"/>
      <c r="Y67" s="5"/>
      <c r="Z67" s="5"/>
      <c r="AA67" s="5"/>
      <c r="AB67" s="5"/>
      <c r="AC67" s="149">
        <f>ROUNDUP($A67,0)</f>
        <v>0</v>
      </c>
      <c r="AD67" s="149">
        <f t="shared" si="9"/>
        <v>0</v>
      </c>
      <c r="AE67" s="8"/>
      <c r="AF67" s="8"/>
      <c r="AG67" s="5"/>
      <c r="AH67" s="47" t="s">
        <v>33</v>
      </c>
      <c r="AI67" s="47" t="s">
        <v>34</v>
      </c>
      <c r="AJ67" s="47" t="s">
        <v>35</v>
      </c>
      <c r="AK67" s="47" t="s">
        <v>36</v>
      </c>
      <c r="AL67" s="47" t="s">
        <v>37</v>
      </c>
      <c r="AM67" s="47" t="s">
        <v>38</v>
      </c>
      <c r="AN67" s="47" t="s">
        <v>39</v>
      </c>
      <c r="AO67" s="47" t="s">
        <v>40</v>
      </c>
      <c r="AP67" s="47" t="s">
        <v>41</v>
      </c>
      <c r="AQ67" s="47" t="s">
        <v>42</v>
      </c>
      <c r="AR67" s="47" t="s">
        <v>33</v>
      </c>
      <c r="AS67" s="47" t="s">
        <v>34</v>
      </c>
      <c r="AT67" s="47" t="s">
        <v>35</v>
      </c>
      <c r="AU67" s="47" t="s">
        <v>36</v>
      </c>
      <c r="AV67" s="47" t="s">
        <v>37</v>
      </c>
      <c r="AW67" s="47" t="s">
        <v>38</v>
      </c>
      <c r="AX67" s="47" t="s">
        <v>39</v>
      </c>
      <c r="AY67" s="47" t="s">
        <v>40</v>
      </c>
      <c r="AZ67" s="47" t="s">
        <v>41</v>
      </c>
      <c r="BA67" s="47" t="s">
        <v>42</v>
      </c>
    </row>
    <row r="68" spans="1:55" ht="32.1" customHeight="1">
      <c r="A68" s="98"/>
      <c r="B68" s="79" t="str">
        <f>VLOOKUP(878,Sprachindex!$A:$Z,Info!$O$7,FALSE)</f>
        <v>Stk.</v>
      </c>
      <c r="C68" s="78"/>
      <c r="D68" s="83">
        <v>649008</v>
      </c>
      <c r="E68" s="561" t="str">
        <f>VLOOKUP(956,Sprachindex!$A:$Z,Info!$O$7,FALSE)</f>
        <v>Verbinder (verzinkt; für Laufsteg; Breite: 360 mm)</v>
      </c>
      <c r="F68" s="562"/>
      <c r="G68" s="562"/>
      <c r="H68" s="562"/>
      <c r="I68" s="562"/>
      <c r="J68" s="562"/>
      <c r="K68" s="563"/>
      <c r="L68" s="79" t="str">
        <f t="shared" si="10"/>
        <v/>
      </c>
      <c r="M68" s="433" t="str">
        <f t="shared" si="0"/>
        <v>Stk.</v>
      </c>
      <c r="N68" s="80"/>
      <c r="O68" s="202" t="str">
        <f t="shared" si="11"/>
        <v/>
      </c>
      <c r="P68" s="5"/>
      <c r="Q68" s="5"/>
      <c r="R68" s="200">
        <v>53.07</v>
      </c>
      <c r="S68" s="195"/>
      <c r="T68" s="5"/>
      <c r="U68" s="5"/>
      <c r="V68" s="5"/>
      <c r="W68" s="5"/>
      <c r="X68" s="5"/>
      <c r="Y68" s="5"/>
      <c r="Z68" s="5"/>
      <c r="AA68" s="5"/>
      <c r="AB68" s="5"/>
      <c r="AC68" s="149">
        <f>ROUNDUP($A68,0)</f>
        <v>0</v>
      </c>
      <c r="AD68" s="149">
        <f t="shared" si="9"/>
        <v>0</v>
      </c>
      <c r="AE68" s="8"/>
      <c r="AF68" s="8"/>
      <c r="AG68" s="5"/>
      <c r="AH68" s="47" t="s">
        <v>33</v>
      </c>
      <c r="AI68" s="47" t="s">
        <v>34</v>
      </c>
      <c r="AJ68" s="47" t="s">
        <v>35</v>
      </c>
      <c r="AK68" s="47" t="s">
        <v>36</v>
      </c>
      <c r="AL68" s="47" t="s">
        <v>37</v>
      </c>
      <c r="AM68" s="47" t="s">
        <v>38</v>
      </c>
      <c r="AN68" s="47" t="s">
        <v>39</v>
      </c>
      <c r="AO68" s="47" t="s">
        <v>40</v>
      </c>
      <c r="AP68" s="47" t="s">
        <v>41</v>
      </c>
      <c r="AQ68" s="47" t="s">
        <v>42</v>
      </c>
      <c r="AR68" s="47" t="s">
        <v>33</v>
      </c>
      <c r="AS68" s="47" t="s">
        <v>34</v>
      </c>
      <c r="AT68" s="47" t="s">
        <v>35</v>
      </c>
      <c r="AU68" s="47" t="s">
        <v>36</v>
      </c>
      <c r="AV68" s="47" t="s">
        <v>37</v>
      </c>
      <c r="AW68" s="47" t="s">
        <v>38</v>
      </c>
      <c r="AX68" s="47" t="s">
        <v>39</v>
      </c>
      <c r="AY68" s="47" t="s">
        <v>40</v>
      </c>
      <c r="AZ68" s="47" t="s">
        <v>41</v>
      </c>
      <c r="BA68" s="47" t="s">
        <v>42</v>
      </c>
    </row>
    <row r="69" spans="1:55" ht="32.1" customHeight="1">
      <c r="A69" s="98"/>
      <c r="B69" s="79" t="str">
        <f>VLOOKUP(878,Sprachindex!$A:$Z,Info!$O$7,FALSE)</f>
        <v>Stk.</v>
      </c>
      <c r="C69" s="81"/>
      <c r="D69" s="83">
        <v>635661</v>
      </c>
      <c r="E69" s="561" t="str">
        <f>VLOOKUP(277,Sprachindex!$A:$Z,Info!$O$7,FALSE)</f>
        <v>Sicherheitsdachhaken auf Fußteilen</v>
      </c>
      <c r="F69" s="562"/>
      <c r="G69" s="562"/>
      <c r="H69" s="562"/>
      <c r="I69" s="562"/>
      <c r="J69" s="562"/>
      <c r="K69" s="563"/>
      <c r="L69" s="79" t="str">
        <f t="shared" si="10"/>
        <v/>
      </c>
      <c r="M69" s="433" t="str">
        <f t="shared" si="0"/>
        <v>Stk.</v>
      </c>
      <c r="N69" s="80"/>
      <c r="O69" s="202" t="str">
        <f t="shared" si="11"/>
        <v/>
      </c>
      <c r="P69" s="5"/>
      <c r="Q69" s="5"/>
      <c r="R69" s="200">
        <v>119.8</v>
      </c>
      <c r="S69" s="195"/>
      <c r="T69" s="5"/>
      <c r="U69" s="5"/>
      <c r="V69" s="5"/>
      <c r="W69" s="5"/>
      <c r="X69" s="5"/>
      <c r="Y69" s="5"/>
      <c r="Z69" s="5"/>
      <c r="AA69" s="5"/>
      <c r="AB69" s="5"/>
      <c r="AC69" s="149">
        <f>ROUNDUP($A69,0)</f>
        <v>0</v>
      </c>
      <c r="AD69" s="149">
        <f t="shared" si="9"/>
        <v>0</v>
      </c>
      <c r="AE69" s="8"/>
      <c r="AF69" s="8"/>
      <c r="AG69" s="5"/>
    </row>
    <row r="70" spans="1:55" ht="32.1" customHeight="1">
      <c r="A70" s="98"/>
      <c r="B70" s="79" t="str">
        <f>VLOOKUP(878,Sprachindex!$A:$Z,Info!$O$7,FALSE)</f>
        <v>Stk.</v>
      </c>
      <c r="C70" s="81"/>
      <c r="D70" s="78">
        <f>IF($O$21=1,AH70,IF($O$21=4,AI70,IF($O$21=5,AJ70,IF($O$21=11,AK70,IF($O$21=7,AL70,IF($O$21=3,AM70,IF($O$21=6,AN70,IF($O$21=9,AO70,IF($O$21=2,AP70,IF($O$21=8,AQ70,0))))))))))</f>
        <v>0</v>
      </c>
      <c r="E70" s="561" t="str">
        <f>VLOOKUP(822,Sprachindex!$A:$Z,Info!$O$7,FALSE)</f>
        <v>Sicherheitsdachhaken</v>
      </c>
      <c r="F70" s="562"/>
      <c r="G70" s="562"/>
      <c r="H70" s="562"/>
      <c r="I70" s="562"/>
      <c r="J70" s="562"/>
      <c r="K70" s="563"/>
      <c r="L70" s="79" t="str">
        <f t="shared" si="10"/>
        <v/>
      </c>
      <c r="M70" s="433" t="str">
        <f t="shared" si="0"/>
        <v>Stk.</v>
      </c>
      <c r="N70" s="80"/>
      <c r="O70" s="202" t="str">
        <f t="shared" si="11"/>
        <v/>
      </c>
      <c r="P70" s="5"/>
      <c r="Q70" s="5"/>
      <c r="R70" s="200">
        <v>31.53</v>
      </c>
      <c r="S70" s="195"/>
      <c r="T70" s="5"/>
      <c r="U70" s="5"/>
      <c r="V70" s="5"/>
      <c r="W70" s="5"/>
      <c r="X70" s="5"/>
      <c r="Y70" s="5"/>
      <c r="Z70" s="5"/>
      <c r="AA70" s="5"/>
      <c r="AB70" s="5"/>
      <c r="AC70" s="149">
        <f>ROUNDUP($A70/12,0)*12</f>
        <v>0</v>
      </c>
      <c r="AD70" s="149">
        <f t="shared" si="9"/>
        <v>0</v>
      </c>
      <c r="AE70" s="8"/>
      <c r="AF70" s="8"/>
      <c r="AG70" s="5"/>
      <c r="AH70" s="44">
        <v>120000</v>
      </c>
      <c r="AI70" s="44">
        <v>120001</v>
      </c>
      <c r="AJ70" s="44">
        <v>120002</v>
      </c>
      <c r="AK70" s="44">
        <v>120003</v>
      </c>
      <c r="AL70" s="44">
        <v>120004</v>
      </c>
      <c r="AM70" s="44">
        <v>120005</v>
      </c>
      <c r="AN70" s="44">
        <v>120006</v>
      </c>
      <c r="AO70" s="44">
        <v>120007</v>
      </c>
      <c r="AP70" s="44">
        <v>120008</v>
      </c>
      <c r="AQ70" s="44">
        <v>120009</v>
      </c>
    </row>
    <row r="71" spans="1:55" ht="32.1" customHeight="1">
      <c r="A71" s="98"/>
      <c r="B71" s="79" t="str">
        <f>VLOOKUP(878,Sprachindex!$A:$Z,Info!$O$7,FALSE)</f>
        <v>Stk.</v>
      </c>
      <c r="C71" s="81"/>
      <c r="D71" s="78">
        <f>IF($O$21=1,AH71,IF($O$21=4,AI71,IF($O$21=5,AJ71,IF($O$21=11,AK71,IF($O$21=7,AL71,IF($O$21=3,AM71,IF($O$21=6,AN71,IF($O$21=9,AO71,IF($O$21=2,AP71,IF($O$21=8,AQ71,0))))))))))</f>
        <v>0</v>
      </c>
      <c r="E71" s="561" t="str">
        <f>VLOOKUP(1424,Sprachindex!$A:$Z,Info!$O$7,FALSE)</f>
        <v>Einfassungsplatte für Dachschindel DS.19</v>
      </c>
      <c r="F71" s="562"/>
      <c r="G71" s="562"/>
      <c r="H71" s="562"/>
      <c r="I71" s="562"/>
      <c r="J71" s="562"/>
      <c r="K71" s="563"/>
      <c r="L71" s="79" t="str">
        <f t="shared" si="10"/>
        <v/>
      </c>
      <c r="M71" s="433" t="str">
        <f t="shared" si="0"/>
        <v>Stk.</v>
      </c>
      <c r="N71" s="80"/>
      <c r="O71" s="202" t="str">
        <f t="shared" si="11"/>
        <v/>
      </c>
      <c r="P71" s="5"/>
      <c r="Q71" s="5"/>
      <c r="R71" s="200">
        <v>118.8</v>
      </c>
      <c r="S71" s="195"/>
      <c r="T71" s="5"/>
      <c r="U71" s="5"/>
      <c r="V71" s="5"/>
      <c r="W71" s="5"/>
      <c r="X71" s="5"/>
      <c r="Y71" s="5"/>
      <c r="Z71" s="5"/>
      <c r="AA71" s="5"/>
      <c r="AB71" s="5"/>
      <c r="AC71" s="149">
        <f>ROUNDUP($A71,0)</f>
        <v>0</v>
      </c>
      <c r="AD71" s="149">
        <f t="shared" si="9"/>
        <v>0</v>
      </c>
      <c r="AE71" s="8"/>
      <c r="AF71" s="8"/>
      <c r="AG71" s="5"/>
      <c r="AH71" s="44">
        <v>112680</v>
      </c>
      <c r="AI71" s="44">
        <v>112681</v>
      </c>
      <c r="AJ71" s="44">
        <v>112682</v>
      </c>
      <c r="AK71" s="44">
        <v>112683</v>
      </c>
      <c r="AL71" s="44">
        <v>112684</v>
      </c>
      <c r="AM71" s="44">
        <v>112685</v>
      </c>
      <c r="AN71" s="44">
        <v>112686</v>
      </c>
      <c r="AO71" s="44">
        <v>112687</v>
      </c>
      <c r="AP71" s="44">
        <v>112688</v>
      </c>
      <c r="AQ71" s="44">
        <v>112689</v>
      </c>
    </row>
    <row r="72" spans="1:55" ht="32.1" customHeight="1">
      <c r="A72" s="98"/>
      <c r="B72" s="79" t="str">
        <f>VLOOKUP(878,Sprachindex!$A:$Z,Info!$O$7,FALSE)</f>
        <v>Stk.</v>
      </c>
      <c r="C72" s="81"/>
      <c r="D72" s="78">
        <f>IF($O$9=1,BC72,BB72)</f>
        <v>0</v>
      </c>
      <c r="E72" s="561" t="str">
        <f>IF($O$9=1,VLOOKUP(2942,Sprachindex!$A:$Z,Info!$O$7,FALSE),VLOOKUP(1419,Sprachindex!$A:$Z,Info!$O$7,FALSE))</f>
        <v>Einfassungsplatte, zum Einfalzen; glatt</v>
      </c>
      <c r="F72" s="562"/>
      <c r="G72" s="562"/>
      <c r="H72" s="562"/>
      <c r="I72" s="562"/>
      <c r="J72" s="562"/>
      <c r="K72" s="563"/>
      <c r="L72" s="79" t="str">
        <f t="shared" si="10"/>
        <v/>
      </c>
      <c r="M72" s="433" t="str">
        <f t="shared" si="0"/>
        <v>Stk.</v>
      </c>
      <c r="N72" s="80"/>
      <c r="O72" s="202" t="str">
        <f t="shared" si="11"/>
        <v/>
      </c>
      <c r="P72" s="5"/>
      <c r="Q72" s="5"/>
      <c r="R72" s="200">
        <v>112</v>
      </c>
      <c r="S72" s="195"/>
      <c r="T72" s="5"/>
      <c r="U72" s="5"/>
      <c r="V72" s="5"/>
      <c r="W72" s="5"/>
      <c r="X72" s="5"/>
      <c r="Y72" s="5"/>
      <c r="Z72" s="5"/>
      <c r="AA72" s="5"/>
      <c r="AB72" s="5"/>
      <c r="AC72" s="149">
        <f>ROUNDUP($A72/5,0)*5</f>
        <v>0</v>
      </c>
      <c r="AD72" s="149">
        <f t="shared" si="9"/>
        <v>0</v>
      </c>
      <c r="AE72" s="8"/>
      <c r="AF72" s="8"/>
      <c r="AG72" s="5"/>
      <c r="AH72" s="470">
        <v>110230</v>
      </c>
      <c r="AI72" s="470">
        <v>110231</v>
      </c>
      <c r="AJ72" s="470">
        <v>110232</v>
      </c>
      <c r="AK72" s="470">
        <v>110233</v>
      </c>
      <c r="AL72" s="470">
        <v>110234</v>
      </c>
      <c r="AM72" s="470">
        <v>110235</v>
      </c>
      <c r="AN72" s="470">
        <v>110236</v>
      </c>
      <c r="AO72" s="470">
        <v>110237</v>
      </c>
      <c r="AP72" s="470">
        <v>110238</v>
      </c>
      <c r="AQ72" s="470">
        <v>110239</v>
      </c>
      <c r="AR72" s="469">
        <v>112880</v>
      </c>
      <c r="AS72" s="469">
        <v>112881</v>
      </c>
      <c r="AT72" s="469">
        <v>112882</v>
      </c>
      <c r="AU72" s="469">
        <v>112883</v>
      </c>
      <c r="AV72" s="469">
        <v>112884</v>
      </c>
      <c r="AW72" s="469">
        <v>112885</v>
      </c>
      <c r="AX72" s="469">
        <v>112886</v>
      </c>
      <c r="AY72" s="469">
        <v>112887</v>
      </c>
      <c r="AZ72" s="469">
        <v>112888</v>
      </c>
      <c r="BA72" s="469">
        <v>112889</v>
      </c>
      <c r="BB72" s="468">
        <f>IF($O$21=1,AH72,IF($O$21=4,AI72,IF($O$21=5,AJ72,IF($O$21=11,AK72,IF($O$21=7,AL72,IF($O$21=3,AM72,IF($O$21=6,AN72,IF($O$21=9,AO72,IF($O$21=2,AP72,IF($O$21=8,AQ72,0))))))))))</f>
        <v>0</v>
      </c>
      <c r="BC72" s="468">
        <f>IF($O$21=1,AR72,IF($O$21=4,AS72,IF($O$21=5,AT72,IF($O$21=11,AU72,IF($O$21=7,AV72,IF($O$21=3,AW72,IF($O$21=6,AX72,IF($O$21=9,AY72,IF($O$21=2,AZ72,IF($O$21=8,BA72,0))))))))))</f>
        <v>0</v>
      </c>
    </row>
    <row r="73" spans="1:55" ht="32.1" customHeight="1">
      <c r="A73" s="98"/>
      <c r="B73" s="79" t="str">
        <f>VLOOKUP(878,Sprachindex!$A:$Z,Info!$O$7,FALSE)</f>
        <v>Stk.</v>
      </c>
      <c r="C73" s="81"/>
      <c r="D73" s="78">
        <f t="shared" ref="D73:D76" si="12">IF($O$21=1,AH73,IF($O$21=4,AI73,IF($O$21=5,AJ73,IF($O$21=11,AK73,IF($O$21=7,AL73,IF($O$21=3,AM73,IF($O$21=6,AN73,IF($O$21=9,AO73,IF($O$21=2,AP73,IF($O$21=8,AQ73,0))))))))))</f>
        <v>0</v>
      </c>
      <c r="E73" s="561" t="str">
        <f>VLOOKUP(926,Sprachindex!$A:$Z,Info!$O$7,FALSE)</f>
        <v>Universaleinfassung (2-teilig); glatt; ⌀ 40–120 mm</v>
      </c>
      <c r="F73" s="562"/>
      <c r="G73" s="562"/>
      <c r="H73" s="562"/>
      <c r="I73" s="562"/>
      <c r="J73" s="562"/>
      <c r="K73" s="563"/>
      <c r="L73" s="79" t="str">
        <f t="shared" si="10"/>
        <v/>
      </c>
      <c r="M73" s="433" t="str">
        <f t="shared" si="0"/>
        <v>Stk.</v>
      </c>
      <c r="N73" s="80"/>
      <c r="O73" s="226" t="str">
        <f t="shared" si="11"/>
        <v/>
      </c>
      <c r="P73" s="5"/>
      <c r="Q73" s="5"/>
      <c r="R73" s="104">
        <v>115.3</v>
      </c>
      <c r="S73" s="195"/>
      <c r="T73" s="5"/>
      <c r="U73" s="5"/>
      <c r="V73" s="5"/>
      <c r="W73" s="5"/>
      <c r="X73" s="5"/>
      <c r="Y73" s="5"/>
      <c r="Z73" s="5"/>
      <c r="AA73" s="5"/>
      <c r="AB73" s="5"/>
      <c r="AC73" s="149">
        <f>ROUNDUP($A73,0)</f>
        <v>0</v>
      </c>
      <c r="AD73" s="149">
        <f t="shared" si="9"/>
        <v>0</v>
      </c>
      <c r="AE73" s="8"/>
      <c r="AF73" s="8"/>
      <c r="AG73" s="5"/>
      <c r="AH73" s="44">
        <v>110240</v>
      </c>
      <c r="AI73" s="44">
        <v>110241</v>
      </c>
      <c r="AJ73" s="44">
        <v>110242</v>
      </c>
      <c r="AK73" s="44">
        <v>110243</v>
      </c>
      <c r="AL73" s="44">
        <v>110244</v>
      </c>
      <c r="AM73" s="44">
        <v>110245</v>
      </c>
      <c r="AN73" s="44">
        <v>110246</v>
      </c>
      <c r="AO73" s="44">
        <v>110247</v>
      </c>
      <c r="AP73" s="44">
        <v>110248</v>
      </c>
      <c r="AQ73" s="44">
        <v>110249</v>
      </c>
    </row>
    <row r="74" spans="1:55" ht="32.1" customHeight="1">
      <c r="A74" s="98"/>
      <c r="B74" s="79" t="str">
        <f>VLOOKUP(878,Sprachindex!$A:$Z,Info!$O$7,FALSE)</f>
        <v>Stk.</v>
      </c>
      <c r="C74" s="81"/>
      <c r="D74" s="78">
        <f t="shared" si="12"/>
        <v>0</v>
      </c>
      <c r="E74" s="561" t="str">
        <f>VLOOKUP(364,Sprachindex!$A:$Z,Info!$O$7,FALSE)</f>
        <v>Entlüftungshaube (⌀ 100; glatt)</v>
      </c>
      <c r="F74" s="562"/>
      <c r="G74" s="562"/>
      <c r="H74" s="562"/>
      <c r="I74" s="562"/>
      <c r="J74" s="562"/>
      <c r="K74" s="563"/>
      <c r="L74" s="79" t="str">
        <f t="shared" si="10"/>
        <v/>
      </c>
      <c r="M74" s="433" t="str">
        <f t="shared" si="0"/>
        <v>Stk.</v>
      </c>
      <c r="N74" s="80"/>
      <c r="O74" s="202" t="str">
        <f t="shared" si="11"/>
        <v/>
      </c>
      <c r="P74" s="5"/>
      <c r="Q74" s="5"/>
      <c r="R74" s="200">
        <v>186.5</v>
      </c>
      <c r="S74" s="195"/>
      <c r="T74" s="5"/>
      <c r="U74" s="5"/>
      <c r="V74" s="5"/>
      <c r="W74" s="5"/>
      <c r="X74" s="5"/>
      <c r="Y74" s="5"/>
      <c r="Z74" s="5"/>
      <c r="AA74" s="5"/>
      <c r="AB74" s="5"/>
      <c r="AC74" s="149">
        <f>ROUNDUP($A74,0)</f>
        <v>0</v>
      </c>
      <c r="AD74" s="149">
        <f t="shared" si="9"/>
        <v>0</v>
      </c>
      <c r="AE74" s="8"/>
      <c r="AF74" s="8"/>
      <c r="AG74" s="5"/>
      <c r="AH74" s="44">
        <v>110280</v>
      </c>
      <c r="AI74" s="44">
        <v>110281</v>
      </c>
      <c r="AJ74" s="44">
        <v>110282</v>
      </c>
      <c r="AK74" s="44">
        <v>110283</v>
      </c>
      <c r="AL74" s="44">
        <v>110284</v>
      </c>
      <c r="AM74" s="44">
        <v>110285</v>
      </c>
      <c r="AN74" s="44">
        <v>110286</v>
      </c>
      <c r="AO74" s="44">
        <v>110287</v>
      </c>
      <c r="AP74" s="44">
        <v>110288</v>
      </c>
      <c r="AQ74" s="44">
        <v>110289</v>
      </c>
    </row>
    <row r="75" spans="1:55" ht="32.1" customHeight="1">
      <c r="A75" s="98"/>
      <c r="B75" s="79" t="str">
        <f>VLOOKUP(878,Sprachindex!$A:$Z,Info!$O$7,FALSE)</f>
        <v>Stk.</v>
      </c>
      <c r="C75" s="81"/>
      <c r="D75" s="78">
        <f t="shared" si="12"/>
        <v>0</v>
      </c>
      <c r="E75" s="561" t="str">
        <f>VLOOKUP(366,Sprachindex!$A:$Z,Info!$O$7,FALSE)</f>
        <v>Entlüftungsrohr (⌀ 100; passend für HT-Rohr [NW 110])</v>
      </c>
      <c r="F75" s="562"/>
      <c r="G75" s="562"/>
      <c r="H75" s="562"/>
      <c r="I75" s="562"/>
      <c r="J75" s="562"/>
      <c r="K75" s="563"/>
      <c r="L75" s="79" t="str">
        <f t="shared" si="10"/>
        <v/>
      </c>
      <c r="M75" s="433" t="str">
        <f t="shared" si="0"/>
        <v>Stk.</v>
      </c>
      <c r="N75" s="80"/>
      <c r="O75" s="202" t="str">
        <f t="shared" si="11"/>
        <v/>
      </c>
      <c r="P75" s="5"/>
      <c r="Q75" s="5"/>
      <c r="R75" s="200">
        <v>76.77</v>
      </c>
      <c r="S75" s="195"/>
      <c r="T75" s="5"/>
      <c r="U75" s="5"/>
      <c r="V75" s="5"/>
      <c r="W75" s="5"/>
      <c r="X75" s="5"/>
      <c r="Y75" s="5"/>
      <c r="Z75" s="5"/>
      <c r="AA75" s="5"/>
      <c r="AB75" s="5"/>
      <c r="AC75" s="149">
        <f>ROUNDUP($A75,0)</f>
        <v>0</v>
      </c>
      <c r="AD75" s="149">
        <f t="shared" si="9"/>
        <v>0</v>
      </c>
      <c r="AE75" s="8"/>
      <c r="AF75" s="8"/>
      <c r="AG75" s="5"/>
      <c r="AH75" s="44">
        <v>110200</v>
      </c>
      <c r="AI75" s="44">
        <v>110201</v>
      </c>
      <c r="AJ75" s="44">
        <v>110202</v>
      </c>
      <c r="AK75" s="44">
        <v>110203</v>
      </c>
      <c r="AL75" s="44">
        <v>110204</v>
      </c>
      <c r="AM75" s="44">
        <v>110205</v>
      </c>
      <c r="AN75" s="44">
        <v>110206</v>
      </c>
      <c r="AO75" s="44">
        <v>110207</v>
      </c>
      <c r="AP75" s="44">
        <v>110208</v>
      </c>
      <c r="AQ75" s="44">
        <v>121015</v>
      </c>
    </row>
    <row r="76" spans="1:55" ht="32.1" customHeight="1">
      <c r="A76" s="98"/>
      <c r="B76" s="79" t="str">
        <f>VLOOKUP(878,Sprachindex!$A:$Z,Info!$O$7,FALSE)</f>
        <v>Stk.</v>
      </c>
      <c r="C76" s="81"/>
      <c r="D76" s="78">
        <f t="shared" si="12"/>
        <v>0</v>
      </c>
      <c r="E76" s="561" t="str">
        <f>VLOOKUP(368,Sprachindex!$A:$Z,Info!$O$7,FALSE)</f>
        <v>Entlüftungsrohr (⌀ 120; passend für HT-Rohr [NW 125])</v>
      </c>
      <c r="F76" s="562"/>
      <c r="G76" s="562"/>
      <c r="H76" s="562"/>
      <c r="I76" s="562"/>
      <c r="J76" s="562"/>
      <c r="K76" s="563"/>
      <c r="L76" s="79" t="str">
        <f t="shared" si="10"/>
        <v/>
      </c>
      <c r="M76" s="433" t="str">
        <f t="shared" si="0"/>
        <v>Stk.</v>
      </c>
      <c r="N76" s="80"/>
      <c r="O76" s="202" t="str">
        <f t="shared" si="11"/>
        <v/>
      </c>
      <c r="P76" s="5"/>
      <c r="Q76" s="5"/>
      <c r="R76" s="200">
        <v>81.41</v>
      </c>
      <c r="S76" s="195"/>
      <c r="T76" s="5"/>
      <c r="U76" s="5"/>
      <c r="V76" s="5"/>
      <c r="W76" s="5"/>
      <c r="X76" s="5"/>
      <c r="Y76" s="5"/>
      <c r="Z76" s="5"/>
      <c r="AA76" s="5"/>
      <c r="AB76" s="5"/>
      <c r="AC76" s="149">
        <f>ROUNDUP($A76,0)</f>
        <v>0</v>
      </c>
      <c r="AD76" s="149">
        <f t="shared" si="9"/>
        <v>0</v>
      </c>
      <c r="AE76" s="8"/>
      <c r="AF76" s="8"/>
      <c r="AG76" s="5"/>
      <c r="AH76" s="44">
        <v>110210</v>
      </c>
      <c r="AI76" s="44">
        <v>110211</v>
      </c>
      <c r="AJ76" s="44">
        <v>110212</v>
      </c>
      <c r="AK76" s="44">
        <v>110213</v>
      </c>
      <c r="AL76" s="44">
        <v>110214</v>
      </c>
      <c r="AM76" s="44">
        <v>110215</v>
      </c>
      <c r="AN76" s="44">
        <v>110216</v>
      </c>
      <c r="AO76" s="44">
        <v>110217</v>
      </c>
      <c r="AP76" s="44">
        <v>110218</v>
      </c>
      <c r="AQ76" s="44">
        <v>121025</v>
      </c>
    </row>
    <row r="77" spans="1:55" ht="32.1" customHeight="1">
      <c r="A77" s="98"/>
      <c r="B77" s="79" t="str">
        <f>VLOOKUP(878,Sprachindex!$A:$Z,Info!$O$7,FALSE)</f>
        <v>Stk.</v>
      </c>
      <c r="C77" s="81"/>
      <c r="D77" s="83">
        <v>340943</v>
      </c>
      <c r="E77" s="561" t="str">
        <f>VLOOKUP(379,Sprachindex!$A:$Z,Info!$O$7,FALSE)</f>
        <v>Faltmanschette (Ø 100–130)</v>
      </c>
      <c r="F77" s="562"/>
      <c r="G77" s="562"/>
      <c r="H77" s="562"/>
      <c r="I77" s="562"/>
      <c r="J77" s="562"/>
      <c r="K77" s="563"/>
      <c r="L77" s="79" t="str">
        <f t="shared" si="10"/>
        <v/>
      </c>
      <c r="M77" s="433" t="str">
        <f t="shared" si="0"/>
        <v>Stk.</v>
      </c>
      <c r="N77" s="80"/>
      <c r="O77" s="202" t="str">
        <f t="shared" si="11"/>
        <v/>
      </c>
      <c r="P77" s="5"/>
      <c r="Q77" s="5"/>
      <c r="R77" s="200">
        <v>37.729999999999997</v>
      </c>
      <c r="S77" s="195"/>
      <c r="T77" s="5"/>
      <c r="U77" s="5"/>
      <c r="V77" s="5"/>
      <c r="W77" s="5"/>
      <c r="X77" s="5"/>
      <c r="Y77" s="5"/>
      <c r="Z77" s="5"/>
      <c r="AA77" s="5"/>
      <c r="AB77" s="5"/>
      <c r="AC77" s="149">
        <f>ROUNDUP($A77,0)</f>
        <v>0</v>
      </c>
      <c r="AD77" s="149">
        <f t="shared" si="9"/>
        <v>0</v>
      </c>
      <c r="AE77" s="8"/>
      <c r="AF77" s="8"/>
      <c r="AG77" s="5"/>
      <c r="AH77" s="47" t="s">
        <v>33</v>
      </c>
      <c r="AI77" s="47" t="s">
        <v>34</v>
      </c>
      <c r="AJ77" s="47" t="s">
        <v>35</v>
      </c>
      <c r="AK77" s="47" t="s">
        <v>36</v>
      </c>
      <c r="AL77" s="47" t="s">
        <v>37</v>
      </c>
      <c r="AM77" s="47" t="s">
        <v>38</v>
      </c>
      <c r="AN77" s="47" t="s">
        <v>39</v>
      </c>
      <c r="AO77" s="47" t="s">
        <v>40</v>
      </c>
      <c r="AP77" s="47" t="s">
        <v>41</v>
      </c>
      <c r="AQ77" s="47" t="s">
        <v>42</v>
      </c>
      <c r="AR77" s="47" t="s">
        <v>33</v>
      </c>
      <c r="AS77" s="47" t="s">
        <v>34</v>
      </c>
      <c r="AT77" s="47" t="s">
        <v>35</v>
      </c>
      <c r="AU77" s="47" t="s">
        <v>36</v>
      </c>
      <c r="AV77" s="47" t="s">
        <v>37</v>
      </c>
      <c r="AW77" s="47" t="s">
        <v>38</v>
      </c>
      <c r="AX77" s="47" t="s">
        <v>39</v>
      </c>
      <c r="AY77" s="47" t="s">
        <v>40</v>
      </c>
      <c r="AZ77" s="47" t="s">
        <v>41</v>
      </c>
      <c r="BA77" s="47" t="s">
        <v>42</v>
      </c>
    </row>
    <row r="78" spans="1:55" ht="32.1" customHeight="1">
      <c r="A78" s="98"/>
      <c r="B78" s="79" t="str">
        <f>VLOOKUP(878,Sprachindex!$A:$Z,Info!$O$7,FALSE)</f>
        <v>Stk.</v>
      </c>
      <c r="C78" s="81"/>
      <c r="D78" s="78">
        <f>IF($O$9=1,BC78,BB78)</f>
        <v>0</v>
      </c>
      <c r="E78" s="561" t="str">
        <f>IF($O$9=1,VLOOKUP(2945,Sprachindex!$A:$Z,Info!$O$7,FALSE),VLOOKUP(1421,Sprachindex!$A:$Z,Info!$O$7,FALSE))</f>
        <v>Unterlagsplatte für DR44, DS.19; glatt</v>
      </c>
      <c r="F78" s="562"/>
      <c r="G78" s="562"/>
      <c r="H78" s="562"/>
      <c r="I78" s="562"/>
      <c r="J78" s="562"/>
      <c r="K78" s="563"/>
      <c r="L78" s="79" t="str">
        <f t="shared" si="10"/>
        <v/>
      </c>
      <c r="M78" s="433" t="str">
        <f t="shared" si="0"/>
        <v>Stk.</v>
      </c>
      <c r="N78" s="80"/>
      <c r="O78" s="202" t="str">
        <f t="shared" si="11"/>
        <v/>
      </c>
      <c r="P78" s="5"/>
      <c r="Q78" s="5"/>
      <c r="R78" s="200">
        <v>10.72</v>
      </c>
      <c r="S78" s="195"/>
      <c r="T78" s="5"/>
      <c r="U78" s="5"/>
      <c r="V78" s="5"/>
      <c r="W78" s="5"/>
      <c r="X78" s="5"/>
      <c r="Y78" s="5"/>
      <c r="Z78" s="5"/>
      <c r="AA78" s="5"/>
      <c r="AB78" s="5"/>
      <c r="AC78" s="149">
        <f>ROUNDUP($A78/10,0)*10</f>
        <v>0</v>
      </c>
      <c r="AD78" s="149">
        <f t="shared" si="9"/>
        <v>0</v>
      </c>
      <c r="AE78" s="8"/>
      <c r="AF78" s="8"/>
      <c r="AG78" s="5"/>
      <c r="AH78" s="470">
        <v>112381</v>
      </c>
      <c r="AI78" s="470">
        <v>112382</v>
      </c>
      <c r="AJ78" s="470">
        <v>112383</v>
      </c>
      <c r="AK78" s="470">
        <v>1123824</v>
      </c>
      <c r="AL78" s="470">
        <v>112385</v>
      </c>
      <c r="AM78" s="470">
        <v>112386</v>
      </c>
      <c r="AN78" s="470">
        <v>112388</v>
      </c>
      <c r="AO78" s="470">
        <v>122387</v>
      </c>
      <c r="AP78" s="470">
        <v>112389</v>
      </c>
      <c r="AQ78" s="470"/>
      <c r="AR78" s="469">
        <v>112361</v>
      </c>
      <c r="AS78" s="469">
        <v>112362</v>
      </c>
      <c r="AT78" s="469">
        <v>112363</v>
      </c>
      <c r="AU78" s="469">
        <v>112364</v>
      </c>
      <c r="AV78" s="469">
        <v>112365</v>
      </c>
      <c r="AW78" s="469">
        <v>112366</v>
      </c>
      <c r="AX78" s="469">
        <v>112368</v>
      </c>
      <c r="AY78" s="469">
        <v>122367</v>
      </c>
      <c r="AZ78" s="469">
        <v>122369</v>
      </c>
      <c r="BA78" s="469">
        <v>112370</v>
      </c>
      <c r="BB78" s="468">
        <f>IF($O$21=1,AH78,IF($O$21=4,AI78,IF($O$21=5,AJ78,IF($O$21=11,AK78,IF($O$21=7,AL78,IF($O$21=3,AM78,IF($O$21=6,AN78,IF($O$21=9,AO78,IF($O$21=2,AP78,IF($O$21=8,AQ78,0))))))))))</f>
        <v>0</v>
      </c>
      <c r="BC78" s="468">
        <f>IF($O$21=1,AR78,IF($O$21=4,AS78,IF($O$21=5,AT78,IF($O$21=11,AU78,IF($O$21=7,AV78,IF($O$21=3,AW78,IF($O$21=6,AX78,IF($O$21=9,AY78,IF($O$21=2,AZ78,IF($O$21=8,BA78,0))))))))))</f>
        <v>0</v>
      </c>
    </row>
    <row r="79" spans="1:55" ht="32.1" customHeight="1">
      <c r="A79" s="98"/>
      <c r="B79" s="79" t="str">
        <f>VLOOKUP(878,Sprachindex!$A:$Z,Info!$O$7,FALSE)</f>
        <v>Stk.</v>
      </c>
      <c r="C79" s="81"/>
      <c r="D79" s="78">
        <f t="shared" ref="D79:D93" si="13">IF($O$21=1,AH79,IF($O$21=4,AI79,IF($O$21=5,AJ79,IF($O$21=11,AK79,IF($O$21=7,AL79,IF($O$21=3,AM79,IF($O$21=6,AN79,IF($O$21=9,AO79,IF($O$21=2,AP79,IF($O$21=8,AQ79,0))))))))))</f>
        <v>0</v>
      </c>
      <c r="E79" s="561" t="str">
        <f>VLOOKUP(798,Sprachindex!$A:$Z,Info!$O$7,FALSE)</f>
        <v>Schneestopper für Dachplatte R.16, FX.12 und DS.19</v>
      </c>
      <c r="F79" s="562"/>
      <c r="G79" s="562"/>
      <c r="H79" s="562"/>
      <c r="I79" s="562"/>
      <c r="J79" s="562"/>
      <c r="K79" s="563"/>
      <c r="L79" s="79" t="str">
        <f t="shared" si="10"/>
        <v/>
      </c>
      <c r="M79" s="433" t="str">
        <f t="shared" si="0"/>
        <v>Stk.</v>
      </c>
      <c r="N79" s="80"/>
      <c r="O79" s="202" t="str">
        <f t="shared" ref="O79:O102" si="14">IF(ISNUMBER(A79),$L79*R79, "")</f>
        <v/>
      </c>
      <c r="P79" s="5"/>
      <c r="Q79" s="5"/>
      <c r="R79" s="200">
        <v>1.74</v>
      </c>
      <c r="S79" s="195">
        <v>53.06</v>
      </c>
      <c r="T79" s="5"/>
      <c r="U79" s="5"/>
      <c r="V79" s="5"/>
      <c r="W79" s="5"/>
      <c r="X79" s="5"/>
      <c r="Y79" s="5"/>
      <c r="Z79" s="5"/>
      <c r="AA79" s="5"/>
      <c r="AB79" s="5"/>
      <c r="AC79" s="149">
        <f>ROUNDUP($A79/100,0)*100</f>
        <v>0</v>
      </c>
      <c r="AD79" s="149">
        <f t="shared" si="9"/>
        <v>0</v>
      </c>
      <c r="AE79" s="8"/>
      <c r="AF79" s="8"/>
      <c r="AG79" s="5"/>
      <c r="AH79" s="44">
        <v>112041</v>
      </c>
      <c r="AI79" s="44">
        <v>112042</v>
      </c>
      <c r="AJ79" s="44">
        <v>112043</v>
      </c>
      <c r="AK79" s="44">
        <v>112044</v>
      </c>
      <c r="AL79" s="44">
        <v>112045</v>
      </c>
      <c r="AM79" s="44">
        <v>112046</v>
      </c>
      <c r="AN79" s="44">
        <v>112048</v>
      </c>
      <c r="AO79" s="44">
        <v>112047</v>
      </c>
      <c r="AP79" s="44">
        <v>112049</v>
      </c>
      <c r="AQ79" s="44">
        <v>112050</v>
      </c>
    </row>
    <row r="80" spans="1:55" ht="32.1" customHeight="1">
      <c r="A80" s="98"/>
      <c r="B80" s="79" t="str">
        <f>VLOOKUP(878,Sprachindex!$A:$Z,Info!$O$7,FALSE)</f>
        <v>Stk.</v>
      </c>
      <c r="C80" s="81"/>
      <c r="D80" s="78">
        <f t="shared" si="13"/>
        <v>0</v>
      </c>
      <c r="E80" s="561" t="str">
        <f>VLOOKUP(2190,Sprachindex!$A:$Z,Info!$O$7,FALSE)</f>
        <v>Haken für Schneerechensystem, inkl. Befestigungsmaterial</v>
      </c>
      <c r="F80" s="562"/>
      <c r="G80" s="562"/>
      <c r="H80" s="562"/>
      <c r="I80" s="562"/>
      <c r="J80" s="562"/>
      <c r="K80" s="563"/>
      <c r="L80" s="79" t="str">
        <f t="shared" si="10"/>
        <v/>
      </c>
      <c r="M80" s="433" t="str">
        <f t="shared" si="0"/>
        <v>Stk.</v>
      </c>
      <c r="N80" s="80"/>
      <c r="O80" s="202" t="str">
        <f t="shared" si="14"/>
        <v/>
      </c>
      <c r="P80" s="5"/>
      <c r="Q80" s="5"/>
      <c r="R80" s="200">
        <v>55.82</v>
      </c>
      <c r="S80" s="195">
        <v>90</v>
      </c>
      <c r="T80" s="5"/>
      <c r="U80" s="5"/>
      <c r="V80" s="5"/>
      <c r="W80" s="5"/>
      <c r="X80" s="5"/>
      <c r="Y80" s="5"/>
      <c r="Z80" s="5"/>
      <c r="AA80" s="5"/>
      <c r="AB80" s="5"/>
      <c r="AC80" s="149">
        <f>ROUNDUP($A80/10,0)*10</f>
        <v>0</v>
      </c>
      <c r="AD80" s="149">
        <f t="shared" si="9"/>
        <v>0</v>
      </c>
      <c r="AE80" s="8"/>
      <c r="AF80" s="8"/>
      <c r="AG80" s="5"/>
      <c r="AH80" s="44">
        <v>120180</v>
      </c>
      <c r="AI80" s="44">
        <v>120181</v>
      </c>
      <c r="AJ80" s="44">
        <v>120182</v>
      </c>
      <c r="AK80" s="44">
        <v>120183</v>
      </c>
      <c r="AL80" s="44">
        <v>120184</v>
      </c>
      <c r="AM80" s="44">
        <v>120185</v>
      </c>
      <c r="AN80" s="44">
        <v>120186</v>
      </c>
      <c r="AO80" s="44">
        <v>120187</v>
      </c>
      <c r="AP80" s="44">
        <v>120188</v>
      </c>
      <c r="AQ80" s="44">
        <v>120189</v>
      </c>
    </row>
    <row r="81" spans="1:43" ht="32.1" customHeight="1">
      <c r="A81" s="98"/>
      <c r="B81" s="79" t="str">
        <f>VLOOKUP(878,Sprachindex!$A:$Z,Info!$O$7,FALSE)</f>
        <v>Stk.</v>
      </c>
      <c r="C81" s="81"/>
      <c r="D81" s="78">
        <v>515396</v>
      </c>
      <c r="E81" s="561" t="str">
        <f>VLOOKUP(2191,Sprachindex!$A:$Z,Info!$O$7,FALSE)</f>
        <v>Haken für Schneerechensystem XL, inkl. Befestigungsmaterial</v>
      </c>
      <c r="F81" s="562"/>
      <c r="G81" s="562"/>
      <c r="H81" s="562"/>
      <c r="I81" s="562"/>
      <c r="J81" s="562"/>
      <c r="K81" s="563"/>
      <c r="L81" s="79" t="str">
        <f t="shared" si="10"/>
        <v/>
      </c>
      <c r="M81" s="433" t="str">
        <f t="shared" si="0"/>
        <v>Stk.</v>
      </c>
      <c r="N81" s="80"/>
      <c r="O81" s="202" t="str">
        <f t="shared" si="14"/>
        <v/>
      </c>
      <c r="P81" s="5"/>
      <c r="Q81" s="5"/>
      <c r="R81" s="200">
        <v>97.9</v>
      </c>
      <c r="S81" s="195">
        <v>6.83</v>
      </c>
      <c r="T81" s="5"/>
      <c r="U81" s="5"/>
      <c r="V81" s="5"/>
      <c r="W81" s="5"/>
      <c r="X81" s="5"/>
      <c r="Y81" s="5"/>
      <c r="Z81" s="5"/>
      <c r="AA81" s="5"/>
      <c r="AB81" s="5"/>
      <c r="AC81" s="149">
        <f>ROUNDUP($A81/18,0)*18</f>
        <v>0</v>
      </c>
      <c r="AD81" s="149">
        <f t="shared" si="9"/>
        <v>0</v>
      </c>
      <c r="AE81" s="8"/>
      <c r="AF81" s="8"/>
      <c r="AG81" s="5"/>
      <c r="AH81" s="44"/>
      <c r="AI81" s="44"/>
      <c r="AJ81" s="44"/>
      <c r="AK81" s="44"/>
      <c r="AL81" s="44"/>
      <c r="AM81" s="44"/>
      <c r="AN81" s="44"/>
      <c r="AO81" s="44"/>
      <c r="AP81" s="44"/>
      <c r="AQ81" s="44"/>
    </row>
    <row r="82" spans="1:43" ht="32.1" customHeight="1">
      <c r="A82" s="98"/>
      <c r="B82" s="79" t="str">
        <f>VLOOKUP(1512,Sprachindex!$A:$Z,Info!$O$7,FALSE)</f>
        <v>lfm</v>
      </c>
      <c r="C82" s="81"/>
      <c r="D82" s="78">
        <f t="shared" si="13"/>
        <v>0</v>
      </c>
      <c r="E82" s="561" t="str">
        <f>VLOOKUP(793,Sprachindex!$A:$Z,Info!$O$7,FALSE)</f>
        <v>Einlegeprofil (3.000 mm)</v>
      </c>
      <c r="F82" s="562"/>
      <c r="G82" s="562"/>
      <c r="H82" s="562"/>
      <c r="I82" s="562"/>
      <c r="J82" s="562"/>
      <c r="K82" s="563"/>
      <c r="L82" s="79" t="str">
        <f t="shared" si="10"/>
        <v/>
      </c>
      <c r="M82" s="433" t="str">
        <f t="shared" si="0"/>
        <v>lfm</v>
      </c>
      <c r="N82" s="80"/>
      <c r="O82" s="202" t="str">
        <f t="shared" si="14"/>
        <v/>
      </c>
      <c r="P82" s="5"/>
      <c r="Q82" s="5"/>
      <c r="R82" s="200">
        <v>10.71</v>
      </c>
      <c r="S82" s="195">
        <v>4.32</v>
      </c>
      <c r="T82" s="5"/>
      <c r="U82" s="5"/>
      <c r="V82" s="5"/>
      <c r="W82" s="5"/>
      <c r="X82" s="5"/>
      <c r="Y82" s="5"/>
      <c r="Z82" s="5"/>
      <c r="AA82" s="5"/>
      <c r="AB82" s="5"/>
      <c r="AC82" s="149">
        <f>ROUNDUP($A82/3,0)*3</f>
        <v>0</v>
      </c>
      <c r="AD82" s="149">
        <f>ROUNDUP($A82/3,0)*3</f>
        <v>0</v>
      </c>
      <c r="AE82" s="8"/>
      <c r="AF82" s="8"/>
      <c r="AG82" s="5"/>
      <c r="AH82" s="44">
        <v>120350</v>
      </c>
      <c r="AI82" s="44">
        <v>120351</v>
      </c>
      <c r="AJ82" s="44">
        <v>120352</v>
      </c>
      <c r="AK82" s="44">
        <v>120353</v>
      </c>
      <c r="AL82" s="44">
        <v>120354</v>
      </c>
      <c r="AM82" s="44">
        <v>120355</v>
      </c>
      <c r="AN82" s="44">
        <v>120356</v>
      </c>
      <c r="AO82" s="44">
        <v>120357</v>
      </c>
      <c r="AP82" s="44">
        <v>120358</v>
      </c>
      <c r="AQ82" s="44">
        <v>120359</v>
      </c>
    </row>
    <row r="83" spans="1:43" ht="32.1" customHeight="1">
      <c r="A83" s="98"/>
      <c r="B83" s="79" t="str">
        <f>VLOOKUP(878,Sprachindex!$A:$Z,Info!$O$7,FALSE)</f>
        <v>Stk.</v>
      </c>
      <c r="C83" s="81"/>
      <c r="D83" s="78">
        <f t="shared" si="13"/>
        <v>0</v>
      </c>
      <c r="E83" s="561" t="str">
        <f>VLOOKUP(794,Sprachindex!$A:$Z,Info!$O$7,FALSE)</f>
        <v>Eiskralle</v>
      </c>
      <c r="F83" s="562"/>
      <c r="G83" s="562"/>
      <c r="H83" s="562"/>
      <c r="I83" s="562"/>
      <c r="J83" s="562"/>
      <c r="K83" s="563"/>
      <c r="L83" s="79" t="str">
        <f t="shared" si="10"/>
        <v/>
      </c>
      <c r="M83" s="433" t="str">
        <f t="shared" si="0"/>
        <v>Stk.</v>
      </c>
      <c r="N83" s="80"/>
      <c r="O83" s="202" t="str">
        <f t="shared" si="14"/>
        <v/>
      </c>
      <c r="P83" s="5"/>
      <c r="Q83" s="5"/>
      <c r="R83" s="200">
        <v>4.6399999999999997</v>
      </c>
      <c r="S83" s="195">
        <v>6.01</v>
      </c>
      <c r="T83" s="5"/>
      <c r="U83" s="5"/>
      <c r="V83" s="5"/>
      <c r="W83" s="5"/>
      <c r="X83" s="5"/>
      <c r="Y83" s="5"/>
      <c r="Z83" s="5"/>
      <c r="AA83" s="5"/>
      <c r="AB83" s="5"/>
      <c r="AC83" s="149">
        <f>ROUNDUP($A83/100,0)*100</f>
        <v>0</v>
      </c>
      <c r="AD83" s="149">
        <f>ROUNDUP($A83,0)</f>
        <v>0</v>
      </c>
      <c r="AE83" s="8"/>
      <c r="AF83" s="8"/>
      <c r="AG83" s="5"/>
      <c r="AH83" s="44">
        <v>120700</v>
      </c>
      <c r="AI83" s="44">
        <v>120701</v>
      </c>
      <c r="AJ83" s="44">
        <v>120702</v>
      </c>
      <c r="AK83" s="44">
        <v>120703</v>
      </c>
      <c r="AL83" s="44">
        <v>120704</v>
      </c>
      <c r="AM83" s="44">
        <v>120705</v>
      </c>
      <c r="AN83" s="44">
        <v>120706</v>
      </c>
      <c r="AO83" s="44">
        <v>120707</v>
      </c>
      <c r="AP83" s="44">
        <v>120708</v>
      </c>
      <c r="AQ83" s="44">
        <v>120709</v>
      </c>
    </row>
    <row r="84" spans="1:43" ht="32.1" customHeight="1">
      <c r="A84" s="98"/>
      <c r="B84" s="79" t="str">
        <f>VLOOKUP(878,Sprachindex!$A:$Z,Info!$O$7,FALSE)</f>
        <v>Stk.</v>
      </c>
      <c r="C84" s="81"/>
      <c r="D84" s="78">
        <f t="shared" si="13"/>
        <v>0</v>
      </c>
      <c r="E84" s="561" t="str">
        <f>VLOOKUP(791,Sprachindex!$A:$Z,Info!$O$7,FALSE)</f>
        <v>Abschluss für Schneerechensystem</v>
      </c>
      <c r="F84" s="562"/>
      <c r="G84" s="562"/>
      <c r="H84" s="562"/>
      <c r="I84" s="562"/>
      <c r="J84" s="562"/>
      <c r="K84" s="563"/>
      <c r="L84" s="79" t="str">
        <f t="shared" si="10"/>
        <v/>
      </c>
      <c r="M84" s="433" t="str">
        <f t="shared" si="0"/>
        <v>Stk.</v>
      </c>
      <c r="N84" s="80"/>
      <c r="O84" s="202" t="str">
        <f t="shared" si="14"/>
        <v/>
      </c>
      <c r="P84" s="5"/>
      <c r="Q84" s="5"/>
      <c r="R84" s="200">
        <v>6.33</v>
      </c>
      <c r="S84" s="195">
        <v>6.8</v>
      </c>
      <c r="T84" s="5"/>
      <c r="U84" s="5"/>
      <c r="V84" s="5"/>
      <c r="W84" s="5"/>
      <c r="X84" s="5"/>
      <c r="Y84" s="5"/>
      <c r="Z84" s="5"/>
      <c r="AA84" s="5"/>
      <c r="AB84" s="5"/>
      <c r="AC84" s="149">
        <f>ROUNDUP($A84/2,0)*2</f>
        <v>0</v>
      </c>
      <c r="AD84" s="149">
        <f t="shared" ref="AD84:AD92" si="15">ROUNDUP($A84,0)</f>
        <v>0</v>
      </c>
      <c r="AE84" s="8"/>
      <c r="AF84" s="8"/>
      <c r="AG84" s="5"/>
      <c r="AH84" s="44">
        <v>120390</v>
      </c>
      <c r="AI84" s="44">
        <v>120391</v>
      </c>
      <c r="AJ84" s="44">
        <v>120392</v>
      </c>
      <c r="AK84" s="44">
        <v>120393</v>
      </c>
      <c r="AL84" s="44">
        <v>120394</v>
      </c>
      <c r="AM84" s="44">
        <v>120395</v>
      </c>
      <c r="AN84" s="44">
        <v>120396</v>
      </c>
      <c r="AO84" s="44">
        <v>120397</v>
      </c>
      <c r="AP84" s="44">
        <v>120398</v>
      </c>
      <c r="AQ84" s="44">
        <v>120399</v>
      </c>
    </row>
    <row r="85" spans="1:43" ht="32.1" customHeight="1">
      <c r="A85" s="98"/>
      <c r="B85" s="79" t="str">
        <f>VLOOKUP(878,Sprachindex!$A:$Z,Info!$O$7,FALSE)</f>
        <v>Stk.</v>
      </c>
      <c r="C85" s="81"/>
      <c r="D85" s="78">
        <v>515395</v>
      </c>
      <c r="E85" s="561" t="str">
        <f>VLOOKUP(2192,Sprachindex!$A:$Z,Info!$O$7,FALSE)</f>
        <v>Abschluss für Schneerechensystem XL</v>
      </c>
      <c r="F85" s="562"/>
      <c r="G85" s="562"/>
      <c r="H85" s="562"/>
      <c r="I85" s="562"/>
      <c r="J85" s="562"/>
      <c r="K85" s="563"/>
      <c r="L85" s="79" t="str">
        <f t="shared" si="10"/>
        <v/>
      </c>
      <c r="M85" s="433" t="str">
        <f t="shared" si="0"/>
        <v>Stk.</v>
      </c>
      <c r="N85" s="80"/>
      <c r="O85" s="202" t="str">
        <f t="shared" si="14"/>
        <v/>
      </c>
      <c r="P85" s="5"/>
      <c r="Q85" s="5"/>
      <c r="R85" s="200">
        <v>8.3000000000000007</v>
      </c>
      <c r="S85" s="195">
        <v>53.06</v>
      </c>
      <c r="T85" s="5"/>
      <c r="U85" s="5"/>
      <c r="V85" s="5"/>
      <c r="W85" s="5"/>
      <c r="X85" s="5"/>
      <c r="Y85" s="5"/>
      <c r="Z85" s="5"/>
      <c r="AA85" s="5"/>
      <c r="AB85" s="5"/>
      <c r="AC85" s="149">
        <f>ROUNDUP($A85/18,0)*18</f>
        <v>0</v>
      </c>
      <c r="AD85" s="149">
        <f t="shared" si="15"/>
        <v>0</v>
      </c>
      <c r="AE85" s="8"/>
      <c r="AF85" s="8"/>
      <c r="AG85" s="5"/>
      <c r="AH85" s="44"/>
      <c r="AI85" s="44"/>
      <c r="AJ85" s="44"/>
      <c r="AK85" s="44"/>
      <c r="AL85" s="44"/>
      <c r="AM85" s="44"/>
      <c r="AN85" s="44"/>
      <c r="AO85" s="44"/>
      <c r="AP85" s="44"/>
      <c r="AQ85" s="44"/>
    </row>
    <row r="86" spans="1:43" ht="32.1" customHeight="1">
      <c r="A86" s="98"/>
      <c r="B86" s="79" t="str">
        <f>VLOOKUP(878,Sprachindex!$A:$Z,Info!$O$7,FALSE)</f>
        <v>Stk.</v>
      </c>
      <c r="C86" s="81"/>
      <c r="D86" s="78">
        <f t="shared" si="13"/>
        <v>0</v>
      </c>
      <c r="E86" s="561" t="str">
        <f>VLOOKUP(424,Sprachindex!$A:$Z,Info!$O$7,FALSE)</f>
        <v>Gebirgsschneefangstütze</v>
      </c>
      <c r="F86" s="562"/>
      <c r="G86" s="562"/>
      <c r="H86" s="562"/>
      <c r="I86" s="562"/>
      <c r="J86" s="562"/>
      <c r="K86" s="563"/>
      <c r="L86" s="79" t="str">
        <f t="shared" si="10"/>
        <v/>
      </c>
      <c r="M86" s="433" t="str">
        <f t="shared" si="0"/>
        <v>Stk.</v>
      </c>
      <c r="N86" s="80"/>
      <c r="O86" s="202" t="str">
        <f t="shared" si="14"/>
        <v/>
      </c>
      <c r="P86" s="5"/>
      <c r="Q86" s="5"/>
      <c r="R86" s="200">
        <v>55.82</v>
      </c>
      <c r="S86" s="195">
        <v>124.1</v>
      </c>
      <c r="T86" s="5"/>
      <c r="U86" s="5"/>
      <c r="V86" s="5"/>
      <c r="W86" s="5"/>
      <c r="X86" s="5"/>
      <c r="Y86" s="5"/>
      <c r="Z86" s="5"/>
      <c r="AA86" s="5"/>
      <c r="AB86" s="5"/>
      <c r="AC86" s="149">
        <f>ROUNDUP($A86/2,0)*2</f>
        <v>0</v>
      </c>
      <c r="AD86" s="149">
        <f t="shared" si="15"/>
        <v>0</v>
      </c>
      <c r="AE86" s="8"/>
      <c r="AF86" s="8"/>
      <c r="AG86" s="5"/>
      <c r="AH86" s="44">
        <v>120150</v>
      </c>
      <c r="AI86" s="44">
        <v>120151</v>
      </c>
      <c r="AJ86" s="44">
        <v>120152</v>
      </c>
      <c r="AK86" s="44">
        <v>120153</v>
      </c>
      <c r="AL86" s="44">
        <v>120154</v>
      </c>
      <c r="AM86" s="44">
        <v>120155</v>
      </c>
      <c r="AN86" s="44">
        <v>120156</v>
      </c>
      <c r="AO86" s="44">
        <v>120157</v>
      </c>
      <c r="AP86" s="44">
        <v>120158</v>
      </c>
      <c r="AQ86" s="44">
        <v>120159</v>
      </c>
    </row>
    <row r="87" spans="1:43" ht="32.1" customHeight="1">
      <c r="A87" s="98"/>
      <c r="B87" s="79" t="str">
        <f>VLOOKUP(878,Sprachindex!$A:$Z,Info!$O$7,FALSE)</f>
        <v>Stk.</v>
      </c>
      <c r="C87" s="81"/>
      <c r="D87" s="78">
        <f t="shared" si="13"/>
        <v>0</v>
      </c>
      <c r="E87" s="561" t="str">
        <f>VLOOKUP(510,Sprachindex!$A:$Z,Info!$O$7,FALSE)</f>
        <v>Kaminhut (700 × 700 mm)</v>
      </c>
      <c r="F87" s="562"/>
      <c r="G87" s="562"/>
      <c r="H87" s="562"/>
      <c r="I87" s="562"/>
      <c r="J87" s="562"/>
      <c r="K87" s="563"/>
      <c r="L87" s="79" t="str">
        <f t="shared" si="10"/>
        <v/>
      </c>
      <c r="M87" s="433" t="str">
        <f t="shared" si="0"/>
        <v>Stk.</v>
      </c>
      <c r="N87" s="80"/>
      <c r="O87" s="202" t="str">
        <f t="shared" si="14"/>
        <v/>
      </c>
      <c r="P87" s="5"/>
      <c r="Q87" s="5"/>
      <c r="R87" s="200">
        <v>152.69999999999999</v>
      </c>
      <c r="S87" s="195">
        <v>133.69999999999999</v>
      </c>
      <c r="T87" s="5"/>
      <c r="U87" s="5"/>
      <c r="V87" s="5"/>
      <c r="W87" s="5"/>
      <c r="X87" s="5"/>
      <c r="Y87" s="5"/>
      <c r="Z87" s="5"/>
      <c r="AA87" s="5"/>
      <c r="AB87" s="5"/>
      <c r="AC87" s="149">
        <f>ROUNDUP($A87,0)</f>
        <v>0</v>
      </c>
      <c r="AD87" s="149">
        <f t="shared" si="15"/>
        <v>0</v>
      </c>
      <c r="AE87" s="8"/>
      <c r="AF87" s="8"/>
      <c r="AG87" s="5"/>
      <c r="AH87" s="44">
        <v>110420</v>
      </c>
      <c r="AI87" s="44">
        <v>110421</v>
      </c>
      <c r="AJ87" s="44">
        <v>110422</v>
      </c>
      <c r="AK87" s="44">
        <v>110423</v>
      </c>
      <c r="AL87" s="44">
        <v>110424</v>
      </c>
      <c r="AM87" s="44">
        <v>110425</v>
      </c>
      <c r="AN87" s="44">
        <v>110426</v>
      </c>
      <c r="AO87" s="44">
        <v>110427</v>
      </c>
      <c r="AP87" s="44">
        <v>110428</v>
      </c>
      <c r="AQ87" s="44">
        <v>110429</v>
      </c>
    </row>
    <row r="88" spans="1:43" ht="32.1" customHeight="1">
      <c r="A88" s="98"/>
      <c r="B88" s="79" t="str">
        <f>VLOOKUP(878,Sprachindex!$A:$Z,Info!$O$7,FALSE)</f>
        <v>Stk.</v>
      </c>
      <c r="C88" s="81"/>
      <c r="D88" s="78">
        <f t="shared" si="13"/>
        <v>0</v>
      </c>
      <c r="E88" s="561" t="str">
        <f>VLOOKUP(511,Sprachindex!$A:$Z,Info!$O$7,FALSE)</f>
        <v>Kaminhut (800 × 800 mm)</v>
      </c>
      <c r="F88" s="562"/>
      <c r="G88" s="562"/>
      <c r="H88" s="562"/>
      <c r="I88" s="562"/>
      <c r="J88" s="562"/>
      <c r="K88" s="563"/>
      <c r="L88" s="79" t="str">
        <f t="shared" si="10"/>
        <v/>
      </c>
      <c r="M88" s="433" t="str">
        <f t="shared" si="0"/>
        <v>Stk.</v>
      </c>
      <c r="N88" s="80"/>
      <c r="O88" s="202" t="str">
        <f t="shared" si="14"/>
        <v/>
      </c>
      <c r="P88" s="5"/>
      <c r="Q88" s="5"/>
      <c r="R88" s="200">
        <v>165</v>
      </c>
      <c r="S88" s="195">
        <v>144.1</v>
      </c>
      <c r="T88" s="5"/>
      <c r="U88" s="5"/>
      <c r="V88" s="5"/>
      <c r="W88" s="5"/>
      <c r="X88" s="5"/>
      <c r="Y88" s="5"/>
      <c r="Z88" s="5"/>
      <c r="AA88" s="5"/>
      <c r="AB88" s="5"/>
      <c r="AC88" s="149">
        <f>ROUNDUP($A88,0)</f>
        <v>0</v>
      </c>
      <c r="AD88" s="149">
        <f t="shared" si="15"/>
        <v>0</v>
      </c>
      <c r="AE88" s="8"/>
      <c r="AF88" s="8"/>
      <c r="AG88" s="5"/>
      <c r="AH88" s="44">
        <v>110430</v>
      </c>
      <c r="AI88" s="44">
        <v>110431</v>
      </c>
      <c r="AJ88" s="44">
        <v>110432</v>
      </c>
      <c r="AK88" s="44">
        <v>110433</v>
      </c>
      <c r="AL88" s="44">
        <v>110434</v>
      </c>
      <c r="AM88" s="44">
        <v>110435</v>
      </c>
      <c r="AN88" s="44">
        <v>110436</v>
      </c>
      <c r="AO88" s="44">
        <v>110437</v>
      </c>
      <c r="AP88" s="44">
        <v>110438</v>
      </c>
      <c r="AQ88" s="44">
        <v>110439</v>
      </c>
    </row>
    <row r="89" spans="1:43" ht="32.1" customHeight="1">
      <c r="A89" s="98"/>
      <c r="B89" s="79" t="str">
        <f>VLOOKUP(878,Sprachindex!$A:$Z,Info!$O$7,FALSE)</f>
        <v>Stk.</v>
      </c>
      <c r="C89" s="81"/>
      <c r="D89" s="78">
        <f t="shared" si="13"/>
        <v>0</v>
      </c>
      <c r="E89" s="561" t="str">
        <f>VLOOKUP(507,Sprachindex!$A:$Z,Info!$O$7,FALSE)</f>
        <v>Kaminhut (1.000 × 700 mm)</v>
      </c>
      <c r="F89" s="562"/>
      <c r="G89" s="562"/>
      <c r="H89" s="562"/>
      <c r="I89" s="562"/>
      <c r="J89" s="562"/>
      <c r="K89" s="563"/>
      <c r="L89" s="79" t="str">
        <f t="shared" si="10"/>
        <v/>
      </c>
      <c r="M89" s="433" t="str">
        <f t="shared" si="0"/>
        <v>Stk.</v>
      </c>
      <c r="N89" s="80"/>
      <c r="O89" s="202" t="str">
        <f t="shared" si="14"/>
        <v/>
      </c>
      <c r="P89" s="5"/>
      <c r="Q89" s="5"/>
      <c r="R89" s="200">
        <v>165.6</v>
      </c>
      <c r="S89" s="195">
        <v>160.5</v>
      </c>
      <c r="T89" s="5"/>
      <c r="U89" s="5"/>
      <c r="V89" s="5"/>
      <c r="W89" s="5"/>
      <c r="X89" s="5"/>
      <c r="Y89" s="5"/>
      <c r="Z89" s="5"/>
      <c r="AA89" s="5"/>
      <c r="AB89" s="5"/>
      <c r="AC89" s="149">
        <f>ROUNDUP($A89,0)</f>
        <v>0</v>
      </c>
      <c r="AD89" s="149">
        <f t="shared" si="15"/>
        <v>0</v>
      </c>
      <c r="AE89" s="8"/>
      <c r="AF89" s="8"/>
      <c r="AG89" s="5"/>
      <c r="AH89" s="44">
        <v>110440</v>
      </c>
      <c r="AI89" s="44">
        <v>110441</v>
      </c>
      <c r="AJ89" s="44">
        <v>110442</v>
      </c>
      <c r="AK89" s="44">
        <v>110443</v>
      </c>
      <c r="AL89" s="44">
        <v>110444</v>
      </c>
      <c r="AM89" s="44">
        <v>110445</v>
      </c>
      <c r="AN89" s="44">
        <v>110446</v>
      </c>
      <c r="AO89" s="44">
        <v>110447</v>
      </c>
      <c r="AP89" s="44">
        <v>110448</v>
      </c>
      <c r="AQ89" s="44">
        <v>110449</v>
      </c>
    </row>
    <row r="90" spans="1:43" ht="32.1" customHeight="1">
      <c r="A90" s="98"/>
      <c r="B90" s="79" t="str">
        <f>VLOOKUP(878,Sprachindex!$A:$Z,Info!$O$7,FALSE)</f>
        <v>Stk.</v>
      </c>
      <c r="C90" s="81"/>
      <c r="D90" s="78">
        <f t="shared" si="13"/>
        <v>0</v>
      </c>
      <c r="E90" s="561" t="str">
        <f>VLOOKUP(508,Sprachindex!$A:$Z,Info!$O$7,FALSE)</f>
        <v>Kaminhut (1.100 × 800 mm)</v>
      </c>
      <c r="F90" s="562"/>
      <c r="G90" s="562"/>
      <c r="H90" s="562"/>
      <c r="I90" s="562"/>
      <c r="J90" s="562"/>
      <c r="K90" s="563"/>
      <c r="L90" s="79" t="str">
        <f t="shared" si="10"/>
        <v/>
      </c>
      <c r="M90" s="433" t="str">
        <f t="shared" si="0"/>
        <v>Stk.</v>
      </c>
      <c r="N90" s="80"/>
      <c r="O90" s="202" t="str">
        <f t="shared" si="14"/>
        <v/>
      </c>
      <c r="P90" s="5"/>
      <c r="Q90" s="5"/>
      <c r="R90" s="200">
        <v>198.5</v>
      </c>
      <c r="S90" s="195">
        <v>220.6</v>
      </c>
      <c r="T90" s="5"/>
      <c r="U90" s="5"/>
      <c r="V90" s="5"/>
      <c r="W90" s="5"/>
      <c r="X90" s="5"/>
      <c r="Y90" s="5"/>
      <c r="Z90" s="5"/>
      <c r="AA90" s="5"/>
      <c r="AB90" s="5"/>
      <c r="AC90" s="149">
        <f>ROUNDUP($A90,0)</f>
        <v>0</v>
      </c>
      <c r="AD90" s="149">
        <f t="shared" si="15"/>
        <v>0</v>
      </c>
      <c r="AE90" s="8"/>
      <c r="AF90" s="8"/>
      <c r="AG90" s="5"/>
      <c r="AH90" s="44">
        <v>110450</v>
      </c>
      <c r="AI90" s="44">
        <v>110451</v>
      </c>
      <c r="AJ90" s="44">
        <v>110452</v>
      </c>
      <c r="AK90" s="44">
        <v>110453</v>
      </c>
      <c r="AL90" s="44">
        <v>110454</v>
      </c>
      <c r="AM90" s="44">
        <v>110455</v>
      </c>
      <c r="AN90" s="44">
        <v>110456</v>
      </c>
      <c r="AO90" s="44">
        <v>110457</v>
      </c>
      <c r="AP90" s="44">
        <v>110458</v>
      </c>
      <c r="AQ90" s="44">
        <v>110459</v>
      </c>
    </row>
    <row r="91" spans="1:43" ht="32.1" customHeight="1">
      <c r="A91" s="98"/>
      <c r="B91" s="79" t="str">
        <f>VLOOKUP(878,Sprachindex!$A:$Z,Info!$O$7,FALSE)</f>
        <v>Stk.</v>
      </c>
      <c r="C91" s="81"/>
      <c r="D91" s="78">
        <f t="shared" si="13"/>
        <v>0</v>
      </c>
      <c r="E91" s="561" t="str">
        <f>VLOOKUP(509,Sprachindex!$A:$Z,Info!$O$7,FALSE)</f>
        <v>Kaminhut (1.500 × 800 mm)</v>
      </c>
      <c r="F91" s="562"/>
      <c r="G91" s="562"/>
      <c r="H91" s="562"/>
      <c r="I91" s="562"/>
      <c r="J91" s="562"/>
      <c r="K91" s="563"/>
      <c r="L91" s="79" t="str">
        <f t="shared" si="10"/>
        <v/>
      </c>
      <c r="M91" s="433" t="str">
        <f t="shared" si="0"/>
        <v>Stk.</v>
      </c>
      <c r="N91" s="80"/>
      <c r="O91" s="202" t="str">
        <f t="shared" si="14"/>
        <v/>
      </c>
      <c r="P91" s="5"/>
      <c r="Q91" s="5"/>
      <c r="R91" s="200">
        <v>271.39999999999998</v>
      </c>
      <c r="S91" s="195">
        <v>11.79</v>
      </c>
      <c r="T91" s="5"/>
      <c r="U91" s="5"/>
      <c r="V91" s="5"/>
      <c r="W91" s="5"/>
      <c r="X91" s="5"/>
      <c r="Y91" s="5"/>
      <c r="Z91" s="5"/>
      <c r="AA91" s="5"/>
      <c r="AB91" s="5"/>
      <c r="AC91" s="149">
        <f>ROUNDUP($A91,0)</f>
        <v>0</v>
      </c>
      <c r="AD91" s="149">
        <f t="shared" si="15"/>
        <v>0</v>
      </c>
      <c r="AE91" s="8"/>
      <c r="AF91" s="8"/>
      <c r="AG91" s="5"/>
      <c r="AH91" s="44">
        <v>110460</v>
      </c>
      <c r="AI91" s="44">
        <v>110461</v>
      </c>
      <c r="AJ91" s="44">
        <v>110462</v>
      </c>
      <c r="AK91" s="44">
        <v>110463</v>
      </c>
      <c r="AL91" s="44">
        <v>110464</v>
      </c>
      <c r="AM91" s="44">
        <v>110465</v>
      </c>
      <c r="AN91" s="44">
        <v>110466</v>
      </c>
      <c r="AO91" s="44">
        <v>110467</v>
      </c>
      <c r="AP91" s="44">
        <v>110468</v>
      </c>
      <c r="AQ91" s="44">
        <v>110469</v>
      </c>
    </row>
    <row r="92" spans="1:43" ht="32.1" customHeight="1">
      <c r="A92" s="98"/>
      <c r="B92" s="79" t="str">
        <f>VLOOKUP(878,Sprachindex!$A:$Z,Info!$O$7,FALSE)</f>
        <v>Stk.</v>
      </c>
      <c r="C92" s="81"/>
      <c r="D92" s="78">
        <f t="shared" si="13"/>
        <v>0</v>
      </c>
      <c r="E92" s="561" t="str">
        <f>VLOOKUP(512,Sprachindex!$A:$Z,Info!$O$7,FALSE)</f>
        <v>Kaminstrebe gebogen</v>
      </c>
      <c r="F92" s="562"/>
      <c r="G92" s="562"/>
      <c r="H92" s="562"/>
      <c r="I92" s="562"/>
      <c r="J92" s="562"/>
      <c r="K92" s="563"/>
      <c r="L92" s="79" t="str">
        <f t="shared" si="10"/>
        <v/>
      </c>
      <c r="M92" s="433" t="str">
        <f t="shared" si="0"/>
        <v>Stk.</v>
      </c>
      <c r="N92" s="80"/>
      <c r="O92" s="202" t="str">
        <f t="shared" si="14"/>
        <v/>
      </c>
      <c r="P92" s="5"/>
      <c r="Q92" s="5"/>
      <c r="R92" s="200">
        <v>16.77</v>
      </c>
      <c r="S92" s="195">
        <v>8.19</v>
      </c>
      <c r="T92" s="5"/>
      <c r="U92" s="5"/>
      <c r="V92" s="5"/>
      <c r="W92" s="5"/>
      <c r="X92" s="5"/>
      <c r="Y92" s="5"/>
      <c r="Z92" s="5"/>
      <c r="AA92" s="5"/>
      <c r="AB92" s="5"/>
      <c r="AC92" s="149">
        <f>ROUNDUP($A92/10,0)*10</f>
        <v>0</v>
      </c>
      <c r="AD92" s="149">
        <f t="shared" si="15"/>
        <v>0</v>
      </c>
      <c r="AE92" s="8"/>
      <c r="AF92" s="8"/>
      <c r="AG92" s="5"/>
      <c r="AH92" s="44">
        <v>110410</v>
      </c>
      <c r="AI92" s="44">
        <v>110411</v>
      </c>
      <c r="AJ92" s="44">
        <v>110412</v>
      </c>
      <c r="AK92" s="44">
        <v>110413</v>
      </c>
      <c r="AL92" s="44">
        <v>110414</v>
      </c>
      <c r="AM92" s="44">
        <v>110415</v>
      </c>
      <c r="AN92" s="44">
        <v>110416</v>
      </c>
      <c r="AO92" s="44">
        <v>110417</v>
      </c>
      <c r="AP92" s="44">
        <v>110418</v>
      </c>
      <c r="AQ92" s="44">
        <v>110419</v>
      </c>
    </row>
    <row r="93" spans="1:43" ht="32.1" customHeight="1">
      <c r="A93" s="98"/>
      <c r="B93" s="79" t="str">
        <f>VLOOKUP(1512,Sprachindex!$A:$Z,Info!$O$7,FALSE)</f>
        <v>lfm</v>
      </c>
      <c r="C93" s="81"/>
      <c r="D93" s="78">
        <f t="shared" si="13"/>
        <v>0</v>
      </c>
      <c r="E93" s="561" t="str">
        <f>VLOOKUP(402,Sprachindex!$A:$Z,Info!$O$7,FALSE)</f>
        <v>Flachprofil (35 × 7 × 3.000 mm)</v>
      </c>
      <c r="F93" s="562"/>
      <c r="G93" s="562"/>
      <c r="H93" s="562"/>
      <c r="I93" s="562"/>
      <c r="J93" s="562"/>
      <c r="K93" s="563"/>
      <c r="L93" s="79" t="str">
        <f t="shared" si="10"/>
        <v/>
      </c>
      <c r="M93" s="433" t="str">
        <f t="shared" si="0"/>
        <v>lfm</v>
      </c>
      <c r="N93" s="80"/>
      <c r="O93" s="202" t="str">
        <f t="shared" si="14"/>
        <v/>
      </c>
      <c r="P93" s="5"/>
      <c r="Q93" s="5"/>
      <c r="R93" s="200">
        <v>11.32</v>
      </c>
      <c r="S93" s="195"/>
      <c r="T93" s="5"/>
      <c r="U93" s="5"/>
      <c r="V93" s="5"/>
      <c r="W93" s="5"/>
      <c r="X93" s="5"/>
      <c r="Y93" s="5"/>
      <c r="Z93" s="5"/>
      <c r="AA93" s="5"/>
      <c r="AB93" s="5"/>
      <c r="AC93" s="149">
        <f>ROUNDUP($A93/3,0)*3</f>
        <v>0</v>
      </c>
      <c r="AD93" s="149">
        <f>ROUNDUP($A93/3,0)*3</f>
        <v>0</v>
      </c>
      <c r="AE93" s="8"/>
      <c r="AF93" s="8"/>
      <c r="AG93" s="5"/>
      <c r="AH93" s="44">
        <v>110400</v>
      </c>
      <c r="AI93" s="44">
        <v>110401</v>
      </c>
      <c r="AJ93" s="44">
        <v>110402</v>
      </c>
      <c r="AK93" s="44">
        <v>110403</v>
      </c>
      <c r="AL93" s="44">
        <v>110404</v>
      </c>
      <c r="AM93" s="44">
        <v>110405</v>
      </c>
      <c r="AN93" s="44">
        <v>110406</v>
      </c>
      <c r="AO93" s="44">
        <v>110407</v>
      </c>
      <c r="AP93" s="44">
        <v>110408</v>
      </c>
      <c r="AQ93" s="117" t="s">
        <v>74</v>
      </c>
    </row>
    <row r="94" spans="1:43" ht="32.1" customHeight="1">
      <c r="A94" s="98"/>
      <c r="B94" s="79" t="str">
        <f>VLOOKUP(878,Sprachindex!$A:$Z,Info!$O$7,FALSE)</f>
        <v>Stk.</v>
      </c>
      <c r="C94" s="81"/>
      <c r="D94" s="78">
        <f>IF($O$21=1,AH94,IF($O$21=4,AI94,IF($O$21=5,AJ94,IF($O$21=11,AK94,IF($O$21=7,AL94,IF($O$21=3,AM94,IF($O$21=6,AN94,IF($O$21=9,AO94,IF($O$21=2,AP94,IF($O$21=8,AQ94,0))))))))))</f>
        <v>0</v>
      </c>
      <c r="E94" s="561" t="str">
        <f>VLOOKUP(459,Sprachindex!$A:$Z,Info!$O$7,FALSE)</f>
        <v>Hauerbuckel; zum Abdecken von Befestigungsmitteln</v>
      </c>
      <c r="F94" s="562"/>
      <c r="G94" s="562"/>
      <c r="H94" s="562"/>
      <c r="I94" s="562"/>
      <c r="J94" s="562"/>
      <c r="K94" s="563"/>
      <c r="L94" s="79" t="str">
        <f t="shared" si="10"/>
        <v/>
      </c>
      <c r="M94" s="433" t="str">
        <f t="shared" si="0"/>
        <v>Stk.</v>
      </c>
      <c r="N94" s="80"/>
      <c r="O94" s="202" t="str">
        <f t="shared" si="14"/>
        <v/>
      </c>
      <c r="P94" s="5"/>
      <c r="Q94" s="5"/>
      <c r="R94" s="200">
        <v>2.06</v>
      </c>
      <c r="S94" s="195"/>
      <c r="T94" s="5"/>
      <c r="U94" s="5"/>
      <c r="V94" s="5"/>
      <c r="W94" s="5"/>
      <c r="X94" s="5"/>
      <c r="Y94" s="5"/>
      <c r="Z94" s="5"/>
      <c r="AA94" s="5"/>
      <c r="AB94" s="5"/>
      <c r="AC94" s="149">
        <f>ROUNDUP($A94,0)</f>
        <v>0</v>
      </c>
      <c r="AD94" s="149">
        <f>ROUNDUP($A94,0)</f>
        <v>0</v>
      </c>
      <c r="AE94" s="8"/>
      <c r="AF94" s="8"/>
      <c r="AG94" s="5"/>
      <c r="AH94" s="44">
        <v>112401</v>
      </c>
      <c r="AI94" s="44">
        <v>112402</v>
      </c>
      <c r="AJ94" s="44">
        <v>112403</v>
      </c>
      <c r="AK94" s="44">
        <v>112404</v>
      </c>
      <c r="AL94" s="44">
        <v>112405</v>
      </c>
      <c r="AM94" s="44">
        <v>112406</v>
      </c>
      <c r="AN94" s="44">
        <v>112407</v>
      </c>
      <c r="AO94" s="44">
        <v>112408</v>
      </c>
      <c r="AP94" s="44">
        <v>112409</v>
      </c>
      <c r="AQ94" s="44">
        <v>112410</v>
      </c>
    </row>
    <row r="95" spans="1:43" ht="32.1" customHeight="1">
      <c r="A95" s="98"/>
      <c r="B95" s="79" t="str">
        <f>VLOOKUP(878,Sprachindex!$A:$Z,Info!$O$7,FALSE)</f>
        <v>Stk.</v>
      </c>
      <c r="C95" s="81"/>
      <c r="D95" s="78">
        <v>340404</v>
      </c>
      <c r="E95" s="561" t="str">
        <f>VLOOKUP(1422,Sprachindex!$A:$Z,Info!$O$7,FALSE)</f>
        <v>Dachleitungshalter für Blitzschutzdraht</v>
      </c>
      <c r="F95" s="562"/>
      <c r="G95" s="562"/>
      <c r="H95" s="562"/>
      <c r="I95" s="562"/>
      <c r="J95" s="562"/>
      <c r="K95" s="563"/>
      <c r="L95" s="79" t="str">
        <f t="shared" si="10"/>
        <v/>
      </c>
      <c r="M95" s="433" t="str">
        <f t="shared" si="0"/>
        <v>Stk.</v>
      </c>
      <c r="N95" s="80"/>
      <c r="O95" s="202" t="str">
        <f t="shared" si="14"/>
        <v/>
      </c>
      <c r="P95" s="5"/>
      <c r="Q95" s="5"/>
      <c r="R95" s="200">
        <v>7.16</v>
      </c>
      <c r="S95" s="195"/>
      <c r="T95" s="5"/>
      <c r="U95" s="5"/>
      <c r="V95" s="5"/>
      <c r="W95" s="5"/>
      <c r="X95" s="5"/>
      <c r="Y95" s="5"/>
      <c r="Z95" s="5"/>
      <c r="AA95" s="5"/>
      <c r="AB95" s="5"/>
      <c r="AC95" s="149">
        <f>ROUNDUP($A95/50,0)*50</f>
        <v>0</v>
      </c>
      <c r="AD95" s="149">
        <f t="shared" ref="AD95:AG103" si="16">ROUNDUP($A95,0)</f>
        <v>0</v>
      </c>
      <c r="AE95" s="8"/>
      <c r="AF95" s="8"/>
      <c r="AG95" s="5"/>
      <c r="AH95" s="125"/>
      <c r="AI95" s="125"/>
      <c r="AJ95" s="125"/>
      <c r="AK95" s="125"/>
      <c r="AL95" s="125"/>
      <c r="AM95" s="125"/>
      <c r="AN95" s="125"/>
      <c r="AO95" s="125"/>
      <c r="AP95" s="125"/>
      <c r="AQ95" s="125"/>
    </row>
    <row r="96" spans="1:43" ht="32.1" customHeight="1">
      <c r="A96" s="98"/>
      <c r="B96" s="79" t="str">
        <f>VLOOKUP(878,Sprachindex!$A:$Z,Info!$O$7,FALSE)</f>
        <v>Stk.</v>
      </c>
      <c r="C96" s="78"/>
      <c r="D96" s="78">
        <v>420501</v>
      </c>
      <c r="E96" s="581" t="str">
        <f>VLOOKUP(851,Sprachindex!$A:$Z,Info!$O$7,FALSE)</f>
        <v>Spezialkleber</v>
      </c>
      <c r="F96" s="582"/>
      <c r="G96" s="582"/>
      <c r="H96" s="582"/>
      <c r="I96" s="582"/>
      <c r="J96" s="582"/>
      <c r="K96" s="583"/>
      <c r="L96" s="79" t="str">
        <f t="shared" si="10"/>
        <v/>
      </c>
      <c r="M96" s="433" t="str">
        <f t="shared" si="0"/>
        <v>Stk.</v>
      </c>
      <c r="N96" s="80"/>
      <c r="O96" s="202" t="str">
        <f t="shared" si="14"/>
        <v/>
      </c>
      <c r="P96" s="5"/>
      <c r="Q96" s="5"/>
      <c r="R96" s="200">
        <v>39.130000000000003</v>
      </c>
      <c r="S96" s="195"/>
      <c r="T96" s="5"/>
      <c r="U96" s="5"/>
      <c r="V96" s="5"/>
      <c r="W96" s="5"/>
      <c r="X96" s="5"/>
      <c r="Y96" s="5"/>
      <c r="Z96" s="5"/>
      <c r="AA96" s="5"/>
      <c r="AB96" s="5"/>
      <c r="AC96" s="149">
        <f>ROUNDUP($A96/24,0)*24</f>
        <v>0</v>
      </c>
      <c r="AD96" s="149">
        <f t="shared" si="16"/>
        <v>0</v>
      </c>
      <c r="AE96" s="8"/>
      <c r="AF96" s="8"/>
      <c r="AG96" s="5"/>
    </row>
    <row r="97" spans="1:476" ht="32.1" customHeight="1">
      <c r="A97" s="98"/>
      <c r="B97" s="79" t="str">
        <f>VLOOKUP(821,Sprachindex!$A:$Z,Info!$O$7,FALSE)</f>
        <v>Set</v>
      </c>
      <c r="C97" s="81"/>
      <c r="D97" s="78">
        <v>420500</v>
      </c>
      <c r="E97" s="561" t="str">
        <f>VLOOKUP(852,Sprachindex!$A:$Z,Info!$O$7,FALSE)</f>
        <v>Spezialkleberset</v>
      </c>
      <c r="F97" s="562"/>
      <c r="G97" s="562"/>
      <c r="H97" s="562"/>
      <c r="I97" s="562"/>
      <c r="J97" s="562"/>
      <c r="K97" s="563"/>
      <c r="L97" s="79" t="str">
        <f t="shared" si="10"/>
        <v/>
      </c>
      <c r="M97" s="433" t="str">
        <f t="shared" ref="M97:M103" si="17">B97</f>
        <v>Set</v>
      </c>
      <c r="N97" s="80"/>
      <c r="O97" s="202" t="str">
        <f t="shared" si="14"/>
        <v/>
      </c>
      <c r="P97" s="5"/>
      <c r="Q97" s="5"/>
      <c r="R97" s="200">
        <v>53.57</v>
      </c>
      <c r="S97" s="195"/>
      <c r="T97" s="5"/>
      <c r="U97" s="5"/>
      <c r="V97" s="5"/>
      <c r="W97" s="5"/>
      <c r="X97" s="5"/>
      <c r="Y97" s="5"/>
      <c r="Z97" s="5"/>
      <c r="AA97" s="5"/>
      <c r="AB97" s="5"/>
      <c r="AC97" s="149">
        <f>ROUNDUP($A97,0)</f>
        <v>0</v>
      </c>
      <c r="AD97" s="149">
        <f t="shared" si="16"/>
        <v>0</v>
      </c>
      <c r="AE97" s="8"/>
      <c r="AF97" s="8"/>
      <c r="AG97" s="5"/>
    </row>
    <row r="98" spans="1:476" ht="32.1" customHeight="1">
      <c r="A98" s="98"/>
      <c r="B98" s="79" t="str">
        <f>VLOOKUP(878,Sprachindex!$A:$Z,Info!$O$7,FALSE)</f>
        <v>Stk.</v>
      </c>
      <c r="C98" s="78"/>
      <c r="D98" s="78">
        <v>340415</v>
      </c>
      <c r="E98" s="599" t="str">
        <f>VLOOKUP(184,Sprachindex!$A:$Z,Info!$O$7,FALSE)</f>
        <v>Aufsparrenschraubenpaket</v>
      </c>
      <c r="F98" s="599"/>
      <c r="G98" s="599"/>
      <c r="H98" s="599"/>
      <c r="I98" s="599"/>
      <c r="J98" s="599"/>
      <c r="K98" s="599"/>
      <c r="L98" s="79" t="str">
        <f t="shared" si="10"/>
        <v/>
      </c>
      <c r="M98" s="433" t="str">
        <f t="shared" si="17"/>
        <v>Stk.</v>
      </c>
      <c r="N98" s="80"/>
      <c r="O98" s="202" t="str">
        <f t="shared" si="14"/>
        <v/>
      </c>
      <c r="P98" s="5"/>
      <c r="Q98" s="5"/>
      <c r="R98" s="200">
        <v>26.02</v>
      </c>
      <c r="S98" s="195"/>
      <c r="T98" s="5"/>
      <c r="U98" s="5"/>
      <c r="V98" s="5"/>
      <c r="W98" s="5"/>
      <c r="X98" s="5"/>
      <c r="Y98" s="5"/>
      <c r="Z98" s="5"/>
      <c r="AA98" s="5"/>
      <c r="AB98" s="5"/>
      <c r="AC98" s="149">
        <f>ROUNDUP($A98,0)</f>
        <v>0</v>
      </c>
      <c r="AD98" s="149">
        <f t="shared" si="16"/>
        <v>0</v>
      </c>
      <c r="AE98" s="8"/>
      <c r="AF98" s="8"/>
      <c r="AG98" s="5"/>
    </row>
    <row r="99" spans="1:476" ht="32.1" customHeight="1">
      <c r="A99" s="98"/>
      <c r="B99" s="79" t="str">
        <f>VLOOKUP(878,Sprachindex!$A:$Z,Info!$O$7,FALSE)</f>
        <v>Stk.</v>
      </c>
      <c r="C99" s="81"/>
      <c r="D99" s="78">
        <v>340416</v>
      </c>
      <c r="E99" s="561" t="str">
        <f>VLOOKUP(183,Sprachindex!$A:$Z,Info!$O$7,FALSE)</f>
        <v>Aufsparrenmontagepaket</v>
      </c>
      <c r="F99" s="562"/>
      <c r="G99" s="562"/>
      <c r="H99" s="562"/>
      <c r="I99" s="562"/>
      <c r="J99" s="562"/>
      <c r="K99" s="563"/>
      <c r="L99" s="79" t="str">
        <f t="shared" si="10"/>
        <v/>
      </c>
      <c r="M99" s="433" t="str">
        <f t="shared" si="17"/>
        <v>Stk.</v>
      </c>
      <c r="N99" s="80"/>
      <c r="O99" s="202" t="str">
        <f t="shared" si="14"/>
        <v/>
      </c>
      <c r="P99" s="5"/>
      <c r="Q99" s="5"/>
      <c r="R99" s="200">
        <v>43.62</v>
      </c>
      <c r="S99" s="195"/>
      <c r="T99" s="5"/>
      <c r="U99" s="5"/>
      <c r="V99" s="5"/>
      <c r="W99" s="5"/>
      <c r="X99" s="5"/>
      <c r="Y99" s="5"/>
      <c r="Z99" s="5"/>
      <c r="AA99" s="5"/>
      <c r="AB99" s="5"/>
      <c r="AC99" s="149">
        <f>ROUNDUP($A99,0)</f>
        <v>0</v>
      </c>
      <c r="AD99" s="149">
        <f t="shared" si="16"/>
        <v>0</v>
      </c>
      <c r="AE99" s="8"/>
      <c r="AF99" s="8"/>
      <c r="AG99" s="5"/>
    </row>
    <row r="100" spans="1:476" ht="32.1" customHeight="1">
      <c r="A100" s="98"/>
      <c r="B100" s="79" t="str">
        <f>VLOOKUP(878,Sprachindex!$A:$Z,Info!$O$7,FALSE)</f>
        <v>Stk.</v>
      </c>
      <c r="C100" s="81"/>
      <c r="D100" s="78">
        <v>119008</v>
      </c>
      <c r="E100" s="561" t="str">
        <f>VLOOKUP(2237,Sprachindex!$A:$Z,Info!$O$7,FALSE)</f>
        <v>Taurus-BEF-10 auf Fußteilen</v>
      </c>
      <c r="F100" s="562"/>
      <c r="G100" s="562"/>
      <c r="H100" s="562"/>
      <c r="I100" s="562"/>
      <c r="J100" s="562"/>
      <c r="K100" s="563"/>
      <c r="L100" s="79" t="str">
        <f>IF($A100=0,"",IF($O$11=1,AD100,AG100))</f>
        <v/>
      </c>
      <c r="M100" s="171" t="str">
        <f>VLOOKUP(878,Sprachindex!$A:$Z,Info!$O$7,FALSE)</f>
        <v>Stk.</v>
      </c>
      <c r="N100" s="80"/>
      <c r="O100" s="202" t="str">
        <f t="shared" si="14"/>
        <v/>
      </c>
      <c r="P100" s="5"/>
      <c r="Q100" s="5"/>
      <c r="R100" s="200">
        <v>138.6</v>
      </c>
      <c r="S100" s="195"/>
      <c r="T100" s="195"/>
      <c r="U100" s="195"/>
      <c r="V100" s="195"/>
      <c r="W100" s="195"/>
      <c r="X100" s="195"/>
      <c r="Y100" s="195"/>
      <c r="Z100" s="195"/>
      <c r="AA100" s="195"/>
      <c r="AB100" s="195"/>
      <c r="AC100" s="135"/>
      <c r="AD100" s="149">
        <f t="shared" si="16"/>
        <v>0</v>
      </c>
      <c r="AE100" s="149"/>
      <c r="AF100" s="149"/>
      <c r="AG100" s="149">
        <f t="shared" si="16"/>
        <v>0</v>
      </c>
    </row>
    <row r="101" spans="1:476" ht="32.1" customHeight="1">
      <c r="A101" s="98"/>
      <c r="B101" s="79" t="str">
        <f>VLOOKUP(878,Sprachindex!$A:$Z,Info!$O$7,FALSE)</f>
        <v>Stk.</v>
      </c>
      <c r="C101" s="81"/>
      <c r="D101" s="78">
        <v>120268</v>
      </c>
      <c r="E101" s="561" t="str">
        <f>VLOOKUP(2238,Sprachindex!$A:$Z,Info!$O$7,FALSE)</f>
        <v>Einzelanschlagspunkt auf Fußteilen</v>
      </c>
      <c r="F101" s="562"/>
      <c r="G101" s="562"/>
      <c r="H101" s="562"/>
      <c r="I101" s="562"/>
      <c r="J101" s="562"/>
      <c r="K101" s="563"/>
      <c r="L101" s="79" t="str">
        <f>IF($A101=0,"",IF($O$11=1,AD101,AG101))</f>
        <v/>
      </c>
      <c r="M101" s="171" t="str">
        <f>VLOOKUP(878,Sprachindex!$A:$Z,Info!$O$7,FALSE)</f>
        <v>Stk.</v>
      </c>
      <c r="N101" s="80"/>
      <c r="O101" s="202" t="str">
        <f t="shared" si="14"/>
        <v/>
      </c>
      <c r="P101" s="5"/>
      <c r="Q101" s="5"/>
      <c r="R101" s="200">
        <v>135.6</v>
      </c>
      <c r="S101" s="195"/>
      <c r="T101" s="195"/>
      <c r="U101" s="195"/>
      <c r="V101" s="195"/>
      <c r="W101" s="195"/>
      <c r="X101" s="195"/>
      <c r="Y101" s="195"/>
      <c r="Z101" s="195"/>
      <c r="AA101" s="195"/>
      <c r="AB101" s="195"/>
      <c r="AC101" s="135"/>
      <c r="AD101" s="149">
        <f t="shared" si="16"/>
        <v>0</v>
      </c>
      <c r="AE101" s="149"/>
      <c r="AF101" s="149"/>
      <c r="AG101" s="149">
        <f t="shared" si="16"/>
        <v>0</v>
      </c>
    </row>
    <row r="102" spans="1:476" ht="32.1" customHeight="1">
      <c r="A102" s="98"/>
      <c r="B102" s="79" t="str">
        <f>VLOOKUP(531,Sprachindex!$A:$Z,Info!$O$7,FALSE)</f>
        <v>kg</v>
      </c>
      <c r="C102" s="81"/>
      <c r="D102" s="81">
        <f>IF(I102=Formeln!A107,AL102,IF(I102=Formeln!A108,AH102,IF(I102=Formeln!A109,AI102,IF(I102=Formeln!A110,AJ102,IF(I102=Formeln!A111,AK102,"")))))</f>
        <v>0</v>
      </c>
      <c r="E102" s="570" t="str">
        <f>VLOOKUP(583,Sprachindex!$A:$Z,Info!$O$7,FALSE)</f>
        <v>Lochblech (⌀ 5 mm) ca. 24 kg/Rolle (0,7 × 1.000 mm)</v>
      </c>
      <c r="F102" s="571"/>
      <c r="G102" s="571"/>
      <c r="H102" s="571"/>
      <c r="I102" s="572"/>
      <c r="J102" s="573"/>
      <c r="K102" s="573"/>
      <c r="L102" s="79" t="str">
        <f>IF($A102=0,"",IF($I102=Formeln!$A$106," ",IF($O$11=1,AC102,AD102)))</f>
        <v/>
      </c>
      <c r="M102" s="433" t="str">
        <f t="shared" si="17"/>
        <v>kg</v>
      </c>
      <c r="N102" s="80"/>
      <c r="O102" s="202" t="str">
        <f t="shared" si="14"/>
        <v/>
      </c>
      <c r="P102" s="5"/>
      <c r="Q102" s="5"/>
      <c r="R102" s="200"/>
      <c r="S102" s="195"/>
      <c r="T102" s="5"/>
      <c r="U102" s="5"/>
      <c r="V102" s="5"/>
      <c r="W102" s="5"/>
      <c r="X102" s="5"/>
      <c r="Y102" s="5"/>
      <c r="Z102" s="5"/>
      <c r="AA102" s="5"/>
      <c r="AB102" s="5"/>
      <c r="AC102" s="149">
        <f>ROUNDUP($A102/24,0)*24</f>
        <v>0</v>
      </c>
      <c r="AD102" s="149">
        <f t="shared" si="16"/>
        <v>0</v>
      </c>
      <c r="AE102" s="8"/>
      <c r="AF102" s="8"/>
      <c r="AG102" s="5"/>
      <c r="AH102" s="44">
        <v>507202</v>
      </c>
      <c r="AI102" s="44">
        <v>507203</v>
      </c>
      <c r="AJ102" s="44"/>
      <c r="AK102" s="44">
        <v>507205</v>
      </c>
      <c r="AL102" s="44">
        <v>507206</v>
      </c>
    </row>
    <row r="103" spans="1:476" ht="50.1" customHeight="1">
      <c r="A103" s="98"/>
      <c r="B103" s="79" t="str">
        <f>VLOOKUP(531,Sprachindex!$A:$Z,Info!$O$7,FALSE)</f>
        <v>kg</v>
      </c>
      <c r="C103" s="81"/>
      <c r="D103" s="78" t="str">
        <f>IF(AND(I103=Formeln!A24,K103=Formeln!A129),AH103,IF(AND(I103=Formeln!A24,K103=Formeln!A132),AI103,IF(AND(I103=Formeln!A24,K103=Formeln!A134),AJ103,IF(AND(I103=Formeln!A24,K103=Formeln!A128),AK103,IF(AND(I103=Formeln!A24,K103=Formeln!A137),AL103,IF(AND(I103=Formeln!A24,K103=Formeln!A127),AM103,IF(AND(I103=Formeln!A24,K103=Formeln!A135),AN103,IF(AND(I103=Formeln!A24,K103=Formeln!A133),AO103,IF(AND(I103=Formeln!A24,K103=Formeln!A130),AP103,IF(AND(I103=Formeln!A24,K103=Formeln!A136),AQ103,IF(AND(I103=Formeln!A25,K103=Formeln!A129),AR103,IF(AND(I103=Formeln!A25,K103=Formeln!A132),AS103,IF(AND(I103=Formeln!A25,K103=Formeln!A134),AT103,IF(AND(I103=Formeln!A25,K103=Formeln!A128),AU103,IF(AND(I103=Formeln!A25,K103=Formeln!A137),AV103,IF(AND(I103=Formeln!A25,K103=Formeln!A131),AW103,IF(AND(I103=Formeln!A25,K103=Formeln!A135),AX103,IF(AND(I103=Formeln!A25,K103=Formeln!A133),AY103,IF(AND(I103=Formeln!A25,K103=Formeln!A130),AZ103,IF(AND(I103=Formeln!A25,K103=Formeln!A136),BA103,""))))))))))))))))))))</f>
        <v/>
      </c>
      <c r="E103" s="561" t="str">
        <f>VLOOKUP(669,Sprachindex!$A:$Z,Info!$O$7,FALSE)</f>
        <v>PREFALZ Ergänzungsband; 0,7 × 1.000 mm (für Zusatzverblechungen)</v>
      </c>
      <c r="F103" s="562"/>
      <c r="G103" s="562"/>
      <c r="H103" s="85" t="str">
        <f>VLOOKUP(638,Sprachindex!$A:$Z,Info!$O$7,FALSE)</f>
        <v>Oberfläche:</v>
      </c>
      <c r="I103" s="86"/>
      <c r="J103" s="84" t="str">
        <f>VLOOKUP(385,Sprachindex!$A:$Z,Info!$O$7,FALSE)</f>
        <v>Farbe:</v>
      </c>
      <c r="K103" s="86"/>
      <c r="L103" s="79" t="str">
        <f>IF($A103=0,"",IF(OR($I103=Formeln!$A$23,$K103=Formeln!$A$127)," ",IF($O$11=1,AC103,AD103)))</f>
        <v/>
      </c>
      <c r="M103" s="433" t="str">
        <f t="shared" si="17"/>
        <v>kg</v>
      </c>
      <c r="N103" s="80"/>
      <c r="O103" s="202" t="str">
        <f>IF(ISNUMBER(A103),$L103*R103, "")</f>
        <v/>
      </c>
      <c r="P103" s="5"/>
      <c r="Q103" s="5"/>
      <c r="R103" s="5"/>
      <c r="S103" s="5"/>
      <c r="T103" s="5"/>
      <c r="U103" s="5"/>
      <c r="V103" s="5"/>
      <c r="W103" s="5"/>
      <c r="X103" s="5"/>
      <c r="Y103" s="5"/>
      <c r="Z103" s="5"/>
      <c r="AA103" s="5"/>
      <c r="AB103" s="5"/>
      <c r="AC103" s="161">
        <f>ROUNDUP($A103/30,0)*30</f>
        <v>0</v>
      </c>
      <c r="AD103" s="149">
        <f t="shared" si="16"/>
        <v>0</v>
      </c>
      <c r="AE103" s="8"/>
      <c r="AF103" s="8"/>
      <c r="AG103" s="8" t="str">
        <f>IF(A103&gt;60, Formeln!A119, Formeln!A118)</f>
        <v>Rolle</v>
      </c>
      <c r="AH103" s="117" t="s">
        <v>76</v>
      </c>
      <c r="AI103" s="117" t="s">
        <v>77</v>
      </c>
      <c r="AJ103" s="117" t="s">
        <v>78</v>
      </c>
      <c r="AK103" s="117" t="s">
        <v>99</v>
      </c>
      <c r="AL103" s="117" t="s">
        <v>79</v>
      </c>
      <c r="AM103" s="117" t="s">
        <v>80</v>
      </c>
      <c r="AN103" s="117" t="s">
        <v>81</v>
      </c>
      <c r="AO103" s="117" t="s">
        <v>82</v>
      </c>
      <c r="AP103" s="117" t="s">
        <v>83</v>
      </c>
      <c r="AQ103" s="499" t="s">
        <v>84</v>
      </c>
      <c r="AR103" s="501" t="s">
        <v>85</v>
      </c>
      <c r="AS103" s="117" t="s">
        <v>86</v>
      </c>
      <c r="AT103" s="117" t="s">
        <v>87</v>
      </c>
      <c r="AU103" s="117" t="s">
        <v>88</v>
      </c>
      <c r="AV103" s="117" t="s">
        <v>89</v>
      </c>
      <c r="AW103" s="117" t="s">
        <v>90</v>
      </c>
      <c r="AX103" s="117" t="s">
        <v>91</v>
      </c>
      <c r="AY103" s="117" t="s">
        <v>92</v>
      </c>
      <c r="AZ103" s="117" t="s">
        <v>93</v>
      </c>
      <c r="BA103" s="117" t="s">
        <v>94</v>
      </c>
    </row>
    <row r="104" spans="1:476" ht="32.1" customHeight="1">
      <c r="A104" s="98"/>
      <c r="B104" s="104"/>
      <c r="C104" s="104"/>
      <c r="D104" s="104"/>
      <c r="E104" s="575"/>
      <c r="F104" s="576"/>
      <c r="G104" s="576"/>
      <c r="H104" s="576"/>
      <c r="I104" s="576"/>
      <c r="J104" s="576"/>
      <c r="K104" s="577"/>
      <c r="L104" s="104"/>
      <c r="M104" s="433"/>
      <c r="N104" s="447"/>
      <c r="O104" s="202" t="str">
        <f t="shared" ref="O104:O105" si="18">IF(ISNUMBER(A104),$L104*R104, "")</f>
        <v/>
      </c>
      <c r="P104" s="1"/>
      <c r="Q104" s="8"/>
      <c r="AC104" s="149">
        <f>ROUNDUP($A106/24,0)*24</f>
        <v>0</v>
      </c>
      <c r="AD104" s="149">
        <f>ROUNDUP($A106,0)</f>
        <v>0</v>
      </c>
      <c r="AE104" s="8"/>
      <c r="AF104" s="8"/>
      <c r="AH104" s="47" t="s">
        <v>33</v>
      </c>
      <c r="AI104" s="47" t="s">
        <v>34</v>
      </c>
      <c r="AJ104" s="47" t="s">
        <v>35</v>
      </c>
      <c r="AK104" s="47" t="s">
        <v>36</v>
      </c>
      <c r="AL104" s="47" t="s">
        <v>37</v>
      </c>
      <c r="AM104" s="47" t="s">
        <v>38</v>
      </c>
      <c r="AN104" s="47" t="s">
        <v>39</v>
      </c>
      <c r="AO104" s="47" t="s">
        <v>40</v>
      </c>
      <c r="AP104" s="47" t="s">
        <v>41</v>
      </c>
      <c r="AQ104" s="500" t="s">
        <v>42</v>
      </c>
      <c r="AR104" s="502" t="s">
        <v>33</v>
      </c>
      <c r="AS104" s="47" t="s">
        <v>34</v>
      </c>
      <c r="AT104" s="47" t="s">
        <v>35</v>
      </c>
      <c r="AU104" s="47" t="s">
        <v>36</v>
      </c>
      <c r="AV104" s="47" t="s">
        <v>37</v>
      </c>
      <c r="AW104" s="47" t="s">
        <v>38</v>
      </c>
      <c r="AX104" s="47" t="s">
        <v>39</v>
      </c>
      <c r="AY104" s="47" t="s">
        <v>40</v>
      </c>
      <c r="AZ104" s="47" t="s">
        <v>41</v>
      </c>
      <c r="BA104" s="47" t="s">
        <v>42</v>
      </c>
    </row>
    <row r="105" spans="1:476" ht="32.1" customHeight="1">
      <c r="A105" s="98"/>
      <c r="B105" s="104"/>
      <c r="C105" s="104"/>
      <c r="D105" s="104"/>
      <c r="E105" s="575"/>
      <c r="F105" s="576"/>
      <c r="G105" s="576"/>
      <c r="H105" s="576"/>
      <c r="I105" s="576"/>
      <c r="J105" s="576"/>
      <c r="K105" s="577"/>
      <c r="L105" s="104"/>
      <c r="M105" s="433"/>
      <c r="N105" s="447"/>
      <c r="O105" s="202" t="str">
        <f t="shared" si="18"/>
        <v/>
      </c>
      <c r="P105" s="1"/>
      <c r="Q105" s="8"/>
      <c r="R105" s="8"/>
      <c r="AC105" s="161">
        <f>ROUNDUP($A107/60,0)*60</f>
        <v>0</v>
      </c>
      <c r="AD105" s="161">
        <f>ROUNDUP($A107,0)</f>
        <v>0</v>
      </c>
      <c r="AE105" s="8"/>
      <c r="AF105" s="8"/>
    </row>
    <row r="106" spans="1:476" ht="32.1" customHeight="1" thickBot="1">
      <c r="A106" s="153"/>
      <c r="B106" s="154"/>
      <c r="C106" s="154"/>
      <c r="D106" s="154"/>
      <c r="E106" s="578"/>
      <c r="F106" s="579"/>
      <c r="G106" s="579"/>
      <c r="H106" s="579"/>
      <c r="I106" s="579"/>
      <c r="J106" s="579"/>
      <c r="K106" s="580"/>
      <c r="L106" s="154"/>
      <c r="M106" s="434"/>
      <c r="N106" s="448"/>
      <c r="O106" s="202" t="str">
        <f>IF(ISNUMBER(A106),$L106*R106, "")</f>
        <v/>
      </c>
      <c r="P106" s="1"/>
      <c r="Q106" s="8"/>
      <c r="R106" s="8"/>
    </row>
    <row r="107" spans="1:476" ht="17.399999999999999">
      <c r="A107" s="70"/>
      <c r="B107" s="70"/>
      <c r="C107" s="70"/>
      <c r="D107" s="564"/>
      <c r="E107" s="564"/>
      <c r="F107" s="564"/>
      <c r="G107" s="564"/>
      <c r="H107" s="564"/>
      <c r="I107" s="564"/>
      <c r="J107" s="564"/>
      <c r="K107" s="564"/>
      <c r="L107" s="564"/>
      <c r="M107" s="564"/>
      <c r="N107" s="564"/>
      <c r="O107" s="224"/>
      <c r="R107" s="8"/>
      <c r="QL107" s="9"/>
      <c r="QM107" s="9"/>
      <c r="QN107" s="9"/>
      <c r="QO107" s="9"/>
      <c r="QP107" s="9"/>
      <c r="QQ107" s="9"/>
      <c r="QR107" s="9"/>
      <c r="QS107" s="9"/>
      <c r="QT107" s="9"/>
      <c r="QU107" s="9"/>
      <c r="QV107" s="9"/>
      <c r="QW107" s="9"/>
      <c r="QX107" s="9"/>
      <c r="QY107" s="9"/>
      <c r="QZ107" s="9"/>
      <c r="RA107" s="9"/>
      <c r="RB107" s="9"/>
      <c r="RC107" s="9"/>
      <c r="RD107" s="9"/>
      <c r="RE107" s="9"/>
      <c r="RF107" s="9"/>
      <c r="RG107" s="9"/>
      <c r="RH107" s="9"/>
    </row>
    <row r="108" spans="1:476" ht="17.399999999999999">
      <c r="A108" s="70"/>
      <c r="B108" s="70"/>
      <c r="C108" s="89" t="str">
        <f>VLOOKUP(1035,Sprachindex!$A:$Z,Info!$O$7,FALSE)</f>
        <v>Zusatzvermerk:</v>
      </c>
      <c r="D108" s="565"/>
      <c r="E108" s="565"/>
      <c r="F108" s="565"/>
      <c r="G108" s="565"/>
      <c r="H108" s="565"/>
      <c r="I108" s="565"/>
      <c r="J108" s="565"/>
      <c r="K108" s="565"/>
      <c r="L108" s="565"/>
      <c r="M108" s="565"/>
      <c r="N108" s="565"/>
      <c r="O108" s="196">
        <f>SUM(O28:O107)</f>
        <v>0</v>
      </c>
      <c r="QL108" s="9"/>
      <c r="QM108" s="9"/>
      <c r="QN108" s="9"/>
      <c r="QO108" s="9"/>
      <c r="QP108" s="9"/>
      <c r="QQ108" s="9"/>
      <c r="QR108" s="9"/>
      <c r="QS108" s="9"/>
      <c r="QT108" s="9"/>
      <c r="QU108" s="9"/>
      <c r="QV108" s="9"/>
      <c r="QW108" s="9"/>
      <c r="QX108" s="9"/>
      <c r="QY108" s="9"/>
      <c r="QZ108" s="9"/>
      <c r="RA108" s="9"/>
      <c r="RB108" s="9"/>
      <c r="RC108" s="9"/>
      <c r="RD108" s="9"/>
      <c r="RE108" s="9"/>
      <c r="RF108" s="9"/>
      <c r="RG108" s="9"/>
      <c r="RH108" s="9"/>
    </row>
    <row r="109" spans="1:476" s="9" customFormat="1" ht="17.399999999999999">
      <c r="A109" s="70"/>
      <c r="B109" s="70"/>
      <c r="C109" s="70"/>
      <c r="D109" s="566"/>
      <c r="E109" s="566"/>
      <c r="F109" s="566"/>
      <c r="G109" s="566"/>
      <c r="H109" s="566"/>
      <c r="I109" s="566"/>
      <c r="J109" s="566"/>
      <c r="K109" s="566"/>
      <c r="L109" s="566"/>
      <c r="M109" s="566"/>
      <c r="N109" s="566"/>
      <c r="O109" s="5"/>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row>
    <row r="110" spans="1:476" s="9" customFormat="1" ht="17.399999999999999">
      <c r="A110" s="70"/>
      <c r="B110" s="70"/>
      <c r="C110" s="70"/>
      <c r="D110" s="565"/>
      <c r="E110" s="565"/>
      <c r="F110" s="565"/>
      <c r="G110" s="565"/>
      <c r="H110" s="565"/>
      <c r="I110" s="565"/>
      <c r="J110" s="565"/>
      <c r="K110" s="565"/>
      <c r="L110" s="565"/>
      <c r="M110" s="565"/>
      <c r="N110" s="565"/>
      <c r="O110" s="5"/>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row>
    <row r="111" spans="1:476" s="9" customFormat="1" ht="17.399999999999999">
      <c r="A111" s="70"/>
      <c r="B111" s="70"/>
      <c r="C111" s="70"/>
      <c r="D111" s="566"/>
      <c r="E111" s="566"/>
      <c r="F111" s="566"/>
      <c r="G111" s="566"/>
      <c r="H111" s="566"/>
      <c r="I111" s="566"/>
      <c r="J111" s="566"/>
      <c r="K111" s="566"/>
      <c r="L111" s="566"/>
      <c r="M111" s="566"/>
      <c r="N111" s="566"/>
      <c r="O111" s="5"/>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row>
    <row r="112" spans="1:476" s="9" customFormat="1" ht="17.399999999999999">
      <c r="A112" s="70"/>
      <c r="B112" s="70"/>
      <c r="C112" s="70"/>
      <c r="D112" s="565"/>
      <c r="E112" s="565"/>
      <c r="F112" s="565"/>
      <c r="G112" s="565"/>
      <c r="H112" s="565"/>
      <c r="I112" s="565"/>
      <c r="J112" s="565"/>
      <c r="K112" s="565"/>
      <c r="L112" s="565"/>
      <c r="M112" s="565"/>
      <c r="N112" s="565"/>
      <c r="O112" s="5"/>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row>
    <row r="113" spans="1:476" s="9" customFormat="1" ht="13.8">
      <c r="A113" s="1"/>
      <c r="B113" s="1"/>
      <c r="C113" s="1"/>
      <c r="D113" s="1"/>
      <c r="E113" s="1"/>
      <c r="F113" s="1"/>
      <c r="G113" s="1"/>
      <c r="H113" s="1"/>
      <c r="I113" s="1"/>
      <c r="J113" s="1"/>
      <c r="K113" s="1"/>
      <c r="L113" s="1"/>
      <c r="M113" s="1"/>
      <c r="N113" s="1"/>
      <c r="O113" s="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row>
    <row r="114" spans="1:476" s="9" customFormat="1" ht="13.8">
      <c r="A114" s="1"/>
      <c r="B114" s="1"/>
      <c r="C114" s="1"/>
      <c r="D114" s="1"/>
      <c r="E114" s="1"/>
      <c r="F114" s="1"/>
      <c r="G114" s="1"/>
      <c r="H114" s="1"/>
      <c r="I114" s="1"/>
      <c r="J114" s="1"/>
      <c r="K114" s="1"/>
      <c r="L114" s="1"/>
      <c r="M114" s="1"/>
      <c r="N114" s="1"/>
      <c r="O114" s="5"/>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row>
    <row r="115" spans="1:476" s="9" customFormat="1" ht="17.399999999999999">
      <c r="A115" s="90" t="str">
        <f>VLOOKUP(2097,Sprachindex!$A:$Z,Info!$O$7,FALSE)</f>
        <v>Produkttechnik</v>
      </c>
      <c r="B115" s="91"/>
      <c r="C115" s="91"/>
      <c r="D115" s="569"/>
      <c r="E115" s="569"/>
      <c r="F115" s="569"/>
      <c r="G115" s="569"/>
      <c r="H115" s="569"/>
      <c r="I115" s="569"/>
      <c r="J115" s="569"/>
      <c r="K115" s="92" t="str">
        <f>VLOOKUP(856,Sprachindex!$A:$Z,Info!$O$7,FALSE)</f>
        <v>Stand:</v>
      </c>
      <c r="L115" s="567">
        <f>Info!M59</f>
        <v>45511</v>
      </c>
      <c r="M115" s="567"/>
      <c r="N115" s="568"/>
      <c r="O115" s="5"/>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row>
    <row r="116" spans="1:476" s="9" customFormat="1" ht="13.8">
      <c r="A116" s="1"/>
      <c r="B116" s="1"/>
      <c r="C116" s="1"/>
      <c r="D116" s="1"/>
      <c r="E116" s="1"/>
      <c r="F116" s="1"/>
      <c r="G116" s="1"/>
      <c r="H116" s="1"/>
      <c r="I116" s="1"/>
      <c r="J116" s="1"/>
      <c r="K116" s="1"/>
      <c r="L116" s="1"/>
      <c r="M116" s="1"/>
      <c r="N116" s="1"/>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row>
    <row r="117" spans="1:476" s="9" customFormat="1" ht="13.8" hidden="1">
      <c r="A117" s="1"/>
      <c r="B117" s="1"/>
      <c r="C117" s="1"/>
      <c r="D117" s="1"/>
      <c r="E117" s="1"/>
      <c r="F117" s="1"/>
      <c r="G117" s="1"/>
      <c r="H117" s="1"/>
      <c r="I117" s="1"/>
      <c r="J117" s="1"/>
      <c r="K117" s="1"/>
      <c r="L117" s="1"/>
      <c r="M117" s="1"/>
      <c r="N117" s="1"/>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row>
    <row r="118" spans="1:476" s="9" customFormat="1" ht="13.8" hidden="1">
      <c r="A118" s="1"/>
      <c r="B118" s="1"/>
      <c r="C118" s="1"/>
      <c r="D118" s="1"/>
      <c r="E118" s="1"/>
      <c r="F118" s="1"/>
      <c r="G118" s="1"/>
      <c r="H118" s="1"/>
      <c r="I118" s="1"/>
      <c r="J118" s="1"/>
      <c r="K118" s="1"/>
      <c r="L118" s="1"/>
      <c r="M118" s="1"/>
      <c r="N118" s="1"/>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row>
    <row r="119" spans="1:476" s="9" customFormat="1" ht="13.8" hidden="1">
      <c r="A119" s="1"/>
      <c r="B119" s="1"/>
      <c r="C119" s="1"/>
      <c r="D119" s="1"/>
      <c r="E119" s="1"/>
      <c r="F119" s="1"/>
      <c r="G119" s="1"/>
      <c r="H119" s="1"/>
      <c r="I119" s="1"/>
      <c r="J119" s="1"/>
      <c r="K119" s="1"/>
      <c r="L119" s="1"/>
      <c r="M119" s="1"/>
      <c r="N119" s="1"/>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row>
    <row r="120" spans="1:476" s="9" customFormat="1" ht="13.8" hidden="1">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row>
    <row r="121" spans="1:476" s="9" customFormat="1" ht="13.8" hidden="1">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row>
    <row r="122" spans="1:476" s="9" customFormat="1" ht="13.8" hidden="1">
      <c r="A122" s="1"/>
      <c r="B122" s="1"/>
      <c r="C122" s="1"/>
      <c r="D122" s="1"/>
      <c r="E122" s="1"/>
      <c r="F122" s="1"/>
      <c r="G122" s="1"/>
      <c r="H122" s="1"/>
      <c r="I122" s="1"/>
      <c r="J122" s="1"/>
      <c r="K122" s="1"/>
      <c r="L122" s="1"/>
      <c r="M122" s="1"/>
      <c r="N122" s="1"/>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row>
    <row r="123" spans="1:476" s="9" customFormat="1" ht="13.8" hidden="1">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row>
    <row r="124" spans="1:476" s="9" customFormat="1" ht="14.25" hidden="1" customHeight="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row>
    <row r="125" spans="1:476" ht="14.25" hidden="1" customHeight="1"/>
    <row r="126" spans="1:476" ht="14.25" hidden="1" customHeight="1"/>
    <row r="127" spans="1:476" ht="14.25" hidden="1" customHeight="1"/>
    <row r="128" spans="1:476" ht="14.25" hidden="1" customHeight="1"/>
  </sheetData>
  <sheetProtection algorithmName="SHA-512" hashValue="MTiK6S4XZHPFD9/tyBWTex9X3kPJhm8LxXGN590J8yr/9/l4qJEks57gokkuxFhY/tVjS7zPZVov46gs7JW0Kw==" saltValue="x5hm/UZ98pdYN9PJLve7UQ==" spinCount="100000" sheet="1" objects="1" selectLockedCells="1" autoFilter="0"/>
  <protectedRanges>
    <protectedRange password="DEBF" sqref="AC31:AC32" name="darf vom Benutzer nicht verändert werden_1_5_2_1"/>
    <protectedRange password="DEBF" sqref="AD34:AF35 AC34" name="darf vom Benutzer nicht verändert werden_1_1_1"/>
    <protectedRange password="DEBF" sqref="AC33:AF33 AD36:AF36" name="darf vom Benutzer nicht verändert werden_1_2_1"/>
    <protectedRange password="DEBF" sqref="AC35:AC36" name="darf vom Benutzer nicht verändert werden_1_4_1"/>
    <protectedRange password="DEBF" sqref="AC104:AF105 AC37:AF99 AC102 AD102:AF103" name="darf vom Benutzer nicht verändert werden_1_5_1"/>
    <protectedRange password="DEBF" sqref="AD100:AG101" name="darf vom Benutzer nicht verändert werden_1_5_4"/>
  </protectedRanges>
  <autoFilter ref="A29:A106" xr:uid="{00000000-0009-0000-0000-000003000000}"/>
  <mergeCells count="108">
    <mergeCell ref="L115:N115"/>
    <mergeCell ref="D107:N108"/>
    <mergeCell ref="E99:K99"/>
    <mergeCell ref="E78:K78"/>
    <mergeCell ref="E96:K96"/>
    <mergeCell ref="E97:K97"/>
    <mergeCell ref="E98:K98"/>
    <mergeCell ref="E81:K81"/>
    <mergeCell ref="E85:K85"/>
    <mergeCell ref="D115:J115"/>
    <mergeCell ref="E104:K104"/>
    <mergeCell ref="E105:K105"/>
    <mergeCell ref="E106:K106"/>
    <mergeCell ref="E103:G103"/>
    <mergeCell ref="E102:H102"/>
    <mergeCell ref="I102:K102"/>
    <mergeCell ref="E95:K95"/>
    <mergeCell ref="E89:K89"/>
    <mergeCell ref="E100:K100"/>
    <mergeCell ref="E101:K101"/>
    <mergeCell ref="D109:N110"/>
    <mergeCell ref="D111:N112"/>
    <mergeCell ref="E66:K66"/>
    <mergeCell ref="E67:K67"/>
    <mergeCell ref="E68:K68"/>
    <mergeCell ref="E69:K69"/>
    <mergeCell ref="E70:K70"/>
    <mergeCell ref="E73:K73"/>
    <mergeCell ref="E74:K74"/>
    <mergeCell ref="E75:K75"/>
    <mergeCell ref="E76:K76"/>
    <mergeCell ref="E77:K77"/>
    <mergeCell ref="E72:K72"/>
    <mergeCell ref="E71:K71"/>
    <mergeCell ref="E88:K88"/>
    <mergeCell ref="E90:K90"/>
    <mergeCell ref="E91:K91"/>
    <mergeCell ref="E92:K92"/>
    <mergeCell ref="E93:K93"/>
    <mergeCell ref="E94:K94"/>
    <mergeCell ref="E79:K79"/>
    <mergeCell ref="E80:K80"/>
    <mergeCell ref="E82:K82"/>
    <mergeCell ref="E83:K83"/>
    <mergeCell ref="E84:K84"/>
    <mergeCell ref="E86:K86"/>
    <mergeCell ref="E87:K87"/>
    <mergeCell ref="E65:K65"/>
    <mergeCell ref="E56:H56"/>
    <mergeCell ref="J56:K56"/>
    <mergeCell ref="E57:H57"/>
    <mergeCell ref="J57:K57"/>
    <mergeCell ref="E58:K58"/>
    <mergeCell ref="E59:K59"/>
    <mergeCell ref="E60:K60"/>
    <mergeCell ref="E61:K61"/>
    <mergeCell ref="E62:K62"/>
    <mergeCell ref="E63:K63"/>
    <mergeCell ref="E64:K64"/>
    <mergeCell ref="E49:G49"/>
    <mergeCell ref="H49:K49"/>
    <mergeCell ref="E50:K50"/>
    <mergeCell ref="E54:K54"/>
    <mergeCell ref="E55:H55"/>
    <mergeCell ref="J55:K55"/>
    <mergeCell ref="E48:G48"/>
    <mergeCell ref="H48:K48"/>
    <mergeCell ref="E38:G38"/>
    <mergeCell ref="H38:K38"/>
    <mergeCell ref="E39:K39"/>
    <mergeCell ref="E40:K40"/>
    <mergeCell ref="E41:K41"/>
    <mergeCell ref="E42:K42"/>
    <mergeCell ref="E43:K43"/>
    <mergeCell ref="E44:K44"/>
    <mergeCell ref="E45:K45"/>
    <mergeCell ref="E46:K46"/>
    <mergeCell ref="E47:K47"/>
    <mergeCell ref="E52:K52"/>
    <mergeCell ref="E53:K53"/>
    <mergeCell ref="E51:K51"/>
    <mergeCell ref="C20:E20"/>
    <mergeCell ref="C9:E9"/>
    <mergeCell ref="C10:E10"/>
    <mergeCell ref="C11:E11"/>
    <mergeCell ref="C13:E13"/>
    <mergeCell ref="C14:E14"/>
    <mergeCell ref="C15:E15"/>
    <mergeCell ref="C18:E18"/>
    <mergeCell ref="C19:E19"/>
    <mergeCell ref="E37:K37"/>
    <mergeCell ref="C21:E21"/>
    <mergeCell ref="B29:E29"/>
    <mergeCell ref="E30:K30"/>
    <mergeCell ref="E31:K31"/>
    <mergeCell ref="E32:K32"/>
    <mergeCell ref="E33:K33"/>
    <mergeCell ref="E34:K34"/>
    <mergeCell ref="AC29:AD29"/>
    <mergeCell ref="E35:G35"/>
    <mergeCell ref="H35:K35"/>
    <mergeCell ref="E36:G36"/>
    <mergeCell ref="H36:K36"/>
    <mergeCell ref="C24:E24"/>
    <mergeCell ref="C25:E25"/>
    <mergeCell ref="C26:E26"/>
    <mergeCell ref="B24:B27"/>
    <mergeCell ref="C27:E27"/>
  </mergeCells>
  <conditionalFormatting sqref="A31:A106">
    <cfRule type="cellIs" dxfId="1746" priority="276" operator="equal">
      <formula>""</formula>
    </cfRule>
  </conditionalFormatting>
  <conditionalFormatting sqref="B104:E106">
    <cfRule type="cellIs" dxfId="1745" priority="745" operator="equal">
      <formula>""</formula>
    </cfRule>
  </conditionalFormatting>
  <conditionalFormatting sqref="C9:E11">
    <cfRule type="cellIs" dxfId="1743" priority="843" operator="equal">
      <formula>""</formula>
    </cfRule>
  </conditionalFormatting>
  <conditionalFormatting sqref="C13:E15">
    <cfRule type="cellIs" dxfId="1742" priority="840" operator="equal">
      <formula>""</formula>
    </cfRule>
  </conditionalFormatting>
  <conditionalFormatting sqref="C18:E21">
    <cfRule type="cellIs" dxfId="1741" priority="836" operator="equal">
      <formula>""</formula>
    </cfRule>
  </conditionalFormatting>
  <conditionalFormatting sqref="C24:E27">
    <cfRule type="cellIs" dxfId="1740" priority="524" operator="equal">
      <formula>""</formula>
    </cfRule>
  </conditionalFormatting>
  <conditionalFormatting sqref="D67">
    <cfRule type="duplicateValues" dxfId="1739" priority="539"/>
  </conditionalFormatting>
  <conditionalFormatting sqref="D68">
    <cfRule type="duplicateValues" dxfId="1738" priority="540"/>
  </conditionalFormatting>
  <conditionalFormatting sqref="D69">
    <cfRule type="duplicateValues" dxfId="1737" priority="707"/>
  </conditionalFormatting>
  <conditionalFormatting sqref="D77">
    <cfRule type="duplicateValues" dxfId="1736" priority="697"/>
  </conditionalFormatting>
  <conditionalFormatting sqref="H36:K36">
    <cfRule type="cellIs" dxfId="1734" priority="282" operator="equal">
      <formula>""</formula>
    </cfRule>
  </conditionalFormatting>
  <conditionalFormatting sqref="I13">
    <cfRule type="expression" dxfId="1730" priority="1969">
      <formula>$O$13=1</formula>
    </cfRule>
    <cfRule type="expression" dxfId="1729" priority="1968">
      <formula>$O$13=2</formula>
    </cfRule>
  </conditionalFormatting>
  <conditionalFormatting sqref="I21:I22 I28">
    <cfRule type="expression" dxfId="1728" priority="1970">
      <formula>$O$21=10</formula>
    </cfRule>
  </conditionalFormatting>
  <conditionalFormatting sqref="I24:I26">
    <cfRule type="cellIs" dxfId="1727" priority="274" operator="equal">
      <formula>""</formula>
    </cfRule>
  </conditionalFormatting>
  <conditionalFormatting sqref="J21:K22">
    <cfRule type="expression" dxfId="1724" priority="1972">
      <formula>$O$21=10</formula>
    </cfRule>
  </conditionalFormatting>
  <conditionalFormatting sqref="L13">
    <cfRule type="expression" dxfId="1721" priority="1973">
      <formula>$O$13=1</formula>
    </cfRule>
    <cfRule type="expression" dxfId="1720" priority="1974">
      <formula>$O$13=2</formula>
    </cfRule>
  </conditionalFormatting>
  <conditionalFormatting sqref="L104:M106">
    <cfRule type="cellIs" dxfId="1719" priority="757" operator="equal">
      <formula>""</formula>
    </cfRule>
  </conditionalFormatting>
  <conditionalFormatting sqref="AH47">
    <cfRule type="duplicateValues" dxfId="1716" priority="20"/>
  </conditionalFormatting>
  <conditionalFormatting sqref="AH48">
    <cfRule type="duplicateValues" dxfId="1715" priority="34"/>
  </conditionalFormatting>
  <conditionalFormatting sqref="AH49">
    <cfRule type="duplicateValues" dxfId="1714" priority="27"/>
  </conditionalFormatting>
  <conditionalFormatting sqref="AH50 AH52:AH53">
    <cfRule type="duplicateValues" dxfId="1713" priority="236"/>
  </conditionalFormatting>
  <conditionalFormatting sqref="AH86">
    <cfRule type="duplicateValues" dxfId="1712" priority="75"/>
  </conditionalFormatting>
  <conditionalFormatting sqref="AH102:AL102">
    <cfRule type="duplicateValues" dxfId="1711" priority="43"/>
  </conditionalFormatting>
  <conditionalFormatting sqref="AH40:AP40 AR40:AZ40">
    <cfRule type="duplicateValues" dxfId="1710" priority="256"/>
  </conditionalFormatting>
  <conditionalFormatting sqref="AH46:AP46">
    <cfRule type="duplicateValues" dxfId="1709" priority="261"/>
  </conditionalFormatting>
  <conditionalFormatting sqref="AH51:AP51">
    <cfRule type="duplicateValues" dxfId="1708" priority="48"/>
  </conditionalFormatting>
  <conditionalFormatting sqref="AH54:AP54">
    <cfRule type="duplicateValues" dxfId="1707" priority="128"/>
  </conditionalFormatting>
  <conditionalFormatting sqref="AH55:AP55">
    <cfRule type="duplicateValues" dxfId="1706" priority="207"/>
  </conditionalFormatting>
  <conditionalFormatting sqref="AH56:AP56 AR56:AZ56">
    <cfRule type="duplicateValues" dxfId="1705" priority="168"/>
  </conditionalFormatting>
  <conditionalFormatting sqref="AH57:AP57 AR57:BA57">
    <cfRule type="duplicateValues" dxfId="1704" priority="124"/>
  </conditionalFormatting>
  <conditionalFormatting sqref="AH62:AP62">
    <cfRule type="duplicateValues" dxfId="1703" priority="139"/>
  </conditionalFormatting>
  <conditionalFormatting sqref="AH63:AP63">
    <cfRule type="duplicateValues" dxfId="1702" priority="137"/>
  </conditionalFormatting>
  <conditionalFormatting sqref="AH64:AP64">
    <cfRule type="duplicateValues" dxfId="1701" priority="132"/>
  </conditionalFormatting>
  <conditionalFormatting sqref="AH65:AP65">
    <cfRule type="duplicateValues" dxfId="1700" priority="130"/>
  </conditionalFormatting>
  <conditionalFormatting sqref="AH66:AP66">
    <cfRule type="duplicateValues" dxfId="1699" priority="135"/>
  </conditionalFormatting>
  <conditionalFormatting sqref="AH75:AP75">
    <cfRule type="duplicateValues" dxfId="1698" priority="87"/>
  </conditionalFormatting>
  <conditionalFormatting sqref="AH76:AP76">
    <cfRule type="duplicateValues" dxfId="1697" priority="84"/>
  </conditionalFormatting>
  <conditionalFormatting sqref="AH80:AP80">
    <cfRule type="duplicateValues" dxfId="1696" priority="79"/>
  </conditionalFormatting>
  <conditionalFormatting sqref="AH82:AP82">
    <cfRule type="duplicateValues" dxfId="1695" priority="80"/>
  </conditionalFormatting>
  <conditionalFormatting sqref="AH83:AP83">
    <cfRule type="duplicateValues" dxfId="1694" priority="78"/>
  </conditionalFormatting>
  <conditionalFormatting sqref="AH84:AP84">
    <cfRule type="duplicateValues" dxfId="1693" priority="77"/>
  </conditionalFormatting>
  <conditionalFormatting sqref="AH87:AP87">
    <cfRule type="duplicateValues" dxfId="1692" priority="74"/>
  </conditionalFormatting>
  <conditionalFormatting sqref="AH88:AP88">
    <cfRule type="duplicateValues" dxfId="1691" priority="73"/>
  </conditionalFormatting>
  <conditionalFormatting sqref="AH89:AP89">
    <cfRule type="duplicateValues" dxfId="1690" priority="72"/>
  </conditionalFormatting>
  <conditionalFormatting sqref="AH90:AP90">
    <cfRule type="duplicateValues" dxfId="1689" priority="71"/>
  </conditionalFormatting>
  <conditionalFormatting sqref="AH91:AP91">
    <cfRule type="duplicateValues" dxfId="1688" priority="70"/>
  </conditionalFormatting>
  <conditionalFormatting sqref="AH92:AP92">
    <cfRule type="duplicateValues" dxfId="1687" priority="81"/>
  </conditionalFormatting>
  <conditionalFormatting sqref="AH93:AP93">
    <cfRule type="duplicateValues" dxfId="1686" priority="69"/>
  </conditionalFormatting>
  <conditionalFormatting sqref="AH94:AP94">
    <cfRule type="duplicateValues" dxfId="1685" priority="68"/>
  </conditionalFormatting>
  <conditionalFormatting sqref="AH95:AP95">
    <cfRule type="duplicateValues" dxfId="1684" priority="265"/>
  </conditionalFormatting>
  <conditionalFormatting sqref="AH103:AP103">
    <cfRule type="duplicateValues" dxfId="1683" priority="42"/>
  </conditionalFormatting>
  <conditionalFormatting sqref="AH37:AQ37">
    <cfRule type="duplicateValues" dxfId="1682" priority="49"/>
  </conditionalFormatting>
  <conditionalFormatting sqref="AH44:AQ44">
    <cfRule type="duplicateValues" dxfId="1681" priority="227"/>
  </conditionalFormatting>
  <conditionalFormatting sqref="AH45:AQ45">
    <cfRule type="duplicateValues" dxfId="1680" priority="260"/>
  </conditionalFormatting>
  <conditionalFormatting sqref="AH58:AQ58">
    <cfRule type="duplicateValues" dxfId="1679" priority="142"/>
  </conditionalFormatting>
  <conditionalFormatting sqref="AH59:AQ59">
    <cfRule type="duplicateValues" dxfId="1678" priority="133"/>
  </conditionalFormatting>
  <conditionalFormatting sqref="AH60:AQ60">
    <cfRule type="duplicateValues" dxfId="1677" priority="141"/>
  </conditionalFormatting>
  <conditionalFormatting sqref="AH61:AQ61 AQ62:AQ64">
    <cfRule type="duplicateValues" dxfId="1676" priority="140"/>
  </conditionalFormatting>
  <conditionalFormatting sqref="AH71:AQ71 AH70:AP70">
    <cfRule type="duplicateValues" dxfId="1675" priority="269"/>
  </conditionalFormatting>
  <conditionalFormatting sqref="AH73:AQ73">
    <cfRule type="duplicateValues" dxfId="1674" priority="89"/>
  </conditionalFormatting>
  <conditionalFormatting sqref="AH74:AQ74">
    <cfRule type="duplicateValues" dxfId="1673" priority="88"/>
  </conditionalFormatting>
  <conditionalFormatting sqref="AH79:AQ79">
    <cfRule type="duplicateValues" dxfId="1672" priority="266"/>
  </conditionalFormatting>
  <conditionalFormatting sqref="AH81:AQ81">
    <cfRule type="duplicateValues" dxfId="1671" priority="44"/>
  </conditionalFormatting>
  <conditionalFormatting sqref="AH85:AQ85">
    <cfRule type="duplicateValues" dxfId="1670" priority="45"/>
  </conditionalFormatting>
  <conditionalFormatting sqref="AH31:AU32">
    <cfRule type="duplicateValues" dxfId="1669" priority="37"/>
  </conditionalFormatting>
  <conditionalFormatting sqref="AH72:AU72">
    <cfRule type="duplicateValues" dxfId="1668" priority="6"/>
  </conditionalFormatting>
  <conditionalFormatting sqref="AH78:AU78">
    <cfRule type="duplicateValues" dxfId="1667" priority="4"/>
  </conditionalFormatting>
  <conditionalFormatting sqref="AH42:AZ42">
    <cfRule type="duplicateValues" dxfId="1666" priority="258"/>
  </conditionalFormatting>
  <conditionalFormatting sqref="AH43:BA43">
    <cfRule type="duplicateValues" dxfId="1665" priority="259"/>
  </conditionalFormatting>
  <conditionalFormatting sqref="AI47">
    <cfRule type="duplicateValues" dxfId="1664" priority="17"/>
  </conditionalFormatting>
  <conditionalFormatting sqref="AI48">
    <cfRule type="duplicateValues" dxfId="1663" priority="31"/>
  </conditionalFormatting>
  <conditionalFormatting sqref="AI49">
    <cfRule type="duplicateValues" dxfId="1662" priority="24"/>
  </conditionalFormatting>
  <conditionalFormatting sqref="AI50 AI52:AI53">
    <cfRule type="duplicateValues" dxfId="1661" priority="235"/>
  </conditionalFormatting>
  <conditionalFormatting sqref="AI86:AP86">
    <cfRule type="duplicateValues" dxfId="1660" priority="76"/>
  </conditionalFormatting>
  <conditionalFormatting sqref="AJ47">
    <cfRule type="duplicateValues" dxfId="1659" priority="18"/>
  </conditionalFormatting>
  <conditionalFormatting sqref="AJ48">
    <cfRule type="duplicateValues" dxfId="1658" priority="32"/>
  </conditionalFormatting>
  <conditionalFormatting sqref="AJ49">
    <cfRule type="duplicateValues" dxfId="1657" priority="25"/>
  </conditionalFormatting>
  <conditionalFormatting sqref="AJ50 AJ52:AJ53">
    <cfRule type="duplicateValues" dxfId="1656" priority="234"/>
  </conditionalFormatting>
  <conditionalFormatting sqref="AK47">
    <cfRule type="duplicateValues" dxfId="1655" priority="14"/>
  </conditionalFormatting>
  <conditionalFormatting sqref="AK48">
    <cfRule type="duplicateValues" dxfId="1654" priority="28"/>
  </conditionalFormatting>
  <conditionalFormatting sqref="AK49">
    <cfRule type="duplicateValues" dxfId="1653" priority="26"/>
  </conditionalFormatting>
  <conditionalFormatting sqref="AK50 AK52:AK53">
    <cfRule type="duplicateValues" dxfId="1652" priority="233"/>
  </conditionalFormatting>
  <conditionalFormatting sqref="AL47">
    <cfRule type="duplicateValues" dxfId="1651" priority="13"/>
  </conditionalFormatting>
  <conditionalFormatting sqref="AL50 AL52:AL53">
    <cfRule type="duplicateValues" dxfId="1650" priority="232"/>
  </conditionalFormatting>
  <conditionalFormatting sqref="AM47">
    <cfRule type="duplicateValues" dxfId="1649" priority="19"/>
  </conditionalFormatting>
  <conditionalFormatting sqref="AM48">
    <cfRule type="duplicateValues" dxfId="1648" priority="33"/>
  </conditionalFormatting>
  <conditionalFormatting sqref="AM49">
    <cfRule type="duplicateValues" dxfId="1647" priority="23"/>
  </conditionalFormatting>
  <conditionalFormatting sqref="AM50 AM52:AM53">
    <cfRule type="duplicateValues" dxfId="1646" priority="231"/>
  </conditionalFormatting>
  <conditionalFormatting sqref="AN47">
    <cfRule type="duplicateValues" dxfId="1645" priority="15"/>
  </conditionalFormatting>
  <conditionalFormatting sqref="AN48">
    <cfRule type="duplicateValues" dxfId="1644" priority="29"/>
  </conditionalFormatting>
  <conditionalFormatting sqref="AN49">
    <cfRule type="duplicateValues" dxfId="1643" priority="21"/>
  </conditionalFormatting>
  <conditionalFormatting sqref="AN50 AN52:AN53">
    <cfRule type="duplicateValues" dxfId="1642" priority="230"/>
  </conditionalFormatting>
  <conditionalFormatting sqref="AO47">
    <cfRule type="duplicateValues" dxfId="1641" priority="16"/>
  </conditionalFormatting>
  <conditionalFormatting sqref="AO48">
    <cfRule type="duplicateValues" dxfId="1640" priority="30"/>
  </conditionalFormatting>
  <conditionalFormatting sqref="AO49">
    <cfRule type="duplicateValues" dxfId="1639" priority="22"/>
  </conditionalFormatting>
  <conditionalFormatting sqref="AO50 AO52:AO53">
    <cfRule type="duplicateValues" dxfId="1638" priority="229"/>
  </conditionalFormatting>
  <conditionalFormatting sqref="AP47">
    <cfRule type="duplicateValues" dxfId="1637" priority="12"/>
  </conditionalFormatting>
  <conditionalFormatting sqref="AP48">
    <cfRule type="duplicateValues" dxfId="1636" priority="11"/>
  </conditionalFormatting>
  <conditionalFormatting sqref="AP49">
    <cfRule type="duplicateValues" dxfId="1635" priority="10"/>
  </conditionalFormatting>
  <conditionalFormatting sqref="AP50 AP52:AP53">
    <cfRule type="duplicateValues" dxfId="1634" priority="228"/>
  </conditionalFormatting>
  <conditionalFormatting sqref="AQ40">
    <cfRule type="duplicateValues" dxfId="1633" priority="255"/>
  </conditionalFormatting>
  <conditionalFormatting sqref="AQ46">
    <cfRule type="duplicateValues" dxfId="1632" priority="252"/>
  </conditionalFormatting>
  <conditionalFormatting sqref="AQ47">
    <cfRule type="duplicateValues" dxfId="1631" priority="7"/>
  </conditionalFormatting>
  <conditionalFormatting sqref="AQ48">
    <cfRule type="duplicateValues" dxfId="1630" priority="9"/>
  </conditionalFormatting>
  <conditionalFormatting sqref="AQ49">
    <cfRule type="duplicateValues" dxfId="1629" priority="8"/>
  </conditionalFormatting>
  <conditionalFormatting sqref="AQ50 AQ52:AQ53">
    <cfRule type="duplicateValues" dxfId="1628" priority="213"/>
  </conditionalFormatting>
  <conditionalFormatting sqref="AQ54">
    <cfRule type="duplicateValues" dxfId="1627" priority="127"/>
  </conditionalFormatting>
  <conditionalFormatting sqref="AQ62">
    <cfRule type="duplicateValues" dxfId="1626" priority="138"/>
  </conditionalFormatting>
  <conditionalFormatting sqref="AQ63">
    <cfRule type="duplicateValues" dxfId="1625" priority="136"/>
  </conditionalFormatting>
  <conditionalFormatting sqref="AQ64">
    <cfRule type="duplicateValues" dxfId="1624" priority="131"/>
  </conditionalFormatting>
  <conditionalFormatting sqref="AQ65">
    <cfRule type="duplicateValues" dxfId="1623" priority="129"/>
  </conditionalFormatting>
  <conditionalFormatting sqref="AQ66">
    <cfRule type="duplicateValues" dxfId="1622" priority="134"/>
  </conditionalFormatting>
  <conditionalFormatting sqref="AQ70">
    <cfRule type="duplicateValues" dxfId="1621" priority="90"/>
  </conditionalFormatting>
  <conditionalFormatting sqref="AQ75">
    <cfRule type="duplicateValues" dxfId="1620" priority="86"/>
  </conditionalFormatting>
  <conditionalFormatting sqref="AQ76">
    <cfRule type="duplicateValues" dxfId="1619" priority="85"/>
  </conditionalFormatting>
  <conditionalFormatting sqref="AQ80">
    <cfRule type="duplicateValues" dxfId="1618" priority="67"/>
  </conditionalFormatting>
  <conditionalFormatting sqref="AQ82">
    <cfRule type="duplicateValues" dxfId="1617" priority="64"/>
  </conditionalFormatting>
  <conditionalFormatting sqref="AQ83">
    <cfRule type="duplicateValues" dxfId="1616" priority="66"/>
  </conditionalFormatting>
  <conditionalFormatting sqref="AQ84">
    <cfRule type="duplicateValues" dxfId="1615" priority="65"/>
  </conditionalFormatting>
  <conditionalFormatting sqref="AQ86">
    <cfRule type="duplicateValues" dxfId="1614" priority="62"/>
  </conditionalFormatting>
  <conditionalFormatting sqref="AQ87">
    <cfRule type="duplicateValues" dxfId="1613" priority="61"/>
  </conditionalFormatting>
  <conditionalFormatting sqref="AQ88">
    <cfRule type="duplicateValues" dxfId="1612" priority="60"/>
  </conditionalFormatting>
  <conditionalFormatting sqref="AQ89">
    <cfRule type="duplicateValues" dxfId="1611" priority="59"/>
  </conditionalFormatting>
  <conditionalFormatting sqref="AQ90">
    <cfRule type="duplicateValues" dxfId="1610" priority="58"/>
  </conditionalFormatting>
  <conditionalFormatting sqref="AQ91">
    <cfRule type="duplicateValues" dxfId="1609" priority="57"/>
  </conditionalFormatting>
  <conditionalFormatting sqref="AQ92">
    <cfRule type="duplicateValues" dxfId="1608" priority="63"/>
  </conditionalFormatting>
  <conditionalFormatting sqref="AQ93">
    <cfRule type="duplicateValues" dxfId="1607" priority="56"/>
  </conditionalFormatting>
  <conditionalFormatting sqref="AQ94">
    <cfRule type="duplicateValues" dxfId="1606" priority="55"/>
  </conditionalFormatting>
  <conditionalFormatting sqref="AQ95">
    <cfRule type="duplicateValues" dxfId="1605" priority="264"/>
  </conditionalFormatting>
  <conditionalFormatting sqref="AQ103">
    <cfRule type="duplicateValues" dxfId="1604" priority="38"/>
  </conditionalFormatting>
  <conditionalFormatting sqref="AR103:AU103">
    <cfRule type="duplicateValues" dxfId="1603" priority="41"/>
  </conditionalFormatting>
  <conditionalFormatting sqref="AR41:AZ41 AH41:AP41">
    <cfRule type="duplicateValues" dxfId="1602" priority="257"/>
  </conditionalFormatting>
  <conditionalFormatting sqref="AR44:AZ44">
    <cfRule type="duplicateValues" dxfId="1601" priority="225"/>
  </conditionalFormatting>
  <conditionalFormatting sqref="AR46:AZ46">
    <cfRule type="duplicateValues" dxfId="1600" priority="253"/>
  </conditionalFormatting>
  <conditionalFormatting sqref="AR51:AZ51">
    <cfRule type="duplicateValues" dxfId="1599" priority="47"/>
  </conditionalFormatting>
  <conditionalFormatting sqref="AR54:AZ54">
    <cfRule type="duplicateValues" dxfId="1598" priority="118"/>
  </conditionalFormatting>
  <conditionalFormatting sqref="AR45:BA45">
    <cfRule type="duplicateValues" dxfId="1597" priority="254"/>
  </conditionalFormatting>
  <conditionalFormatting sqref="AR55:BA55">
    <cfRule type="duplicateValues" dxfId="1596" priority="206"/>
  </conditionalFormatting>
  <conditionalFormatting sqref="AV103:AZ103">
    <cfRule type="duplicateValues" dxfId="1595" priority="40"/>
  </conditionalFormatting>
  <conditionalFormatting sqref="AV31:BA32">
    <cfRule type="duplicateValues" dxfId="1594" priority="36"/>
  </conditionalFormatting>
  <conditionalFormatting sqref="AV72:BA72">
    <cfRule type="duplicateValues" dxfId="1593" priority="5"/>
  </conditionalFormatting>
  <conditionalFormatting sqref="AV78:BA78">
    <cfRule type="duplicateValues" dxfId="1592" priority="3"/>
  </conditionalFormatting>
  <conditionalFormatting sqref="BA40:BA42">
    <cfRule type="duplicateValues" dxfId="1591" priority="35"/>
  </conditionalFormatting>
  <conditionalFormatting sqref="BA44">
    <cfRule type="duplicateValues" dxfId="1590" priority="226"/>
  </conditionalFormatting>
  <conditionalFormatting sqref="BA46">
    <cfRule type="duplicateValues" dxfId="1589" priority="251"/>
  </conditionalFormatting>
  <conditionalFormatting sqref="BA51">
    <cfRule type="duplicateValues" dxfId="1588" priority="46"/>
  </conditionalFormatting>
  <conditionalFormatting sqref="BA54">
    <cfRule type="duplicateValues" dxfId="1587" priority="117"/>
  </conditionalFormatting>
  <conditionalFormatting sqref="BA56">
    <cfRule type="duplicateValues" dxfId="1586" priority="116"/>
  </conditionalFormatting>
  <conditionalFormatting sqref="BA103">
    <cfRule type="duplicateValues" dxfId="1585" priority="39"/>
  </conditionalFormatting>
  <conditionalFormatting sqref="BC55:BK55">
    <cfRule type="duplicateValues" dxfId="1584" priority="205"/>
  </conditionalFormatting>
  <conditionalFormatting sqref="BC56:BK56 BM56:BU56">
    <cfRule type="duplicateValues" dxfId="1583" priority="148"/>
  </conditionalFormatting>
  <conditionalFormatting sqref="BC57:BK57 BM57:BV57">
    <cfRule type="duplicateValues" dxfId="1582" priority="123"/>
  </conditionalFormatting>
  <conditionalFormatting sqref="BM55:BU55">
    <cfRule type="duplicateValues" dxfId="1581" priority="204"/>
  </conditionalFormatting>
  <conditionalFormatting sqref="BV55">
    <cfRule type="duplicateValues" dxfId="1580" priority="115"/>
  </conditionalFormatting>
  <conditionalFormatting sqref="BV56">
    <cfRule type="duplicateValues" dxfId="1579" priority="114"/>
  </conditionalFormatting>
  <conditionalFormatting sqref="BX55">
    <cfRule type="duplicateValues" dxfId="1578" priority="167"/>
  </conditionalFormatting>
  <conditionalFormatting sqref="BX56:CF56 CH56:CP56">
    <cfRule type="duplicateValues" dxfId="1577" priority="147"/>
  </conditionalFormatting>
  <conditionalFormatting sqref="BX57:CF57 CH57:CQ57">
    <cfRule type="duplicateValues" dxfId="1576" priority="122"/>
  </conditionalFormatting>
  <conditionalFormatting sqref="BY55:CF55">
    <cfRule type="duplicateValues" dxfId="1575" priority="203"/>
  </conditionalFormatting>
  <conditionalFormatting sqref="CH55:CQ55">
    <cfRule type="duplicateValues" dxfId="1574" priority="202"/>
  </conditionalFormatting>
  <conditionalFormatting sqref="CQ56">
    <cfRule type="duplicateValues" dxfId="1573" priority="113"/>
  </conditionalFormatting>
  <conditionalFormatting sqref="CS55">
    <cfRule type="duplicateValues" dxfId="1572" priority="166"/>
  </conditionalFormatting>
  <conditionalFormatting sqref="CS56:DA56 DX56:EF56">
    <cfRule type="duplicateValues" dxfId="1571" priority="146"/>
  </conditionalFormatting>
  <conditionalFormatting sqref="CS57:DA57 DX57:EG57">
    <cfRule type="duplicateValues" dxfId="1570" priority="121"/>
  </conditionalFormatting>
  <conditionalFormatting sqref="CT55:DA55">
    <cfRule type="duplicateValues" dxfId="1569" priority="208"/>
  </conditionalFormatting>
  <conditionalFormatting sqref="DC55:DK55">
    <cfRule type="duplicateValues" dxfId="1568" priority="209"/>
  </conditionalFormatting>
  <conditionalFormatting sqref="DC56:DK56">
    <cfRule type="duplicateValues" dxfId="1567" priority="125"/>
  </conditionalFormatting>
  <conditionalFormatting sqref="DC57:DL57">
    <cfRule type="duplicateValues" dxfId="1566" priority="119"/>
  </conditionalFormatting>
  <conditionalFormatting sqref="DL55">
    <cfRule type="duplicateValues" dxfId="1565" priority="112"/>
  </conditionalFormatting>
  <conditionalFormatting sqref="DL56">
    <cfRule type="duplicateValues" dxfId="1564" priority="111"/>
  </conditionalFormatting>
  <conditionalFormatting sqref="DN55">
    <cfRule type="duplicateValues" dxfId="1563" priority="165"/>
  </conditionalFormatting>
  <conditionalFormatting sqref="DO55:DV55">
    <cfRule type="duplicateValues" dxfId="1562" priority="200"/>
  </conditionalFormatting>
  <conditionalFormatting sqref="DX55:EF55">
    <cfRule type="duplicateValues" dxfId="1561" priority="201"/>
  </conditionalFormatting>
  <conditionalFormatting sqref="EG55">
    <cfRule type="duplicateValues" dxfId="1560" priority="110"/>
  </conditionalFormatting>
  <conditionalFormatting sqref="EG56">
    <cfRule type="duplicateValues" dxfId="1559" priority="109"/>
  </conditionalFormatting>
  <conditionalFormatting sqref="EI55">
    <cfRule type="duplicateValues" dxfId="1558" priority="164"/>
  </conditionalFormatting>
  <conditionalFormatting sqref="EI56:EQ56 ES56:FA56">
    <cfRule type="duplicateValues" dxfId="1557" priority="145"/>
  </conditionalFormatting>
  <conditionalFormatting sqref="EI57:EQ57 ES57:FB57">
    <cfRule type="duplicateValues" dxfId="1556" priority="120"/>
  </conditionalFormatting>
  <conditionalFormatting sqref="EJ55:EQ55">
    <cfRule type="duplicateValues" dxfId="1555" priority="199"/>
  </conditionalFormatting>
  <conditionalFormatting sqref="ES55:FA55">
    <cfRule type="duplicateValues" dxfId="1554" priority="126"/>
  </conditionalFormatting>
  <conditionalFormatting sqref="FB55">
    <cfRule type="duplicateValues" dxfId="1553" priority="108"/>
  </conditionalFormatting>
  <conditionalFormatting sqref="FB56">
    <cfRule type="duplicateValues" dxfId="1552" priority="107"/>
  </conditionalFormatting>
  <conditionalFormatting sqref="FD55">
    <cfRule type="duplicateValues" dxfId="1551" priority="163"/>
  </conditionalFormatting>
  <conditionalFormatting sqref="FD56:FL56 FN56:FV56">
    <cfRule type="duplicateValues" dxfId="1550" priority="144"/>
  </conditionalFormatting>
  <conditionalFormatting sqref="FE55:FL55">
    <cfRule type="duplicateValues" dxfId="1549" priority="198"/>
  </conditionalFormatting>
  <conditionalFormatting sqref="FN55:FV55">
    <cfRule type="duplicateValues" dxfId="1548" priority="197"/>
  </conditionalFormatting>
  <conditionalFormatting sqref="FW55">
    <cfRule type="duplicateValues" dxfId="1547" priority="106"/>
  </conditionalFormatting>
  <conditionalFormatting sqref="FW56">
    <cfRule type="duplicateValues" dxfId="1546" priority="105"/>
  </conditionalFormatting>
  <conditionalFormatting sqref="FY55">
    <cfRule type="duplicateValues" dxfId="1545" priority="162"/>
  </conditionalFormatting>
  <conditionalFormatting sqref="FY56:GG56 GI56:GQ56">
    <cfRule type="duplicateValues" dxfId="1544" priority="143"/>
  </conditionalFormatting>
  <conditionalFormatting sqref="FZ55:GG55">
    <cfRule type="duplicateValues" dxfId="1543" priority="196"/>
  </conditionalFormatting>
  <conditionalFormatting sqref="GI55:GQ55">
    <cfRule type="duplicateValues" dxfId="1542" priority="195"/>
  </conditionalFormatting>
  <conditionalFormatting sqref="GR55">
    <cfRule type="duplicateValues" dxfId="1541" priority="104"/>
  </conditionalFormatting>
  <conditionalFormatting sqref="GR56">
    <cfRule type="duplicateValues" dxfId="1540" priority="103"/>
  </conditionalFormatting>
  <conditionalFormatting sqref="GT55">
    <cfRule type="duplicateValues" dxfId="1539" priority="161"/>
  </conditionalFormatting>
  <conditionalFormatting sqref="GU55:HB55">
    <cfRule type="duplicateValues" dxfId="1538" priority="194"/>
  </conditionalFormatting>
  <conditionalFormatting sqref="HD55:HL55">
    <cfRule type="duplicateValues" dxfId="1537" priority="193"/>
  </conditionalFormatting>
  <conditionalFormatting sqref="HM55">
    <cfRule type="duplicateValues" dxfId="1536" priority="91"/>
  </conditionalFormatting>
  <conditionalFormatting sqref="HO55">
    <cfRule type="duplicateValues" dxfId="1535" priority="160"/>
  </conditionalFormatting>
  <conditionalFormatting sqref="HP55:HW55">
    <cfRule type="duplicateValues" dxfId="1534" priority="192"/>
  </conditionalFormatting>
  <conditionalFormatting sqref="HY55:IG55">
    <cfRule type="duplicateValues" dxfId="1533" priority="191"/>
  </conditionalFormatting>
  <conditionalFormatting sqref="IH55">
    <cfRule type="duplicateValues" dxfId="1532" priority="92"/>
  </conditionalFormatting>
  <conditionalFormatting sqref="IJ55">
    <cfRule type="duplicateValues" dxfId="1531" priority="159"/>
  </conditionalFormatting>
  <conditionalFormatting sqref="IK55:IR55">
    <cfRule type="duplicateValues" dxfId="1530" priority="190"/>
  </conditionalFormatting>
  <conditionalFormatting sqref="IT55:JB55">
    <cfRule type="duplicateValues" dxfId="1529" priority="189"/>
  </conditionalFormatting>
  <conditionalFormatting sqref="JC55">
    <cfRule type="duplicateValues" dxfId="1528" priority="93"/>
  </conditionalFormatting>
  <conditionalFormatting sqref="JE55">
    <cfRule type="duplicateValues" dxfId="1527" priority="158"/>
  </conditionalFormatting>
  <conditionalFormatting sqref="JF55:JM55">
    <cfRule type="duplicateValues" dxfId="1526" priority="188"/>
  </conditionalFormatting>
  <conditionalFormatting sqref="JO55:JW55">
    <cfRule type="duplicateValues" dxfId="1525" priority="187"/>
  </conditionalFormatting>
  <conditionalFormatting sqref="JX55">
    <cfRule type="duplicateValues" dxfId="1524" priority="94"/>
  </conditionalFormatting>
  <conditionalFormatting sqref="JZ55">
    <cfRule type="duplicateValues" dxfId="1523" priority="157"/>
  </conditionalFormatting>
  <conditionalFormatting sqref="KA55:KH55">
    <cfRule type="duplicateValues" dxfId="1522" priority="186"/>
  </conditionalFormatting>
  <conditionalFormatting sqref="KJ55:KR55">
    <cfRule type="duplicateValues" dxfId="1521" priority="185"/>
  </conditionalFormatting>
  <conditionalFormatting sqref="KS55">
    <cfRule type="duplicateValues" dxfId="1520" priority="95"/>
  </conditionalFormatting>
  <conditionalFormatting sqref="KU55">
    <cfRule type="duplicateValues" dxfId="1519" priority="156"/>
  </conditionalFormatting>
  <conditionalFormatting sqref="KV55:LC55">
    <cfRule type="duplicateValues" dxfId="1518" priority="184"/>
  </conditionalFormatting>
  <conditionalFormatting sqref="LE55:LM55">
    <cfRule type="duplicateValues" dxfId="1517" priority="183"/>
  </conditionalFormatting>
  <conditionalFormatting sqref="LN55">
    <cfRule type="duplicateValues" dxfId="1516" priority="96"/>
  </conditionalFormatting>
  <conditionalFormatting sqref="LP55">
    <cfRule type="duplicateValues" dxfId="1515" priority="155"/>
  </conditionalFormatting>
  <conditionalFormatting sqref="LQ55:LX55">
    <cfRule type="duplicateValues" dxfId="1514" priority="181"/>
  </conditionalFormatting>
  <conditionalFormatting sqref="LZ55:MH55">
    <cfRule type="duplicateValues" dxfId="1513" priority="182"/>
  </conditionalFormatting>
  <conditionalFormatting sqref="MI55">
    <cfRule type="duplicateValues" dxfId="1512" priority="97"/>
  </conditionalFormatting>
  <conditionalFormatting sqref="MK55">
    <cfRule type="duplicateValues" dxfId="1511" priority="154"/>
  </conditionalFormatting>
  <conditionalFormatting sqref="ML55:MS55">
    <cfRule type="duplicateValues" dxfId="1510" priority="180"/>
  </conditionalFormatting>
  <conditionalFormatting sqref="MU55:NC55">
    <cfRule type="duplicateValues" dxfId="1509" priority="179"/>
  </conditionalFormatting>
  <conditionalFormatting sqref="ND55">
    <cfRule type="duplicateValues" dxfId="1508" priority="98"/>
  </conditionalFormatting>
  <conditionalFormatting sqref="NF55">
    <cfRule type="duplicateValues" dxfId="1507" priority="153"/>
  </conditionalFormatting>
  <conditionalFormatting sqref="NG55:NN55">
    <cfRule type="duplicateValues" dxfId="1506" priority="178"/>
  </conditionalFormatting>
  <conditionalFormatting sqref="NP55:NX55">
    <cfRule type="duplicateValues" dxfId="1505" priority="177"/>
  </conditionalFormatting>
  <conditionalFormatting sqref="NY55">
    <cfRule type="duplicateValues" dxfId="1504" priority="99"/>
  </conditionalFormatting>
  <conditionalFormatting sqref="OA55">
    <cfRule type="duplicateValues" dxfId="1503" priority="152"/>
  </conditionalFormatting>
  <conditionalFormatting sqref="OB55:OI55">
    <cfRule type="duplicateValues" dxfId="1502" priority="176"/>
  </conditionalFormatting>
  <conditionalFormatting sqref="OK55:OS55">
    <cfRule type="duplicateValues" dxfId="1501" priority="175"/>
  </conditionalFormatting>
  <conditionalFormatting sqref="OT55">
    <cfRule type="duplicateValues" dxfId="1500" priority="100"/>
  </conditionalFormatting>
  <conditionalFormatting sqref="OV55">
    <cfRule type="duplicateValues" dxfId="1499" priority="151"/>
  </conditionalFormatting>
  <conditionalFormatting sqref="OW55:PD55">
    <cfRule type="duplicateValues" dxfId="1498" priority="174"/>
  </conditionalFormatting>
  <conditionalFormatting sqref="PF55:PN55">
    <cfRule type="duplicateValues" dxfId="1497" priority="173"/>
  </conditionalFormatting>
  <conditionalFormatting sqref="PO55">
    <cfRule type="duplicateValues" dxfId="1496" priority="101"/>
  </conditionalFormatting>
  <conditionalFormatting sqref="PQ55">
    <cfRule type="duplicateValues" dxfId="1495" priority="150"/>
  </conditionalFormatting>
  <conditionalFormatting sqref="PR55:PY55">
    <cfRule type="duplicateValues" dxfId="1494" priority="172"/>
  </conditionalFormatting>
  <conditionalFormatting sqref="QA55:QI55">
    <cfRule type="duplicateValues" dxfId="1493" priority="171"/>
  </conditionalFormatting>
  <conditionalFormatting sqref="QJ55">
    <cfRule type="duplicateValues" dxfId="1492" priority="102"/>
  </conditionalFormatting>
  <conditionalFormatting sqref="QL55">
    <cfRule type="duplicateValues" dxfId="1491" priority="149"/>
  </conditionalFormatting>
  <conditionalFormatting sqref="QM55:QT55">
    <cfRule type="duplicateValues" dxfId="1490" priority="170"/>
  </conditionalFormatting>
  <conditionalFormatting sqref="QV55:RE55">
    <cfRule type="duplicateValues" dxfId="1489" priority="169"/>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62476" r:id="rId6" name="Group Box 12">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62477" r:id="rId7"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8"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9"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10"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94" r:id="rId11" name="Group Box 30">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62495" r:id="rId12"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13"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62466" r:id="rId14" name="Group Box 2">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62467" r:id="rId15" name="Option Button 3">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62468" r:id="rId16" name="Option Button 4">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62469" r:id="rId17" name="Option Button 5">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62470" r:id="rId18" name="Option Button 6">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62471" r:id="rId19" name="Option Button 7">
              <controlPr defaultSize="0" autoFill="0" autoLine="0" autoPict="0" altText="">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62472" r:id="rId20" name="Option Button 8">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62473" r:id="rId21" name="Option Button 9">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62474" r:id="rId22" name="Option Button 10">
              <controlPr defaultSize="0" autoFill="0" autoLine="0" autoPict="0" altText="">
                <anchor moveWithCells="1">
                  <from>
                    <xdr:col>8</xdr:col>
                    <xdr:colOff>762000</xdr:colOff>
                    <xdr:row>17</xdr:row>
                    <xdr:rowOff>0</xdr:rowOff>
                  </from>
                  <to>
                    <xdr:col>10</xdr:col>
                    <xdr:colOff>525780</xdr:colOff>
                    <xdr:row>18</xdr:row>
                    <xdr:rowOff>0</xdr:rowOff>
                  </to>
                </anchor>
              </controlPr>
            </control>
          </mc:Choice>
        </mc:AlternateContent>
        <mc:AlternateContent xmlns:mc="http://schemas.openxmlformats.org/markup-compatibility/2006">
          <mc:Choice Requires="x14">
            <control shapeId="62475" r:id="rId23" name="Option Button 11">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62481" r:id="rId24" name="Option Button 17">
              <controlPr defaultSize="0" autoFill="0" autoLine="0" autoPict="0" altText="">
                <anchor moveWithCells="1">
                  <from>
                    <xdr:col>12</xdr:col>
                    <xdr:colOff>144780</xdr:colOff>
                    <xdr:row>14</xdr:row>
                    <xdr:rowOff>106680</xdr:rowOff>
                  </from>
                  <to>
                    <xdr:col>12</xdr:col>
                    <xdr:colOff>182880</xdr:colOff>
                    <xdr:row>14</xdr:row>
                    <xdr:rowOff>144780</xdr:rowOff>
                  </to>
                </anchor>
              </controlPr>
            </control>
          </mc:Choice>
        </mc:AlternateContent>
        <mc:AlternateContent xmlns:mc="http://schemas.openxmlformats.org/markup-compatibility/2006">
          <mc:Choice Requires="x14">
            <control shapeId="62482" r:id="rId25" name="Option Button 18">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C39D1E2F-621B-4450-94A4-1AFEA6E35F99}">
            <xm:f>Info!$V$7=2</xm:f>
            <x14:dxf>
              <font>
                <color theme="0" tint="-4.9989318521683403E-2"/>
              </font>
              <border>
                <vertical/>
                <horizontal/>
              </border>
            </x14:dxf>
          </x14:cfRule>
          <xm:sqref>B100:N100</xm:sqref>
        </x14:conditionalFormatting>
        <x14:conditionalFormatting xmlns:xm="http://schemas.microsoft.com/office/excel/2006/main">
          <x14:cfRule type="expression" priority="756" id="{2D0AFF2F-6075-45FD-B491-752DBD4E408C}">
            <xm:f>$H$35=Formeln!$A$1</xm:f>
            <x14:dxf>
              <fill>
                <patternFill>
                  <bgColor theme="0" tint="-0.14996795556505021"/>
                </patternFill>
              </fill>
            </x14:dxf>
          </x14:cfRule>
          <xm:sqref>H35:K35</xm:sqref>
        </x14:conditionalFormatting>
        <x14:conditionalFormatting xmlns:xm="http://schemas.microsoft.com/office/excel/2006/main">
          <x14:cfRule type="expression" priority="754" id="{D49FB6D5-86E8-4B23-9280-F57705AD2228}">
            <xm:f>$H$38=Formeln!$A$1</xm:f>
            <x14:dxf>
              <fill>
                <patternFill>
                  <bgColor theme="0" tint="-0.14996795556505021"/>
                </patternFill>
              </fill>
            </x14:dxf>
          </x14:cfRule>
          <xm:sqref>H38:K38</xm:sqref>
        </x14:conditionalFormatting>
        <x14:conditionalFormatting xmlns:xm="http://schemas.microsoft.com/office/excel/2006/main">
          <x14:cfRule type="expression" priority="753" id="{5D698BD0-0BA3-4152-A339-CBF0957E5C67}">
            <xm:f>$H$48=Formeln!$A$1</xm:f>
            <x14:dxf>
              <fill>
                <patternFill>
                  <bgColor theme="0" tint="-0.14996795556505021"/>
                </patternFill>
              </fill>
            </x14:dxf>
          </x14:cfRule>
          <xm:sqref>H48:K48</xm:sqref>
        </x14:conditionalFormatting>
        <x14:conditionalFormatting xmlns:xm="http://schemas.microsoft.com/office/excel/2006/main">
          <x14:cfRule type="expression" priority="752" id="{C90D8B6C-F078-4B7B-B33E-5F672042B550}">
            <xm:f>$H$49=Formeln!$A$1</xm:f>
            <x14:dxf>
              <fill>
                <patternFill>
                  <bgColor theme="0" tint="-0.14996795556505021"/>
                </patternFill>
              </fill>
            </x14:dxf>
          </x14:cfRule>
          <xm:sqref>H49:K49</xm:sqref>
        </x14:conditionalFormatting>
        <x14:conditionalFormatting xmlns:xm="http://schemas.microsoft.com/office/excel/2006/main">
          <x14:cfRule type="expression" priority="750" id="{A1EEA55A-6393-4832-99B9-4222230E1670}">
            <xm:f>$I$103=Formeln!$A$1</xm:f>
            <x14:dxf>
              <fill>
                <patternFill>
                  <bgColor theme="0" tint="-0.14996795556505021"/>
                </patternFill>
              </fill>
            </x14:dxf>
          </x14:cfRule>
          <xm:sqref>I103</xm:sqref>
        </x14:conditionalFormatting>
        <x14:conditionalFormatting xmlns:xm="http://schemas.microsoft.com/office/excel/2006/main">
          <x14:cfRule type="expression" priority="751" id="{3D1B9950-4774-4A0C-AECF-E145EB3E4870}">
            <xm:f>$I$102=Formeln!$A$1</xm:f>
            <x14:dxf>
              <fill>
                <patternFill>
                  <bgColor theme="0" tint="-0.14996795556505021"/>
                </patternFill>
              </fill>
            </x14:dxf>
          </x14:cfRule>
          <xm:sqref>I102:K102</xm:sqref>
        </x14:conditionalFormatting>
        <x14:conditionalFormatting xmlns:xm="http://schemas.microsoft.com/office/excel/2006/main">
          <x14:cfRule type="expression" priority="519" id="{2C2DEF42-7E85-4F35-986D-910611DCD65F}">
            <xm:f>$J55=Formeln!$A$1</xm:f>
            <x14:dxf>
              <fill>
                <patternFill>
                  <bgColor theme="0" tint="-0.14996795556505021"/>
                </patternFill>
              </fill>
            </x14:dxf>
          </x14:cfRule>
          <xm:sqref>J55:K57</xm:sqref>
        </x14:conditionalFormatting>
        <x14:conditionalFormatting xmlns:xm="http://schemas.microsoft.com/office/excel/2006/main">
          <x14:cfRule type="expression" priority="749" id="{BE0DF37E-7A05-4B93-9F32-9124E50CA48D}">
            <xm:f>$K$103=Formeln!$A$1</xm:f>
            <x14:dxf>
              <fill>
                <patternFill>
                  <bgColor theme="0" tint="-0.14996795556505021"/>
                </patternFill>
              </fill>
            </x14:dxf>
          </x14:cfRule>
          <xm:sqref>K103</xm:sqref>
        </x14:conditionalFormatting>
        <x14:conditionalFormatting xmlns:xm="http://schemas.microsoft.com/office/excel/2006/main">
          <x14:cfRule type="expression" priority="275" id="{6BA01190-2A4A-48CE-A485-BB7893EC6E0C}">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277" id="{84084725-787B-425F-9D8D-C1A9BE34EC52}">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Formeln!$C$52:$C$111</xm:f>
          </x14:formula1>
          <xm:sqref>J57:K57</xm:sqref>
        </x14:dataValidation>
        <x14:dataValidation type="list" allowBlank="1" showInputMessage="1" showErrorMessage="1" xr:uid="{00000000-0002-0000-0300-000001000000}">
          <x14:formula1>
            <xm:f>Formeln!$A$52:$A$103</xm:f>
          </x14:formula1>
          <xm:sqref>J56:K56</xm:sqref>
        </x14:dataValidation>
        <x14:dataValidation type="list" allowBlank="1" showInputMessage="1" showErrorMessage="1" xr:uid="{00000000-0002-0000-0300-000002000000}">
          <x14:formula1>
            <xm:f>Formeln!$A$106:$A$111</xm:f>
          </x14:formula1>
          <xm:sqref>I102:K102</xm:sqref>
        </x14:dataValidation>
        <x14:dataValidation type="list" allowBlank="1" showInputMessage="1" showErrorMessage="1" xr:uid="{00000000-0002-0000-0300-000003000000}">
          <x14:formula1>
            <xm:f>Formeln!$A$1:$A$4</xm:f>
          </x14:formula1>
          <xm:sqref>H35:K35</xm:sqref>
        </x14:dataValidation>
        <x14:dataValidation type="list" allowBlank="1" showInputMessage="1" showErrorMessage="1" xr:uid="{00000000-0002-0000-0300-000004000000}">
          <x14:formula1>
            <xm:f>Formeln!$A$5:$A$8</xm:f>
          </x14:formula1>
          <xm:sqref>H36:K36</xm:sqref>
        </x14:dataValidation>
        <x14:dataValidation type="list" allowBlank="1" showInputMessage="1" showErrorMessage="1" xr:uid="{00000000-0002-0000-0300-000005000000}">
          <x14:formula1>
            <xm:f>Formeln!$A$9:$A$15</xm:f>
          </x14:formula1>
          <xm:sqref>H38:K38</xm:sqref>
        </x14:dataValidation>
        <x14:dataValidation type="list" allowBlank="1" showInputMessage="1" showErrorMessage="1" xr:uid="{00000000-0002-0000-0300-000006000000}">
          <x14:formula1>
            <xm:f>Formeln!$A$17:$A$19</xm:f>
          </x14:formula1>
          <xm:sqref>H48:K48</xm:sqref>
        </x14:dataValidation>
        <x14:dataValidation type="list" allowBlank="1" showInputMessage="1" showErrorMessage="1" xr:uid="{00000000-0002-0000-0300-000007000000}">
          <x14:formula1>
            <xm:f>Formeln!$A$20:$A$22</xm:f>
          </x14:formula1>
          <xm:sqref>H49:K49</xm:sqref>
        </x14:dataValidation>
        <x14:dataValidation type="list" allowBlank="1" showInputMessage="1" showErrorMessage="1" xr:uid="{00000000-0002-0000-0300-000008000000}">
          <x14:formula1>
            <xm:f>Formeln!$A$23:$A$25</xm:f>
          </x14:formula1>
          <xm:sqref>I103</xm:sqref>
        </x14:dataValidation>
        <x14:dataValidation type="list" allowBlank="1" showInputMessage="1" showErrorMessage="1" xr:uid="{00000000-0002-0000-0300-000009000000}">
          <x14:formula1>
            <xm:f>Formeln!$A$30:$A$51</xm:f>
          </x14:formula1>
          <xm:sqref>J55:K55</xm:sqref>
        </x14:dataValidation>
        <x14:dataValidation type="list" allowBlank="1" showInputMessage="1" showErrorMessage="1" xr:uid="{00000000-0002-0000-0300-00000A000000}">
          <x14:formula1>
            <xm:f>Formeln!$A$127:$A$138</xm:f>
          </x14:formula1>
          <xm:sqref>K103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RF123"/>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6.44140625" style="5" hidden="1" customWidth="1"/>
    <col min="17" max="27" width="9.6640625" style="5" hidden="1" customWidth="1"/>
    <col min="28" max="29" width="2.6640625" style="5" hidden="1" customWidth="1"/>
    <col min="30" max="31" width="26" style="9" hidden="1" customWidth="1"/>
    <col min="32" max="32" width="5.6640625" style="1" hidden="1" customWidth="1"/>
    <col min="33" max="33" width="1.33203125" style="1" hidden="1" customWidth="1"/>
    <col min="34" max="34" width="8.6640625" style="1" hidden="1" customWidth="1"/>
    <col min="35" max="35" width="10" style="1" hidden="1" customWidth="1"/>
    <col min="36" max="36" width="10.6640625" style="1" hidden="1" customWidth="1"/>
    <col min="37" max="37" width="8.6640625" style="1" hidden="1" customWidth="1"/>
    <col min="38" max="38" width="10.6640625" style="1" hidden="1" customWidth="1"/>
    <col min="39" max="39" width="8.6640625" style="1" hidden="1" customWidth="1"/>
    <col min="40" max="40" width="11.33203125" style="1" hidden="1" customWidth="1"/>
    <col min="41" max="42" width="8.6640625" style="1" hidden="1" customWidth="1"/>
    <col min="43" max="43" width="12.33203125" style="1" hidden="1" customWidth="1"/>
    <col min="44" max="44" width="10.5546875" style="1" hidden="1" customWidth="1"/>
    <col min="45" max="16384" width="8.6640625" style="1" hidden="1"/>
  </cols>
  <sheetData>
    <row r="1" spans="1:31" ht="28.2">
      <c r="N1" s="2" t="str">
        <f>VLOOKUP(279,Sprachindex!$A:$Z,Info!$O$7,FALSE)</f>
        <v>Dachsysteme</v>
      </c>
      <c r="AE1" s="1"/>
    </row>
    <row r="2" spans="1:31" ht="28.2">
      <c r="D2" s="18"/>
      <c r="N2" s="2" t="str">
        <f>VLOOKUP(263,Sprachindex!$A:$Z,Info!$O$7,FALSE)</f>
        <v>Dachplatte R.16</v>
      </c>
      <c r="AE2" s="1"/>
    </row>
    <row r="3" spans="1:31" ht="15" customHeight="1">
      <c r="AE3" s="1"/>
    </row>
    <row r="4" spans="1:31" ht="17.25" customHeight="1">
      <c r="F4" s="70"/>
      <c r="G4" s="70"/>
      <c r="H4" s="70"/>
      <c r="I4" s="70"/>
      <c r="J4" s="70"/>
      <c r="K4" s="70"/>
      <c r="L4" s="70"/>
      <c r="M4" s="70"/>
      <c r="N4" s="204"/>
      <c r="AE4" s="3"/>
    </row>
    <row r="5" spans="1:31" ht="17.25" customHeight="1">
      <c r="F5" s="70"/>
      <c r="G5" s="70"/>
      <c r="H5" s="70"/>
      <c r="I5" s="70"/>
      <c r="J5" s="70"/>
      <c r="K5" s="70"/>
      <c r="L5" s="70"/>
      <c r="M5" s="70"/>
      <c r="N5" s="204"/>
      <c r="AE5" s="3"/>
    </row>
    <row r="6" spans="1:31" ht="17.25" customHeight="1">
      <c r="F6" s="70"/>
      <c r="G6" s="70"/>
      <c r="H6" s="70"/>
      <c r="I6" s="70"/>
      <c r="J6" s="70"/>
      <c r="K6" s="70"/>
      <c r="L6" s="70"/>
      <c r="M6" s="70"/>
      <c r="N6" s="204"/>
      <c r="O6" s="52">
        <v>0</v>
      </c>
      <c r="P6" s="52"/>
      <c r="Q6" s="52"/>
      <c r="R6" s="52"/>
      <c r="S6" s="52"/>
      <c r="T6" s="52"/>
      <c r="U6" s="52"/>
      <c r="V6" s="52"/>
      <c r="W6" s="52"/>
      <c r="X6" s="52"/>
      <c r="Y6" s="52"/>
      <c r="Z6" s="52"/>
      <c r="AA6" s="52"/>
      <c r="AB6" s="52"/>
      <c r="AC6" s="52"/>
      <c r="AE6" s="3"/>
    </row>
    <row r="7" spans="1:31" ht="17.25" customHeight="1">
      <c r="F7" s="70"/>
      <c r="G7" s="70"/>
      <c r="H7" s="70"/>
      <c r="I7" s="70"/>
      <c r="J7" s="70"/>
      <c r="K7" s="70"/>
      <c r="L7" s="70"/>
      <c r="M7" s="70"/>
      <c r="N7" s="204"/>
      <c r="O7" s="52"/>
      <c r="P7" s="52"/>
      <c r="Q7" s="52"/>
      <c r="R7" s="52"/>
      <c r="S7" s="52"/>
      <c r="T7" s="52"/>
      <c r="U7" s="52"/>
      <c r="V7" s="52"/>
      <c r="W7" s="52"/>
      <c r="X7" s="52"/>
      <c r="Y7" s="52"/>
      <c r="Z7" s="52"/>
      <c r="AA7" s="52"/>
      <c r="AB7" s="52"/>
      <c r="AC7" s="52"/>
      <c r="AE7" s="3"/>
    </row>
    <row r="8" spans="1:31" ht="17.25" customHeight="1">
      <c r="A8" s="88" t="str">
        <f>VLOOKUP(393,Sprachindex!$A:$Z,Info!$O$7,FALSE)</f>
        <v>Firma / Besteller:</v>
      </c>
      <c r="B8" s="70"/>
      <c r="F8" s="70"/>
      <c r="G8" s="70"/>
      <c r="H8" s="70"/>
      <c r="I8" s="70"/>
      <c r="J8" s="70"/>
      <c r="K8" s="70"/>
      <c r="L8" s="70"/>
      <c r="M8" s="70"/>
      <c r="N8" s="70"/>
      <c r="AD8" s="10"/>
      <c r="AE8" s="1"/>
    </row>
    <row r="9" spans="1:31" ht="15" customHeight="1">
      <c r="A9" s="70"/>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M9" s="70"/>
      <c r="N9" s="70"/>
      <c r="P9" s="53">
        <v>0</v>
      </c>
      <c r="Q9" s="53"/>
      <c r="R9" s="53"/>
      <c r="S9" s="53"/>
      <c r="T9" s="53"/>
      <c r="U9" s="53"/>
      <c r="V9" s="53"/>
      <c r="W9" s="53"/>
      <c r="X9" s="53"/>
      <c r="Y9" s="53"/>
      <c r="Z9" s="53"/>
      <c r="AA9" s="53"/>
      <c r="AB9" s="53"/>
      <c r="AC9" s="53"/>
      <c r="AE9" s="4"/>
    </row>
    <row r="10" spans="1:31" ht="15" customHeight="1">
      <c r="A10" s="70"/>
      <c r="B10" s="74" t="str">
        <f>VLOOKUP(884,Sprachindex!$A:$Z,Info!$O$7,FALSE)</f>
        <v>Straße:</v>
      </c>
      <c r="C10" s="585"/>
      <c r="D10" s="586"/>
      <c r="E10" s="587"/>
      <c r="F10" s="70"/>
      <c r="G10" s="70"/>
      <c r="H10" s="70"/>
      <c r="I10" s="93"/>
      <c r="J10" s="71">
        <v>1</v>
      </c>
      <c r="K10" s="70"/>
      <c r="L10" s="70"/>
      <c r="M10" s="70"/>
      <c r="N10" s="70"/>
      <c r="AE10" s="4"/>
    </row>
    <row r="11" spans="1:31"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P11" s="53">
        <v>0</v>
      </c>
      <c r="Q11" s="53"/>
      <c r="R11" s="53"/>
      <c r="S11" s="53"/>
      <c r="T11" s="53"/>
      <c r="U11" s="53"/>
      <c r="V11" s="53"/>
      <c r="W11" s="53"/>
      <c r="X11" s="53"/>
      <c r="Y11" s="53"/>
      <c r="Z11" s="53"/>
      <c r="AA11" s="53"/>
      <c r="AB11" s="53"/>
      <c r="AC11" s="53"/>
      <c r="AE11" s="4"/>
    </row>
    <row r="12" spans="1:31" ht="15" customHeight="1">
      <c r="A12" s="70"/>
      <c r="B12" s="70"/>
      <c r="F12" s="70"/>
      <c r="G12" s="70"/>
      <c r="H12" s="70"/>
      <c r="I12" s="89"/>
      <c r="J12" s="71">
        <v>1</v>
      </c>
      <c r="K12" s="70"/>
      <c r="L12" s="70"/>
      <c r="M12" s="70"/>
      <c r="N12" s="70"/>
      <c r="AE12" s="1"/>
    </row>
    <row r="13" spans="1:31"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P13" s="52">
        <v>0</v>
      </c>
      <c r="Q13" s="52"/>
      <c r="R13" s="52"/>
      <c r="S13" s="52"/>
      <c r="T13" s="52"/>
      <c r="U13" s="52"/>
      <c r="V13" s="52"/>
      <c r="W13" s="52"/>
      <c r="X13" s="52"/>
      <c r="Y13" s="52"/>
      <c r="Z13" s="52"/>
      <c r="AA13" s="52"/>
      <c r="AB13" s="52"/>
      <c r="AC13" s="52"/>
      <c r="AE13" s="4"/>
    </row>
    <row r="14" spans="1:31" ht="15" customHeight="1">
      <c r="A14" s="70"/>
      <c r="B14" s="74" t="str">
        <f>VLOOKUP(901,Sprachindex!$A:$Z,Info!$O$7,FALSE)</f>
        <v>Telefon:</v>
      </c>
      <c r="C14" s="585"/>
      <c r="D14" s="586"/>
      <c r="E14" s="587"/>
      <c r="F14" s="70"/>
      <c r="G14" s="70"/>
      <c r="H14" s="70"/>
      <c r="I14" s="70"/>
      <c r="J14" s="70"/>
      <c r="K14" s="70"/>
      <c r="L14" s="70"/>
      <c r="M14" s="70"/>
      <c r="N14" s="70"/>
      <c r="AE14" s="4"/>
    </row>
    <row r="15" spans="1:31"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AE15" s="4"/>
    </row>
    <row r="16" spans="1:31" ht="15" customHeight="1">
      <c r="A16" s="70"/>
      <c r="B16" s="70"/>
      <c r="F16" s="70"/>
      <c r="G16" s="70" t="str">
        <f>VLOOKUP(25,Sprachindex!$A:$Z,Info!$O$7,FALSE)</f>
        <v>01 P.10 Braun</v>
      </c>
      <c r="H16" s="70"/>
      <c r="I16" s="70"/>
      <c r="J16" s="69" t="str">
        <f>VLOOKUP(37,Sprachindex!$A:$Z,Info!$O$7,FALSE)</f>
        <v>07 P.10 Hellgrau</v>
      </c>
      <c r="K16" s="70"/>
      <c r="L16" s="70"/>
      <c r="M16" s="70"/>
      <c r="N16" s="70"/>
      <c r="AE16" s="1"/>
    </row>
    <row r="17" spans="1:55" ht="15" customHeight="1">
      <c r="A17" s="88" t="str">
        <f>VLOOKUP(580,Sprachindex!$A:$Z,Info!$O$7,FALSE)</f>
        <v>Lieferadresse:</v>
      </c>
      <c r="B17" s="70"/>
      <c r="F17" s="70"/>
      <c r="G17" s="70" t="str">
        <f>VLOOKUP(27,Sprachindex!$A:$Z,Info!$O$7,FALSE)</f>
        <v>02 P.10 Anthrazit</v>
      </c>
      <c r="H17" s="70"/>
      <c r="I17" s="70"/>
      <c r="J17" s="72" t="str">
        <f>VLOOKUP(51,Sprachindex!$A:$Z,Info!$O$7,FALSE)</f>
        <v>11 P.10 Nussbraun</v>
      </c>
      <c r="K17" s="70"/>
      <c r="L17" s="70"/>
      <c r="M17" s="70"/>
      <c r="N17" s="70"/>
      <c r="AD17" s="10"/>
      <c r="AE17" s="1"/>
    </row>
    <row r="18" spans="1:55" ht="15" customHeight="1">
      <c r="A18" s="70"/>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M18" s="70"/>
      <c r="N18" s="70"/>
      <c r="AE18" s="4"/>
    </row>
    <row r="19" spans="1:55" ht="15" customHeight="1">
      <c r="A19" s="70"/>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M19" s="70"/>
      <c r="N19" s="70"/>
      <c r="AE19" s="4"/>
    </row>
    <row r="20" spans="1:55" ht="15" customHeight="1">
      <c r="A20" s="70"/>
      <c r="B20" s="74" t="str">
        <f>VLOOKUP(884,Sprachindex!$A:$Z,Info!$O$7,FALSE)</f>
        <v>Straße:</v>
      </c>
      <c r="C20" s="585"/>
      <c r="D20" s="586"/>
      <c r="E20" s="587"/>
      <c r="F20" s="70"/>
      <c r="G20" s="70" t="str">
        <f>VLOOKUP(33,Sprachindex!$A:$Z,Info!$O$7,FALSE)</f>
        <v>05 P.10 Oxydrot</v>
      </c>
      <c r="H20" s="70"/>
      <c r="I20" s="70"/>
      <c r="J20" s="72"/>
      <c r="K20" s="70"/>
      <c r="L20" s="71"/>
      <c r="M20" s="70"/>
      <c r="N20" s="70"/>
      <c r="AF20" s="4"/>
    </row>
    <row r="21" spans="1:55" ht="15" customHeight="1">
      <c r="A21" s="70"/>
      <c r="B21" s="74" t="str">
        <f>VLOOKUP(641,Sprachindex!$A:$Z,Info!$O$7,FALSE)</f>
        <v>Ort:</v>
      </c>
      <c r="C21" s="585"/>
      <c r="D21" s="586"/>
      <c r="E21" s="587"/>
      <c r="F21" s="70"/>
      <c r="G21" s="70" t="str">
        <f>VLOOKUP(35,Sprachindex!$A:$Z,Info!$O$7,FALSE)</f>
        <v>06 P.10 Moosgrün</v>
      </c>
      <c r="H21" s="70"/>
      <c r="I21" s="95"/>
      <c r="J21" s="96"/>
      <c r="K21" s="96"/>
      <c r="L21" s="70"/>
      <c r="M21" s="70"/>
      <c r="N21" s="70"/>
      <c r="P21" s="52">
        <v>0</v>
      </c>
      <c r="Q21" s="52"/>
      <c r="R21" s="52"/>
      <c r="S21" s="52"/>
      <c r="T21" s="52"/>
      <c r="U21" s="52"/>
      <c r="V21" s="52"/>
      <c r="W21" s="52"/>
      <c r="X21" s="52"/>
      <c r="Y21" s="52"/>
      <c r="Z21" s="52"/>
      <c r="AA21" s="52"/>
      <c r="AB21" s="52"/>
      <c r="AC21" s="52"/>
      <c r="AE21" s="4"/>
    </row>
    <row r="22" spans="1:55" ht="15" customHeight="1">
      <c r="A22" s="70"/>
      <c r="B22" s="74"/>
      <c r="C22" s="140"/>
      <c r="D22" s="140"/>
      <c r="E22" s="173"/>
      <c r="F22" s="70"/>
      <c r="G22" s="70"/>
      <c r="H22" s="70"/>
      <c r="I22" s="95"/>
      <c r="J22" s="96"/>
      <c r="K22" s="96"/>
      <c r="L22" s="70"/>
      <c r="M22" s="70"/>
      <c r="N22" s="70"/>
      <c r="O22" s="52"/>
      <c r="P22" s="52"/>
      <c r="Q22" s="52"/>
      <c r="R22" s="52"/>
      <c r="S22" s="52"/>
      <c r="T22" s="52"/>
      <c r="U22" s="52"/>
      <c r="V22" s="52"/>
      <c r="W22" s="52"/>
      <c r="X22" s="52"/>
      <c r="Y22" s="52"/>
      <c r="Z22" s="52"/>
      <c r="AA22" s="52"/>
      <c r="AB22" s="52"/>
      <c r="AC22" s="52"/>
      <c r="AE22" s="4"/>
    </row>
    <row r="23" spans="1:55"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52"/>
      <c r="P23" s="52"/>
      <c r="Q23" s="52"/>
      <c r="R23" s="52"/>
      <c r="S23" s="52"/>
      <c r="T23" s="52"/>
      <c r="U23" s="52"/>
      <c r="V23" s="52"/>
      <c r="W23" s="52"/>
      <c r="X23" s="52"/>
      <c r="Y23" s="52"/>
      <c r="Z23" s="52"/>
      <c r="AA23" s="52"/>
      <c r="AB23" s="52"/>
      <c r="AC23" s="52"/>
      <c r="AE23" s="4"/>
    </row>
    <row r="24" spans="1:55" ht="15" customHeight="1">
      <c r="B24" s="584" t="str">
        <f>VLOOKUP(1430,Sprachindex!$A:$Z,Info!$O$7,FALSE)</f>
        <v>Beschreibung</v>
      </c>
      <c r="C24" s="585"/>
      <c r="D24" s="586"/>
      <c r="E24" s="587"/>
      <c r="F24" s="70"/>
      <c r="G24" s="88"/>
      <c r="H24" s="74" t="str">
        <f>VLOOKUP(1429,Sprachindex!$A:$Z,Info!$O$7,FALSE)</f>
        <v>Bearbeiter:</v>
      </c>
      <c r="I24" s="450"/>
      <c r="J24" s="70"/>
      <c r="K24" s="70"/>
      <c r="L24" s="70"/>
      <c r="M24" s="70"/>
      <c r="N24" s="70"/>
      <c r="O24" s="52"/>
      <c r="P24" s="52"/>
      <c r="Q24" s="52"/>
      <c r="R24" s="52"/>
      <c r="S24" s="52"/>
      <c r="T24" s="52"/>
      <c r="U24" s="52"/>
      <c r="V24" s="52"/>
      <c r="W24" s="52"/>
      <c r="X24" s="52"/>
      <c r="Y24" s="52"/>
      <c r="Z24" s="52"/>
      <c r="AA24" s="52"/>
      <c r="AB24" s="52"/>
      <c r="AC24" s="52"/>
      <c r="AE24" s="4"/>
    </row>
    <row r="25" spans="1:55" ht="15" customHeight="1">
      <c r="B25" s="584"/>
      <c r="C25" s="585"/>
      <c r="D25" s="586"/>
      <c r="E25" s="587"/>
      <c r="F25" s="70"/>
      <c r="G25" s="88"/>
      <c r="H25" s="74" t="str">
        <f>VLOOKUP(2243,Sprachindex!$A:$Z,Info!$O$7,FALSE)</f>
        <v>Projekt-ID:</v>
      </c>
      <c r="I25" s="450"/>
      <c r="J25" s="70"/>
      <c r="K25" s="70"/>
      <c r="L25" s="70"/>
      <c r="M25" s="70"/>
      <c r="N25" s="70"/>
      <c r="O25" s="52"/>
      <c r="P25" s="52"/>
      <c r="Q25" s="52"/>
      <c r="R25" s="52"/>
      <c r="S25" s="52"/>
      <c r="T25" s="52"/>
      <c r="U25" s="52"/>
      <c r="V25" s="52"/>
      <c r="W25" s="52"/>
      <c r="X25" s="52"/>
      <c r="Y25" s="52"/>
      <c r="Z25" s="52"/>
      <c r="AA25" s="52"/>
      <c r="AB25" s="52"/>
      <c r="AC25" s="52"/>
      <c r="AE25" s="4"/>
    </row>
    <row r="26" spans="1:55" ht="15" customHeight="1">
      <c r="B26" s="584"/>
      <c r="C26" s="585"/>
      <c r="D26" s="586"/>
      <c r="E26" s="587"/>
      <c r="F26" s="70"/>
      <c r="G26" s="88"/>
      <c r="H26" s="74" t="str">
        <f>VLOOKUP(286,Sprachindex!$A:$Z,Info!$O$7,FALSE)</f>
        <v>Datum:</v>
      </c>
      <c r="I26" s="550">
        <f ca="1">TODAY()</f>
        <v>45580</v>
      </c>
      <c r="J26" s="70"/>
      <c r="K26" s="70"/>
      <c r="L26" s="70"/>
      <c r="M26" s="70"/>
      <c r="N26" s="70"/>
      <c r="O26" s="52"/>
      <c r="P26" s="52"/>
      <c r="Q26" s="52"/>
      <c r="R26" s="52"/>
      <c r="S26" s="52"/>
      <c r="T26" s="52"/>
      <c r="U26" s="52"/>
      <c r="V26" s="52"/>
      <c r="W26" s="52"/>
      <c r="X26" s="52"/>
      <c r="Y26" s="52"/>
      <c r="Z26" s="52"/>
      <c r="AA26" s="52"/>
      <c r="AB26" s="52"/>
      <c r="AC26" s="52"/>
      <c r="AE26" s="4"/>
    </row>
    <row r="27" spans="1:55" ht="15" customHeight="1">
      <c r="B27" s="584"/>
      <c r="C27" s="585"/>
      <c r="D27" s="586"/>
      <c r="E27" s="587"/>
      <c r="F27" s="70"/>
      <c r="G27" s="5"/>
      <c r="H27" s="5"/>
      <c r="I27" s="5"/>
      <c r="J27" s="5"/>
      <c r="K27" s="5"/>
      <c r="L27" s="70"/>
      <c r="M27" s="70"/>
      <c r="N27" s="70"/>
      <c r="O27" s="52"/>
      <c r="P27" s="52"/>
      <c r="Q27" s="52"/>
      <c r="R27" s="52"/>
      <c r="S27" s="52"/>
      <c r="T27" s="52"/>
      <c r="U27" s="52"/>
      <c r="V27" s="52"/>
      <c r="W27" s="52"/>
      <c r="X27" s="52"/>
      <c r="Y27" s="52"/>
      <c r="Z27" s="52"/>
      <c r="AA27" s="52"/>
      <c r="AB27" s="52"/>
      <c r="AC27" s="52"/>
      <c r="AE27" s="4"/>
    </row>
    <row r="28" spans="1:55" ht="15" customHeight="1">
      <c r="A28" s="70"/>
      <c r="B28" s="74"/>
      <c r="C28" s="140"/>
      <c r="D28" s="140"/>
      <c r="E28" s="140"/>
      <c r="F28" s="70"/>
      <c r="G28" s="70"/>
      <c r="H28" s="70"/>
      <c r="I28" s="95"/>
      <c r="J28" s="96"/>
      <c r="K28" s="96"/>
      <c r="L28" s="70"/>
      <c r="M28" s="70"/>
      <c r="N28" s="70"/>
      <c r="O28" s="52"/>
      <c r="P28" s="52"/>
      <c r="Q28" s="52"/>
      <c r="R28" s="52"/>
      <c r="S28" s="52"/>
      <c r="T28" s="52"/>
      <c r="U28" s="52"/>
      <c r="V28" s="52"/>
      <c r="W28" s="52"/>
      <c r="X28" s="52"/>
      <c r="Y28" s="52"/>
      <c r="Z28" s="52"/>
      <c r="AA28" s="52"/>
      <c r="AB28" s="52"/>
      <c r="AC28" s="52"/>
      <c r="AE28" s="4"/>
    </row>
    <row r="29" spans="1:55" ht="15" customHeight="1" thickBot="1">
      <c r="A29" s="100" t="str">
        <f>VLOOKUP(392,Sprachindex!$A:$Z,Info!$O$7,FALSE)</f>
        <v>Filter:</v>
      </c>
      <c r="B29" s="598"/>
      <c r="C29" s="598"/>
      <c r="D29" s="598"/>
      <c r="E29" s="598"/>
      <c r="F29" s="598"/>
      <c r="G29" s="70"/>
      <c r="H29" s="70"/>
      <c r="I29" s="70"/>
      <c r="J29" s="70"/>
      <c r="K29" s="70"/>
      <c r="L29" s="70"/>
      <c r="M29" s="70"/>
      <c r="N29" s="70"/>
      <c r="AD29" s="591" t="s">
        <v>25</v>
      </c>
      <c r="AE29" s="591"/>
      <c r="AH29" s="45" t="s">
        <v>26</v>
      </c>
      <c r="AI29" s="13"/>
      <c r="AJ29" s="13"/>
      <c r="AK29" s="13"/>
      <c r="AL29" s="13"/>
      <c r="AM29" s="13"/>
      <c r="AN29" s="13"/>
      <c r="AO29" s="13"/>
      <c r="AP29" s="13"/>
      <c r="AQ29" s="13"/>
      <c r="AR29" s="45" t="s">
        <v>27</v>
      </c>
      <c r="AS29" s="13"/>
      <c r="AT29" s="13"/>
      <c r="AU29" s="13"/>
      <c r="AV29" s="13"/>
      <c r="AW29" s="13"/>
      <c r="AX29" s="13"/>
      <c r="AY29" s="13"/>
      <c r="AZ29" s="13"/>
      <c r="BA29" s="46"/>
      <c r="BB29" s="277" t="s">
        <v>28</v>
      </c>
      <c r="BC29" s="277" t="s">
        <v>29</v>
      </c>
    </row>
    <row r="30" spans="1:55" ht="35.1" customHeight="1" thickBot="1">
      <c r="A30" s="435" t="str">
        <f>VLOOKUP(598,Sprachindex!$A:$Z,Info!$O$7,FALSE)</f>
        <v>Menge</v>
      </c>
      <c r="B30" s="77" t="str">
        <f>VLOOKUP(332,Sprachindex!$A:$Z,Info!$O$7,FALSE)</f>
        <v>Einheit</v>
      </c>
      <c r="C30" s="77" t="str">
        <f>VLOOKUP(136,Sprachindex!$A:$Z,Info!$O$7,FALSE)</f>
        <v>Abbildung</v>
      </c>
      <c r="D30" s="77" t="str">
        <f>VLOOKUP(177,Sprachindex!$A:$Z,Info!$O$7,FALSE)</f>
        <v>Artikel-Nr.</v>
      </c>
      <c r="E30" s="607" t="str">
        <f>VLOOKUP(234,Sprachindex!$A:$Z,Info!$O$7,FALSE)</f>
        <v>Bezeichnung</v>
      </c>
      <c r="F30" s="608"/>
      <c r="G30" s="608"/>
      <c r="H30" s="608"/>
      <c r="I30" s="608"/>
      <c r="J30" s="608"/>
      <c r="K30" s="609"/>
      <c r="L30" s="77" t="str">
        <f>VLOOKUP(903,Sprachindex!$A:$Z,Info!$O$7,FALSE)</f>
        <v>Total</v>
      </c>
      <c r="M30" s="438" t="str">
        <f>VLOOKUP(332,Sprachindex!$A:$Z,Info!$O$7,FALSE)</f>
        <v>Einheit</v>
      </c>
      <c r="N30" s="75" t="str">
        <f>VLOOKUP(377,Sprachindex!$A:$Z,Info!$O$7,FALSE)</f>
        <v>Eventual</v>
      </c>
      <c r="O30" s="201" t="str">
        <f>VLOOKUP(1786,Sprachindex!$A:$Z,Info!$O$7,FALSE)</f>
        <v>Preis</v>
      </c>
      <c r="R30" s="78" t="str">
        <f>VLOOKUP(1786,Sprachindex!$A:$Z,Info!$O$7,FALSE)</f>
        <v>Preis</v>
      </c>
      <c r="S30" s="78" t="str">
        <f>VLOOKUP(1786,Sprachindex!$A:$Z,Info!$O$7,FALSE)</f>
        <v>Preis</v>
      </c>
      <c r="T30" s="71"/>
      <c r="U30" s="71"/>
      <c r="V30" s="71"/>
      <c r="W30" s="71"/>
      <c r="X30" s="71"/>
      <c r="Y30" s="71"/>
      <c r="Z30" s="71"/>
      <c r="AA30" s="71"/>
      <c r="AB30" s="71"/>
      <c r="AD30" s="163" t="s">
        <v>31</v>
      </c>
      <c r="AE30" s="163" t="s">
        <v>32</v>
      </c>
      <c r="AH30" s="47" t="s">
        <v>33</v>
      </c>
      <c r="AI30" s="47" t="s">
        <v>34</v>
      </c>
      <c r="AJ30" s="47" t="s">
        <v>35</v>
      </c>
      <c r="AK30" s="47" t="s">
        <v>36</v>
      </c>
      <c r="AL30" s="47" t="s">
        <v>37</v>
      </c>
      <c r="AM30" s="47" t="s">
        <v>38</v>
      </c>
      <c r="AN30" s="47" t="s">
        <v>39</v>
      </c>
      <c r="AO30" s="47" t="s">
        <v>40</v>
      </c>
      <c r="AP30" s="47" t="s">
        <v>41</v>
      </c>
      <c r="AQ30" s="47" t="s">
        <v>42</v>
      </c>
      <c r="AR30" s="47" t="s">
        <v>33</v>
      </c>
      <c r="AS30" s="47" t="s">
        <v>34</v>
      </c>
      <c r="AT30" s="47" t="s">
        <v>35</v>
      </c>
      <c r="AU30" s="47" t="s">
        <v>36</v>
      </c>
      <c r="AV30" s="47" t="s">
        <v>37</v>
      </c>
      <c r="AW30" s="47" t="s">
        <v>38</v>
      </c>
      <c r="AX30" s="47" t="s">
        <v>39</v>
      </c>
      <c r="AY30" s="47" t="s">
        <v>40</v>
      </c>
      <c r="AZ30" s="47" t="s">
        <v>41</v>
      </c>
      <c r="BA30" s="47" t="s">
        <v>42</v>
      </c>
      <c r="BB30" s="47"/>
    </row>
    <row r="31" spans="1:55" ht="32.1" customHeight="1">
      <c r="A31" s="97"/>
      <c r="B31" s="119" t="str">
        <f>VLOOKUP(588,Sprachindex!$A:$Z,Info!$O$7,FALSE)</f>
        <v>m²</v>
      </c>
      <c r="C31" s="76"/>
      <c r="D31" s="503">
        <f>IF($P$9=1,BC31,BB31)</f>
        <v>0</v>
      </c>
      <c r="E31" s="595" t="str">
        <f>VLOOKUP(263,Sprachindex!$A:$Z,Info!$O$7,FALSE)</f>
        <v>Dachplatte R.16</v>
      </c>
      <c r="F31" s="596"/>
      <c r="G31" s="596"/>
      <c r="H31" s="596"/>
      <c r="I31" s="596"/>
      <c r="J31" s="596"/>
      <c r="K31" s="597"/>
      <c r="L31" s="77" t="str">
        <f>IF(A31=0,"",IF($P$11=1,AD31,AE31))</f>
        <v/>
      </c>
      <c r="M31" s="432" t="str">
        <f>B31</f>
        <v>m²</v>
      </c>
      <c r="N31" s="108"/>
      <c r="O31" s="202" t="str">
        <f>IF(ISNUMBER(L31), IF(P21=7, $L31*S31, $L31*R31), "")</f>
        <v/>
      </c>
      <c r="R31" s="200">
        <v>41.04</v>
      </c>
      <c r="S31" s="200">
        <v>42</v>
      </c>
      <c r="AD31" s="149">
        <f>ROUNDUP(A31/8.24,0)*8.24</f>
        <v>0</v>
      </c>
      <c r="AE31" s="149">
        <f>A31</f>
        <v>0</v>
      </c>
      <c r="AH31" s="470">
        <v>112021</v>
      </c>
      <c r="AI31" s="470">
        <v>112022</v>
      </c>
      <c r="AJ31" s="470">
        <v>112023</v>
      </c>
      <c r="AK31" s="470">
        <v>112024</v>
      </c>
      <c r="AL31" s="470">
        <v>112025</v>
      </c>
      <c r="AM31" s="470">
        <v>112026</v>
      </c>
      <c r="AN31" s="470">
        <v>112028</v>
      </c>
      <c r="AO31" s="470">
        <v>112027</v>
      </c>
      <c r="AP31" s="470">
        <v>112029</v>
      </c>
      <c r="AQ31" s="470"/>
      <c r="AR31" s="469">
        <v>112001</v>
      </c>
      <c r="AS31" s="469">
        <v>112002</v>
      </c>
      <c r="AT31" s="469">
        <v>112003</v>
      </c>
      <c r="AU31" s="469">
        <v>112004</v>
      </c>
      <c r="AV31" s="469">
        <v>112005</v>
      </c>
      <c r="AW31" s="469">
        <v>112006</v>
      </c>
      <c r="AX31" s="469">
        <v>112008</v>
      </c>
      <c r="AY31" s="469">
        <v>112007</v>
      </c>
      <c r="AZ31" s="469">
        <v>112009</v>
      </c>
      <c r="BA31" s="469">
        <v>112010</v>
      </c>
      <c r="BB31" s="468">
        <f>IF($P$21=1,AH31,IF($P$21=4,AI31,IF($P$21=5,AJ31,IF($P$21=11,AK31,IF($P$21=7,AL31,IF($P$21=3,AM31,IF($P$21=6,AN31,IF($P$21=9,AO31,IF($P$21=2,AP31,IF($P$21=8,AQ31,0))))))))))</f>
        <v>0</v>
      </c>
      <c r="BC31" s="468">
        <f>IF($P$21=1,AR31,IF($P$21=4,AS31,IF($P$21=5,AT31,IF($P$21=11,AU31,IF($P$21=7,AV31,IF($P$21=3,AW31,IF($P$21=6,AX31,IF($P$21=9,AY31,IF($P$21=2,AZ31,IF($P$21=8,BA31,0))))))))))</f>
        <v>0</v>
      </c>
    </row>
    <row r="32" spans="1:55" ht="32.1" customHeight="1">
      <c r="A32" s="98"/>
      <c r="B32" s="79" t="str">
        <f>VLOOKUP(1512,Sprachindex!$A:$Z,Info!$O$7,FALSE)</f>
        <v>lfm</v>
      </c>
      <c r="C32" s="78"/>
      <c r="D32" s="82">
        <v>562005</v>
      </c>
      <c r="E32" s="561" t="str">
        <f>VLOOKUP(768,Sprachindex!$A:$Z,Info!$O$7,FALSE)</f>
        <v>Saumstreifen (1.800 × 158 × 1,00 mm)</v>
      </c>
      <c r="F32" s="562"/>
      <c r="G32" s="562"/>
      <c r="H32" s="562"/>
      <c r="I32" s="562"/>
      <c r="J32" s="562"/>
      <c r="K32" s="563"/>
      <c r="L32" s="79" t="str">
        <f>IF(A32=0,"",IF($P$11=1,AD32,AE32))</f>
        <v/>
      </c>
      <c r="M32" s="433" t="str">
        <f t="shared" ref="M32:M95" si="0">B32</f>
        <v>lfm</v>
      </c>
      <c r="N32" s="80"/>
      <c r="O32" s="202" t="str">
        <f>IF(ISNUMBER(A32),$L32*R32, "")</f>
        <v/>
      </c>
      <c r="R32" s="200">
        <v>6.54</v>
      </c>
      <c r="S32" s="195"/>
      <c r="AD32" s="149">
        <f>ROUNDUP($A32/1.8,0)*1.8</f>
        <v>0</v>
      </c>
      <c r="AE32" s="149">
        <f>ROUNDUP($A32,0)</f>
        <v>0</v>
      </c>
    </row>
    <row r="33" spans="1:55" ht="32.1" customHeight="1">
      <c r="A33" s="98"/>
      <c r="B33" s="79" t="str">
        <f>VLOOKUP(531,Sprachindex!$A:$Z,Info!$O$7,FALSE)</f>
        <v>kg</v>
      </c>
      <c r="C33" s="78"/>
      <c r="D33" s="78">
        <f>IF(H33=Formeln!A2,340392,IF(H33=Formeln!A3,340394,IF(H33=Formeln!A4,341392,0)))</f>
        <v>0</v>
      </c>
      <c r="E33" s="561" t="str">
        <f>VLOOKUP(707,Sprachindex!$A:$Z,Info!$O$7,FALSE)</f>
        <v>Rillennagel (verzinkt)</v>
      </c>
      <c r="F33" s="562"/>
      <c r="G33" s="562"/>
      <c r="H33" s="572"/>
      <c r="I33" s="573"/>
      <c r="J33" s="573"/>
      <c r="K33" s="574"/>
      <c r="L33" s="79" t="str">
        <f>IF(A33=0,"",IF(H33=Formeln!$A$1,"",IF($P$11=1,AD33,AE33)))</f>
        <v/>
      </c>
      <c r="M33" s="433" t="str">
        <f t="shared" si="0"/>
        <v>kg</v>
      </c>
      <c r="N33" s="80"/>
      <c r="O33" s="202" t="str">
        <f>IF(ISNUMBER(A33),$L33*R33, "")</f>
        <v/>
      </c>
      <c r="R33" s="200">
        <v>9.35</v>
      </c>
      <c r="S33" s="195"/>
      <c r="AD33" s="149">
        <f>IF(OR($H33=Formeln!$A$2,$H33=Formeln!$A$3),ROUNDUP($A33/2.5,0)*2.5,ROUNDUP($A33/2,0)*2)</f>
        <v>0</v>
      </c>
      <c r="AE33" s="149">
        <f>ROUNDUP($A33,2)</f>
        <v>0</v>
      </c>
      <c r="AF33" s="6">
        <f>IF(H33=Formeln!A2,570,IF(H33=Formeln!A3,480,IF(H33=Formeln!A4,380,0)))</f>
        <v>0</v>
      </c>
    </row>
    <row r="34" spans="1:55" ht="32.1" customHeight="1">
      <c r="A34" s="98"/>
      <c r="B34" s="79" t="str">
        <f>VLOOKUP(878,Sprachindex!$A:$Z,Info!$O$7,FALSE)</f>
        <v>Stk.</v>
      </c>
      <c r="C34" s="78"/>
      <c r="D34" s="81">
        <f>IF(H34=Formeln!A6,341395,IF(H34=Formeln!A7,341396,IF(H34=Formeln!A8,341398,0)))</f>
        <v>0</v>
      </c>
      <c r="E34" s="561" t="str">
        <f>VLOOKUP(2186,Sprachindex!$A:$Z,Info!$O$7,FALSE)</f>
        <v>Rillennägel gebunden</v>
      </c>
      <c r="F34" s="562"/>
      <c r="G34" s="562"/>
      <c r="H34" s="572"/>
      <c r="I34" s="573"/>
      <c r="J34" s="573"/>
      <c r="K34" s="574"/>
      <c r="L34" s="141" t="str">
        <f>IF($A34=0,"",IF($H34=Formeln!$A$5,"",IF($P$11=1,AD34,AE34)))</f>
        <v/>
      </c>
      <c r="M34" s="433" t="str">
        <f t="shared" si="0"/>
        <v>Stk.</v>
      </c>
      <c r="N34" s="80"/>
      <c r="O34" s="202" t="str">
        <f>IF(ISNUMBER(A34),IF(H34=Formeln!A7,$L34*S34/1000,IF(H34=Formeln!A6,$L34*R34/1000,L34*T34/1000)),"")</f>
        <v/>
      </c>
      <c r="R34" s="205">
        <v>34.4</v>
      </c>
      <c r="S34" s="206">
        <v>51.6</v>
      </c>
      <c r="T34" s="135">
        <v>64.400000000000006</v>
      </c>
      <c r="AD34" s="148">
        <f>ROUNDUP($A34/$AF34,0)*$AF34</f>
        <v>0</v>
      </c>
      <c r="AE34" s="149">
        <f>ROUNDUP($A34/1000,0)*1000</f>
        <v>0</v>
      </c>
      <c r="AF34" s="150">
        <f>IF($H34=Formeln!$A$7,2400,3200)</f>
        <v>3200</v>
      </c>
    </row>
    <row r="35" spans="1:55" ht="32.1" customHeight="1">
      <c r="A35" s="98"/>
      <c r="B35" s="79" t="str">
        <f>VLOOKUP(1512,Sprachindex!$A:$Z,Info!$O$7,FALSE)</f>
        <v>lfm</v>
      </c>
      <c r="C35" s="78"/>
      <c r="D35" s="78">
        <f>IF($P$21=1,AH35,IF($P$21=4,AI35,IF($P$21=5,AJ35,IF($P$21=11,AK35,IF($P$21=7,AL35,IF($P$21=3,AM35,IF($P$21=6,AN35,IF($P$21=9,AO35,IF($P$21=2,AP35,IF($P$21=8,AQ35,0))))))))))</f>
        <v>0</v>
      </c>
      <c r="E35" s="561" t="str">
        <f>VLOOKUP(333,Sprachindex!$A:$Z,Info!$O$7,FALSE)</f>
        <v>Einlaufblech</v>
      </c>
      <c r="F35" s="562"/>
      <c r="G35" s="562"/>
      <c r="H35" s="562"/>
      <c r="I35" s="562"/>
      <c r="J35" s="562"/>
      <c r="K35" s="563"/>
      <c r="L35" s="79" t="str">
        <f>IF(A35=0,"",IF($P$11=1,AD35,AE35))</f>
        <v/>
      </c>
      <c r="M35" s="433" t="str">
        <f t="shared" si="0"/>
        <v>lfm</v>
      </c>
      <c r="N35" s="80"/>
      <c r="O35" s="202" t="str">
        <f>IF(ISNUMBER(A35),$L35*R35, "")</f>
        <v/>
      </c>
      <c r="R35" s="200">
        <v>8.65</v>
      </c>
      <c r="S35" s="200"/>
      <c r="AD35" s="149">
        <f>ROUNDUP($A35/2,0)*2</f>
        <v>0</v>
      </c>
      <c r="AE35" s="149">
        <f>ROUNDUP($A35,0)</f>
        <v>0</v>
      </c>
      <c r="AF35" s="145"/>
      <c r="AH35" s="181">
        <v>212100</v>
      </c>
      <c r="AI35" s="181"/>
      <c r="AJ35" s="181">
        <v>212102</v>
      </c>
      <c r="AK35" s="181">
        <v>212101</v>
      </c>
      <c r="AL35" s="187"/>
      <c r="AM35" s="181"/>
      <c r="AN35" s="181">
        <v>212106</v>
      </c>
      <c r="AO35" s="181"/>
      <c r="AP35" s="181">
        <v>212104</v>
      </c>
      <c r="AQ35" s="181">
        <v>212103</v>
      </c>
    </row>
    <row r="36" spans="1:55" ht="32.1" customHeight="1">
      <c r="A36" s="98"/>
      <c r="B36" s="79" t="str">
        <f>VLOOKUP(1512,Sprachindex!$A:$Z,Info!$O$7,FALSE)</f>
        <v>lfm</v>
      </c>
      <c r="C36" s="82"/>
      <c r="D36" s="82">
        <f>IF(H36=Formeln!A10,507403,IF(H36=Formeln!A11,507404,IF(H36=Formeln!A12,507402,IF(H36=Formeln!A13,507405,IF(H36=Formeln!A14,507412,IF(H36=Formeln!A15,507413,0))))))</f>
        <v>0</v>
      </c>
      <c r="E36" s="561" t="str">
        <f>VLOOKUP(586,Sprachindex!$A:$Z,Info!$O$7,FALSE)</f>
        <v>Lüftungsband</v>
      </c>
      <c r="F36" s="562"/>
      <c r="G36" s="562"/>
      <c r="H36" s="572"/>
      <c r="I36" s="573"/>
      <c r="J36" s="573"/>
      <c r="K36" s="574"/>
      <c r="L36" s="79" t="str">
        <f>IF($H36=Formeln!$A$9," ",IF(A36=0,"",IF($P$11=1,AD36,AE36)))</f>
        <v xml:space="preserve"> </v>
      </c>
      <c r="M36" s="433" t="str">
        <f t="shared" si="0"/>
        <v>lfm</v>
      </c>
      <c r="N36" s="80"/>
      <c r="O36" s="5" t="str">
        <f>IF(ISNUMBER(A36), IF(OR(H36=Formeln!A10,H36=Formeln!A11), $L36*R36, $L36*S36), "")</f>
        <v/>
      </c>
      <c r="R36" s="200">
        <v>13.23</v>
      </c>
      <c r="S36" s="195">
        <v>21.27</v>
      </c>
      <c r="AD36" s="149">
        <f>ROUNDUP($A36/40,0)*40</f>
        <v>0</v>
      </c>
      <c r="AE36" s="149">
        <f>$A36</f>
        <v>0</v>
      </c>
      <c r="AH36" s="45" t="s">
        <v>26</v>
      </c>
      <c r="AI36" s="13"/>
      <c r="AJ36" s="13"/>
      <c r="AK36" s="13"/>
      <c r="AL36" s="13"/>
      <c r="AM36" s="13"/>
      <c r="AN36" s="13"/>
      <c r="AO36" s="13"/>
      <c r="AP36" s="13"/>
      <c r="AQ36" s="13"/>
      <c r="AR36" s="45" t="s">
        <v>27</v>
      </c>
      <c r="AS36" s="13"/>
      <c r="AT36" s="13"/>
      <c r="AU36" s="13"/>
      <c r="AV36" s="13"/>
      <c r="AW36" s="13"/>
      <c r="AX36" s="13"/>
      <c r="AY36" s="13"/>
      <c r="AZ36" s="13"/>
      <c r="BA36" s="46"/>
    </row>
    <row r="37" spans="1:55" ht="32.1" customHeight="1">
      <c r="A37" s="98"/>
      <c r="B37" s="79" t="str">
        <f>VLOOKUP(1512,Sprachindex!$A:$Z,Info!$O$7,FALSE)</f>
        <v>lfm</v>
      </c>
      <c r="C37" s="78"/>
      <c r="D37" s="81">
        <v>507300</v>
      </c>
      <c r="E37" s="561" t="str">
        <f>VLOOKUP(986,Sprachindex!$A:$Z,Info!$O$7,FALSE)</f>
        <v>Vogelschutzgitter (Braun/Anthrazit; 125 × 2.000 × 0,7 mm)</v>
      </c>
      <c r="F37" s="562"/>
      <c r="G37" s="562"/>
      <c r="H37" s="562"/>
      <c r="I37" s="562"/>
      <c r="J37" s="562"/>
      <c r="K37" s="563"/>
      <c r="L37" s="79" t="str">
        <f t="shared" ref="L37:L45" si="1">IF(A37=0,"",IF($P$11=1,AD37,AE37))</f>
        <v/>
      </c>
      <c r="M37" s="433" t="str">
        <f t="shared" si="0"/>
        <v>lfm</v>
      </c>
      <c r="N37" s="80"/>
      <c r="O37" s="202" t="str">
        <f t="shared" ref="O37:O45" si="2">IF(ISNUMBER(A37),$L37*R37, "")</f>
        <v/>
      </c>
      <c r="R37" s="200">
        <v>4.01</v>
      </c>
      <c r="S37" s="200"/>
      <c r="AD37" s="149">
        <f>ROUNDUP($A37/2,0)*2</f>
        <v>0</v>
      </c>
      <c r="AE37" s="149">
        <f>ROUNDUP($A37,0)</f>
        <v>0</v>
      </c>
      <c r="AH37" s="47" t="s">
        <v>33</v>
      </c>
      <c r="AI37" s="47" t="s">
        <v>34</v>
      </c>
      <c r="AJ37" s="47" t="s">
        <v>35</v>
      </c>
      <c r="AK37" s="47" t="s">
        <v>36</v>
      </c>
      <c r="AL37" s="47" t="s">
        <v>37</v>
      </c>
      <c r="AM37" s="47" t="s">
        <v>38</v>
      </c>
      <c r="AN37" s="47" t="s">
        <v>39</v>
      </c>
      <c r="AO37" s="47" t="s">
        <v>40</v>
      </c>
      <c r="AP37" s="47" t="s">
        <v>41</v>
      </c>
      <c r="AQ37" s="47" t="s">
        <v>42</v>
      </c>
      <c r="AR37" s="47" t="s">
        <v>33</v>
      </c>
      <c r="AS37" s="47" t="s">
        <v>34</v>
      </c>
      <c r="AT37" s="47" t="s">
        <v>35</v>
      </c>
      <c r="AU37" s="47" t="s">
        <v>36</v>
      </c>
      <c r="AV37" s="47" t="s">
        <v>37</v>
      </c>
      <c r="AW37" s="47" t="s">
        <v>38</v>
      </c>
      <c r="AX37" s="47" t="s">
        <v>39</v>
      </c>
      <c r="AY37" s="47" t="s">
        <v>40</v>
      </c>
      <c r="AZ37" s="47" t="s">
        <v>41</v>
      </c>
      <c r="BA37" s="47" t="s">
        <v>42</v>
      </c>
    </row>
    <row r="38" spans="1:55" ht="32.1" customHeight="1">
      <c r="A38" s="98"/>
      <c r="B38" s="79" t="str">
        <f>VLOOKUP(1512,Sprachindex!$A:$Z,Info!$O$7,FALSE)</f>
        <v>lfm</v>
      </c>
      <c r="C38" s="78"/>
      <c r="D38" s="78">
        <f t="shared" ref="D38:D44" si="3">IF($P$9=1,BC38,BB38)</f>
        <v>0</v>
      </c>
      <c r="E38" s="561" t="str">
        <f>VLOOKUP(647,Sprachindex!$A:$Z,Info!$O$7,FALSE)</f>
        <v>Ortgangstreifen (95 × 2.000 × 0,70 mm)</v>
      </c>
      <c r="F38" s="562"/>
      <c r="G38" s="562"/>
      <c r="H38" s="562"/>
      <c r="I38" s="562"/>
      <c r="J38" s="562"/>
      <c r="K38" s="563"/>
      <c r="L38" s="79" t="str">
        <f t="shared" si="1"/>
        <v/>
      </c>
      <c r="M38" s="433" t="str">
        <f t="shared" si="0"/>
        <v>lfm</v>
      </c>
      <c r="N38" s="80"/>
      <c r="O38" s="202" t="str">
        <f t="shared" si="2"/>
        <v/>
      </c>
      <c r="R38" s="200">
        <v>9.57</v>
      </c>
      <c r="S38" s="195"/>
      <c r="AD38" s="149">
        <f>ROUNDUP($A38/2,0)*2</f>
        <v>0</v>
      </c>
      <c r="AE38" s="149">
        <f>ROUNDUP($A38,0)</f>
        <v>0</v>
      </c>
      <c r="AH38" s="470">
        <v>110500</v>
      </c>
      <c r="AI38" s="470">
        <v>110501</v>
      </c>
      <c r="AJ38" s="470">
        <v>110502</v>
      </c>
      <c r="AK38" s="470">
        <v>110503</v>
      </c>
      <c r="AL38" s="470">
        <v>110504</v>
      </c>
      <c r="AM38" s="470">
        <v>110505</v>
      </c>
      <c r="AN38" s="470">
        <v>110506</v>
      </c>
      <c r="AO38" s="470">
        <v>110507</v>
      </c>
      <c r="AP38" s="470">
        <v>110508</v>
      </c>
      <c r="AQ38" s="470"/>
      <c r="AR38" s="469">
        <v>110510</v>
      </c>
      <c r="AS38" s="469">
        <v>110511</v>
      </c>
      <c r="AT38" s="469">
        <v>110512</v>
      </c>
      <c r="AU38" s="469">
        <v>110513</v>
      </c>
      <c r="AV38" s="469">
        <v>110514</v>
      </c>
      <c r="AW38" s="469">
        <v>110515</v>
      </c>
      <c r="AX38" s="469">
        <v>110516</v>
      </c>
      <c r="AY38" s="469">
        <v>110517</v>
      </c>
      <c r="AZ38" s="469">
        <v>110518</v>
      </c>
      <c r="BA38" s="469">
        <v>110519</v>
      </c>
      <c r="BB38" s="468">
        <f t="shared" ref="BB38:BB44" si="4">IF($P$21=1,AH38,IF($P$21=4,AI38,IF($P$21=5,AJ38,IF($P$21=11,AK38,IF($P$21=7,AL38,IF($P$21=3,AM38,IF($P$21=6,AN38,IF($P$21=9,AO38,IF($P$21=2,AP38,IF($P$21=8,AQ38,0))))))))))</f>
        <v>0</v>
      </c>
      <c r="BC38" s="468">
        <f t="shared" ref="BC38:BC44" si="5">IF($P$21=1,AR38,IF($P$21=4,AS38,IF($P$21=5,AT38,IF($P$21=11,AU38,IF($P$21=7,AV38,IF($P$21=3,AW38,IF($P$21=6,AX38,IF($P$21=9,AY38,IF($P$21=2,AZ38,IF($P$21=8,BA38,0))))))))))</f>
        <v>0</v>
      </c>
    </row>
    <row r="39" spans="1:55" ht="32.1" customHeight="1">
      <c r="A39" s="98"/>
      <c r="B39" s="79" t="str">
        <f>VLOOKUP(1512,Sprachindex!$A:$Z,Info!$O$7,FALSE)</f>
        <v>lfm</v>
      </c>
      <c r="C39" s="78"/>
      <c r="D39" s="78">
        <f t="shared" si="3"/>
        <v>0</v>
      </c>
      <c r="E39" s="561" t="str">
        <f>VLOOKUP(825,Sprachindex!$A:$Z,Info!$O$7,FALSE)</f>
        <v>Sicherheitskehle (stucco; Länge: 3.000 mm)</v>
      </c>
      <c r="F39" s="562"/>
      <c r="G39" s="562"/>
      <c r="H39" s="562"/>
      <c r="I39" s="562"/>
      <c r="J39" s="562"/>
      <c r="K39" s="563"/>
      <c r="L39" s="79" t="str">
        <f t="shared" si="1"/>
        <v/>
      </c>
      <c r="M39" s="433" t="str">
        <f t="shared" si="0"/>
        <v>lfm</v>
      </c>
      <c r="N39" s="80"/>
      <c r="O39" s="202" t="str">
        <f t="shared" si="2"/>
        <v/>
      </c>
      <c r="R39" s="200">
        <v>32.14</v>
      </c>
      <c r="S39" s="195"/>
      <c r="AD39" s="149">
        <f>ROUNDUP($A39/3,0)*3</f>
        <v>0</v>
      </c>
      <c r="AE39" s="149">
        <f>ROUNDUP($A39/3,0)*3</f>
        <v>0</v>
      </c>
      <c r="AH39" s="470">
        <v>110520</v>
      </c>
      <c r="AI39" s="470">
        <v>110521</v>
      </c>
      <c r="AJ39" s="470">
        <v>110522</v>
      </c>
      <c r="AK39" s="470">
        <v>110523</v>
      </c>
      <c r="AL39" s="470">
        <v>110524</v>
      </c>
      <c r="AM39" s="470">
        <v>110525</v>
      </c>
      <c r="AN39" s="470">
        <v>110526</v>
      </c>
      <c r="AO39" s="470">
        <v>110527</v>
      </c>
      <c r="AP39" s="470">
        <v>110528</v>
      </c>
      <c r="AQ39" s="470"/>
      <c r="AR39" s="469">
        <v>110530</v>
      </c>
      <c r="AS39" s="469">
        <v>110531</v>
      </c>
      <c r="AT39" s="469">
        <v>110532</v>
      </c>
      <c r="AU39" s="469">
        <v>110533</v>
      </c>
      <c r="AV39" s="469">
        <v>110534</v>
      </c>
      <c r="AW39" s="469">
        <v>110535</v>
      </c>
      <c r="AX39" s="469">
        <v>110536</v>
      </c>
      <c r="AY39" s="469">
        <v>110537</v>
      </c>
      <c r="AZ39" s="469">
        <v>110538</v>
      </c>
      <c r="BA39" s="469">
        <v>110539</v>
      </c>
      <c r="BB39" s="468">
        <f t="shared" si="4"/>
        <v>0</v>
      </c>
      <c r="BC39" s="468">
        <f t="shared" si="5"/>
        <v>0</v>
      </c>
    </row>
    <row r="40" spans="1:55" ht="32.1" customHeight="1">
      <c r="A40" s="98"/>
      <c r="B40" s="79" t="str">
        <f>VLOOKUP(1512,Sprachindex!$A:$Z,Info!$O$7,FALSE)</f>
        <v>lfm</v>
      </c>
      <c r="C40" s="78"/>
      <c r="D40" s="78">
        <f t="shared" si="3"/>
        <v>0</v>
      </c>
      <c r="E40" s="561" t="str">
        <f>VLOOKUP(440,Sprachindex!$A:$Z,Info!$O$7,FALSE)</f>
        <v>Grat- und Firstreiter (500 × 1,00 mm; stucco) inkl. Niro-Schraube 4,5 × 45 mm und Dichtscheibe</v>
      </c>
      <c r="F40" s="562"/>
      <c r="G40" s="562"/>
      <c r="H40" s="562"/>
      <c r="I40" s="562"/>
      <c r="J40" s="562"/>
      <c r="K40" s="563"/>
      <c r="L40" s="79" t="str">
        <f t="shared" si="1"/>
        <v/>
      </c>
      <c r="M40" s="433" t="str">
        <f t="shared" si="0"/>
        <v>lfm</v>
      </c>
      <c r="N40" s="80"/>
      <c r="O40" s="202" t="str">
        <f t="shared" si="2"/>
        <v/>
      </c>
      <c r="R40" s="200">
        <v>14.77</v>
      </c>
      <c r="S40" s="195"/>
      <c r="AD40" s="149">
        <f>ROUNDUP($A40/10,0)*10</f>
        <v>0</v>
      </c>
      <c r="AE40" s="149">
        <f>ROUNDUP($A40/0.5,0)*0.5</f>
        <v>0</v>
      </c>
      <c r="AH40" s="470">
        <v>110340</v>
      </c>
      <c r="AI40" s="470">
        <v>110341</v>
      </c>
      <c r="AJ40" s="470">
        <v>110342</v>
      </c>
      <c r="AK40" s="470">
        <v>110343</v>
      </c>
      <c r="AL40" s="470">
        <v>110344</v>
      </c>
      <c r="AM40" s="470">
        <v>110345</v>
      </c>
      <c r="AN40" s="470">
        <v>110346</v>
      </c>
      <c r="AO40" s="470">
        <v>110347</v>
      </c>
      <c r="AP40" s="470">
        <v>110348</v>
      </c>
      <c r="AQ40" s="470"/>
      <c r="AR40" s="469">
        <v>110350</v>
      </c>
      <c r="AS40" s="469">
        <v>110351</v>
      </c>
      <c r="AT40" s="469">
        <v>110352</v>
      </c>
      <c r="AU40" s="469">
        <v>110353</v>
      </c>
      <c r="AV40" s="469">
        <v>110354</v>
      </c>
      <c r="AW40" s="469">
        <v>110355</v>
      </c>
      <c r="AX40" s="469">
        <v>110356</v>
      </c>
      <c r="AY40" s="469">
        <v>110357</v>
      </c>
      <c r="AZ40" s="469">
        <v>110358</v>
      </c>
      <c r="BA40" s="469">
        <v>110359</v>
      </c>
      <c r="BB40" s="468">
        <f t="shared" si="4"/>
        <v>0</v>
      </c>
      <c r="BC40" s="468">
        <f t="shared" si="5"/>
        <v>0</v>
      </c>
    </row>
    <row r="41" spans="1:55" ht="32.1" customHeight="1">
      <c r="A41" s="98"/>
      <c r="B41" s="79" t="str">
        <f>VLOOKUP(878,Sprachindex!$A:$Z,Info!$O$7,FALSE)</f>
        <v>Stk.</v>
      </c>
      <c r="C41" s="78"/>
      <c r="D41" s="78">
        <f t="shared" si="3"/>
        <v>0</v>
      </c>
      <c r="E41" s="561" t="str">
        <f>VLOOKUP(441,Sprachindex!$A:$Z,Info!$O$7,FALSE)</f>
        <v>Gratreitervorkopf (stucco)</v>
      </c>
      <c r="F41" s="562"/>
      <c r="G41" s="562"/>
      <c r="H41" s="562"/>
      <c r="I41" s="562"/>
      <c r="J41" s="562"/>
      <c r="K41" s="563"/>
      <c r="L41" s="79" t="str">
        <f t="shared" si="1"/>
        <v/>
      </c>
      <c r="M41" s="433" t="str">
        <f t="shared" si="0"/>
        <v>Stk.</v>
      </c>
      <c r="N41" s="80"/>
      <c r="O41" s="202" t="str">
        <f t="shared" si="2"/>
        <v/>
      </c>
      <c r="R41" s="200">
        <v>8.02</v>
      </c>
      <c r="S41" s="195"/>
      <c r="AD41" s="149">
        <f>ROUNDUP($A41/10,0)*10</f>
        <v>0</v>
      </c>
      <c r="AE41" s="149">
        <f>ROUNDUP($A41/1,0)*1</f>
        <v>0</v>
      </c>
      <c r="AH41" s="470">
        <v>110320</v>
      </c>
      <c r="AI41" s="470">
        <v>110321</v>
      </c>
      <c r="AJ41" s="470">
        <v>110322</v>
      </c>
      <c r="AK41" s="470">
        <v>110323</v>
      </c>
      <c r="AL41" s="470">
        <v>110324</v>
      </c>
      <c r="AM41" s="470">
        <v>110325</v>
      </c>
      <c r="AN41" s="470">
        <v>110326</v>
      </c>
      <c r="AO41" s="470">
        <v>110327</v>
      </c>
      <c r="AP41" s="470">
        <v>110328</v>
      </c>
      <c r="AQ41" s="470"/>
      <c r="AR41" s="469">
        <v>110330</v>
      </c>
      <c r="AS41" s="469">
        <v>110331</v>
      </c>
      <c r="AT41" s="469">
        <v>110332</v>
      </c>
      <c r="AU41" s="469">
        <v>110333</v>
      </c>
      <c r="AV41" s="469">
        <v>110334</v>
      </c>
      <c r="AW41" s="469">
        <v>110335</v>
      </c>
      <c r="AX41" s="469">
        <v>110336</v>
      </c>
      <c r="AY41" s="469">
        <v>110337</v>
      </c>
      <c r="AZ41" s="469">
        <v>110338</v>
      </c>
      <c r="BA41" s="469">
        <v>110339</v>
      </c>
      <c r="BB41" s="468">
        <f t="shared" si="4"/>
        <v>0</v>
      </c>
      <c r="BC41" s="468">
        <f t="shared" si="5"/>
        <v>0</v>
      </c>
    </row>
    <row r="42" spans="1:55" ht="32.1" customHeight="1">
      <c r="A42" s="98"/>
      <c r="B42" s="79" t="str">
        <f>VLOOKUP(1512,Sprachindex!$A:$Z,Info!$O$7,FALSE)</f>
        <v>lfm</v>
      </c>
      <c r="C42" s="78"/>
      <c r="D42" s="78">
        <f t="shared" si="3"/>
        <v>0</v>
      </c>
      <c r="E42" s="561" t="str">
        <f>VLOOKUP(501,Sprachindex!$A:$Z,Info!$O$7,FALSE)</f>
        <v>Jet-Lüfter (stucco; 1.200 mm); inkl. Niro-Schraube und Dichtscheibe</v>
      </c>
      <c r="F42" s="562"/>
      <c r="G42" s="562"/>
      <c r="H42" s="562"/>
      <c r="I42" s="562"/>
      <c r="J42" s="562"/>
      <c r="K42" s="563"/>
      <c r="L42" s="79" t="str">
        <f t="shared" si="1"/>
        <v/>
      </c>
      <c r="M42" s="433" t="str">
        <f t="shared" si="0"/>
        <v>lfm</v>
      </c>
      <c r="N42" s="80"/>
      <c r="O42" s="202" t="str">
        <f t="shared" si="2"/>
        <v/>
      </c>
      <c r="R42" s="200">
        <v>67.2</v>
      </c>
      <c r="S42" s="195"/>
      <c r="AD42" s="149">
        <f>ROUNDUP($A42/1.2,0)*1.2</f>
        <v>0</v>
      </c>
      <c r="AE42" s="149">
        <f>ROUNDUP($A42/1.2,0)*1.2</f>
        <v>0</v>
      </c>
      <c r="AH42" s="470">
        <v>110640</v>
      </c>
      <c r="AI42" s="470">
        <v>110641</v>
      </c>
      <c r="AJ42" s="470">
        <v>110642</v>
      </c>
      <c r="AK42" s="470">
        <v>110643</v>
      </c>
      <c r="AL42" s="470">
        <v>110644</v>
      </c>
      <c r="AM42" s="470">
        <v>110645</v>
      </c>
      <c r="AN42" s="470">
        <v>110646</v>
      </c>
      <c r="AO42" s="470">
        <v>110647</v>
      </c>
      <c r="AP42" s="470">
        <v>110648</v>
      </c>
      <c r="AQ42" s="470"/>
      <c r="AR42" s="469">
        <v>110650</v>
      </c>
      <c r="AS42" s="469">
        <v>110651</v>
      </c>
      <c r="AT42" s="469">
        <v>110652</v>
      </c>
      <c r="AU42" s="469">
        <v>110653</v>
      </c>
      <c r="AV42" s="469">
        <v>110654</v>
      </c>
      <c r="AW42" s="469">
        <v>110655</v>
      </c>
      <c r="AX42" s="469">
        <v>110656</v>
      </c>
      <c r="AY42" s="469">
        <v>110657</v>
      </c>
      <c r="AZ42" s="469">
        <v>110658</v>
      </c>
      <c r="BA42" s="469">
        <v>110659</v>
      </c>
      <c r="BB42" s="468">
        <f t="shared" si="4"/>
        <v>0</v>
      </c>
      <c r="BC42" s="468">
        <f t="shared" si="5"/>
        <v>0</v>
      </c>
    </row>
    <row r="43" spans="1:55" ht="32.1" customHeight="1">
      <c r="A43" s="98"/>
      <c r="B43" s="79" t="str">
        <f>VLOOKUP(1512,Sprachindex!$A:$Z,Info!$O$7,FALSE)</f>
        <v>lfm</v>
      </c>
      <c r="C43" s="78"/>
      <c r="D43" s="78">
        <f t="shared" si="3"/>
        <v>0</v>
      </c>
      <c r="E43" s="561" t="str">
        <f>VLOOKUP(502,Sprachindex!$A:$Z,Info!$O$7,FALSE)</f>
        <v>Jet-Lüfter (stucco; 3.000 mm); inkl. Niro-Schraube und Dichtscheibe</v>
      </c>
      <c r="F43" s="562"/>
      <c r="G43" s="562"/>
      <c r="H43" s="562"/>
      <c r="I43" s="562"/>
      <c r="J43" s="562"/>
      <c r="K43" s="563"/>
      <c r="L43" s="79" t="str">
        <f t="shared" si="1"/>
        <v/>
      </c>
      <c r="M43" s="433" t="str">
        <f t="shared" si="0"/>
        <v>lfm</v>
      </c>
      <c r="N43" s="80"/>
      <c r="O43" s="202" t="str">
        <f t="shared" si="2"/>
        <v/>
      </c>
      <c r="R43" s="200">
        <v>60.69</v>
      </c>
      <c r="S43" s="195"/>
      <c r="AD43" s="149">
        <f>ROUNDUP($A43/9,0)*9</f>
        <v>0</v>
      </c>
      <c r="AE43" s="149">
        <f>ROUNDUP($A43/3,0)*3</f>
        <v>0</v>
      </c>
      <c r="AH43" s="470">
        <v>110620</v>
      </c>
      <c r="AI43" s="470">
        <v>110621</v>
      </c>
      <c r="AJ43" s="470">
        <v>110622</v>
      </c>
      <c r="AK43" s="470">
        <v>110623</v>
      </c>
      <c r="AL43" s="470">
        <v>110624</v>
      </c>
      <c r="AM43" s="470">
        <v>110625</v>
      </c>
      <c r="AN43" s="470">
        <v>110626</v>
      </c>
      <c r="AO43" s="470">
        <v>110627</v>
      </c>
      <c r="AP43" s="470">
        <v>110628</v>
      </c>
      <c r="AQ43" s="470"/>
      <c r="AR43" s="469">
        <v>110630</v>
      </c>
      <c r="AS43" s="469">
        <v>110631</v>
      </c>
      <c r="AT43" s="469">
        <v>110632</v>
      </c>
      <c r="AU43" s="469">
        <v>110633</v>
      </c>
      <c r="AV43" s="469">
        <v>110634</v>
      </c>
      <c r="AW43" s="469">
        <v>110635</v>
      </c>
      <c r="AX43" s="469">
        <v>110636</v>
      </c>
      <c r="AY43" s="469">
        <v>110637</v>
      </c>
      <c r="AZ43" s="469">
        <v>110638</v>
      </c>
      <c r="BA43" s="469">
        <v>110639</v>
      </c>
      <c r="BB43" s="468">
        <f t="shared" si="4"/>
        <v>0</v>
      </c>
      <c r="BC43" s="468">
        <f t="shared" si="5"/>
        <v>0</v>
      </c>
    </row>
    <row r="44" spans="1:55" ht="32.1" customHeight="1">
      <c r="A44" s="98"/>
      <c r="B44" s="79" t="str">
        <f>VLOOKUP(878,Sprachindex!$A:$Z,Info!$O$7,FALSE)</f>
        <v>Stk.</v>
      </c>
      <c r="C44" s="78"/>
      <c r="D44" s="78">
        <f t="shared" si="3"/>
        <v>0</v>
      </c>
      <c r="E44" s="561" t="str">
        <f>VLOOKUP(503,Sprachindex!$A:$Z,Info!$O$7,FALSE)</f>
        <v>Jet-Lüfter-Vorkopf (stucco)</v>
      </c>
      <c r="F44" s="562"/>
      <c r="G44" s="562"/>
      <c r="H44" s="562"/>
      <c r="I44" s="562"/>
      <c r="J44" s="562"/>
      <c r="K44" s="563"/>
      <c r="L44" s="79" t="str">
        <f t="shared" si="1"/>
        <v/>
      </c>
      <c r="M44" s="433" t="str">
        <f t="shared" si="0"/>
        <v>Stk.</v>
      </c>
      <c r="N44" s="80"/>
      <c r="O44" s="202" t="str">
        <f t="shared" si="2"/>
        <v/>
      </c>
      <c r="R44" s="200">
        <v>8.7100000000000009</v>
      </c>
      <c r="S44" s="195"/>
      <c r="AD44" s="149">
        <f>ROUNDUP($A44/2,0)*2</f>
        <v>0</v>
      </c>
      <c r="AE44" s="149">
        <f>ROUNDUP($A44/1,0)*1</f>
        <v>0</v>
      </c>
      <c r="AH44" s="470">
        <v>110600</v>
      </c>
      <c r="AI44" s="470">
        <v>110601</v>
      </c>
      <c r="AJ44" s="470">
        <v>110602</v>
      </c>
      <c r="AK44" s="470">
        <v>110603</v>
      </c>
      <c r="AL44" s="470">
        <v>110604</v>
      </c>
      <c r="AM44" s="470">
        <v>110605</v>
      </c>
      <c r="AN44" s="470">
        <v>110606</v>
      </c>
      <c r="AO44" s="470">
        <v>110607</v>
      </c>
      <c r="AP44" s="470">
        <v>110608</v>
      </c>
      <c r="AQ44" s="470"/>
      <c r="AR44" s="469">
        <v>110610</v>
      </c>
      <c r="AS44" s="469">
        <v>110611</v>
      </c>
      <c r="AT44" s="469">
        <v>110612</v>
      </c>
      <c r="AU44" s="469">
        <v>110613</v>
      </c>
      <c r="AV44" s="469">
        <v>110614</v>
      </c>
      <c r="AW44" s="469">
        <v>110615</v>
      </c>
      <c r="AX44" s="469">
        <v>110616</v>
      </c>
      <c r="AY44" s="469">
        <v>110617</v>
      </c>
      <c r="AZ44" s="469">
        <v>110618</v>
      </c>
      <c r="BA44" s="469">
        <v>110619</v>
      </c>
      <c r="BB44" s="468">
        <f t="shared" si="4"/>
        <v>0</v>
      </c>
      <c r="BC44" s="468">
        <f t="shared" si="5"/>
        <v>0</v>
      </c>
    </row>
    <row r="45" spans="1:55" ht="32.1" customHeight="1">
      <c r="A45" s="98"/>
      <c r="B45" s="79" t="str">
        <f>VLOOKUP(878,Sprachindex!$A:$Z,Info!$O$7,FALSE)</f>
        <v>Stk.</v>
      </c>
      <c r="C45" s="78"/>
      <c r="D45" s="78">
        <f>IF($P$21=1,AH45,IF($P$21=4,AI45,IF($P$21=5,AJ45,IF($P$21=11,AK45,IF($P$21=7,AL45,IF($P$21=3,AM45,IF($P$21=6,AN45,IF($P$21=9,AO45,IF($P$21=2,AP45,IF($P$21=8,AQ45,0))))))))))</f>
        <v>0</v>
      </c>
      <c r="E45" s="561" t="str">
        <f>VLOOKUP(2187,Sprachindex!$A:$Z,Info!$O$7,FALSE)</f>
        <v>Dichtschraube NIRO, 4,5x25</v>
      </c>
      <c r="F45" s="562"/>
      <c r="G45" s="562"/>
      <c r="H45" s="562"/>
      <c r="I45" s="562"/>
      <c r="J45" s="562"/>
      <c r="K45" s="563"/>
      <c r="L45" s="79" t="str">
        <f t="shared" si="1"/>
        <v/>
      </c>
      <c r="M45" s="433" t="str">
        <f t="shared" si="0"/>
        <v>Stk.</v>
      </c>
      <c r="N45" s="80"/>
      <c r="O45" s="202" t="str">
        <f t="shared" si="2"/>
        <v/>
      </c>
      <c r="R45" s="200">
        <v>0.46</v>
      </c>
      <c r="S45" s="195">
        <v>0.35</v>
      </c>
      <c r="AD45" s="149">
        <f>ROUNDUP($A45/200,0)*200</f>
        <v>0</v>
      </c>
      <c r="AE45" s="149">
        <f>ROUNDUP($A45,0)</f>
        <v>0</v>
      </c>
      <c r="AH45" s="44">
        <v>340041</v>
      </c>
      <c r="AI45" s="44">
        <v>340042</v>
      </c>
      <c r="AJ45" s="44">
        <v>340043</v>
      </c>
      <c r="AK45" s="44">
        <v>340044</v>
      </c>
      <c r="AL45" s="138"/>
      <c r="AM45" s="44">
        <v>340045</v>
      </c>
      <c r="AN45" s="44">
        <v>340046</v>
      </c>
      <c r="AO45" s="44">
        <v>340047</v>
      </c>
      <c r="AP45" s="44">
        <v>340048</v>
      </c>
      <c r="AQ45" s="44">
        <v>340049</v>
      </c>
      <c r="AR45" s="1" t="s">
        <v>95</v>
      </c>
    </row>
    <row r="46" spans="1:55" ht="32.1" customHeight="1">
      <c r="A46" s="98"/>
      <c r="B46" s="79" t="str">
        <f>VLOOKUP(878,Sprachindex!$A:$Z,Info!$O$7,FALSE)</f>
        <v>Stk.</v>
      </c>
      <c r="C46" s="78"/>
      <c r="D46" s="78">
        <f>IF(H46=Formeln!A18,IF($P$21=1,AH46,IF($P$21=4,AI46,IF($P$21=5,AJ46,IF($P$21=11,AK46,IF($P$21=7,AL46,IF($P$21=3,AM46,IF($P$21=6,AN46,IF($P$21=9,AO46,IF($P$21=2,AP46,IF($P$21=8,AQ46,0)))))))))),IF(H46=Formeln!A19,AR46,0))</f>
        <v>0</v>
      </c>
      <c r="E46" s="561" t="str">
        <f>VLOOKUP(2188,Sprachindex!$A:$Z,Info!$O$7,FALSE)</f>
        <v>Dichtschraube NIRO 4,5 x 45 mm, für Grat- und Firstreiter</v>
      </c>
      <c r="F46" s="562"/>
      <c r="G46" s="562"/>
      <c r="H46" s="572"/>
      <c r="I46" s="573"/>
      <c r="J46" s="573"/>
      <c r="K46" s="574"/>
      <c r="L46" s="79" t="str">
        <f>IF(A46=0,"",IF(H46=Formeln!$A$17," ",IF($P$11=1,AD46,AE46)))</f>
        <v/>
      </c>
      <c r="M46" s="433" t="str">
        <f t="shared" si="0"/>
        <v>Stk.</v>
      </c>
      <c r="N46" s="80"/>
      <c r="O46" s="202" t="str">
        <f>IF(ISNUMBER(A46),IF(H46=Formeln!A19,S46*L46,R46*L46),"")</f>
        <v/>
      </c>
      <c r="R46" s="205">
        <v>0.68</v>
      </c>
      <c r="S46" s="206">
        <v>0.6</v>
      </c>
      <c r="AD46" s="149">
        <f>ROUNDUP($A46/250,0)*250</f>
        <v>0</v>
      </c>
      <c r="AE46" s="149">
        <f>ROUNDUP($A46,0)</f>
        <v>0</v>
      </c>
      <c r="AH46" s="44">
        <v>340001</v>
      </c>
      <c r="AI46" s="44">
        <v>340004</v>
      </c>
      <c r="AJ46" s="44">
        <v>340003</v>
      </c>
      <c r="AK46" s="44">
        <v>340104</v>
      </c>
      <c r="AM46" s="44">
        <v>340002</v>
      </c>
      <c r="AN46" s="44">
        <v>340016</v>
      </c>
      <c r="AO46" s="44">
        <v>340011</v>
      </c>
      <c r="AP46" s="44">
        <v>340014</v>
      </c>
      <c r="AQ46" s="44">
        <v>340013</v>
      </c>
      <c r="AR46" s="1">
        <v>340103</v>
      </c>
    </row>
    <row r="47" spans="1:55" ht="32.1" customHeight="1">
      <c r="A47" s="98"/>
      <c r="B47" s="79" t="str">
        <f>VLOOKUP(878,Sprachindex!$A:$Z,Info!$O$7,FALSE)</f>
        <v>Stk.</v>
      </c>
      <c r="C47" s="78"/>
      <c r="D47" s="78">
        <f>IF(H47=Formeln!A21,IF($P$21=1,AH47,IF($P$21=4,AI47,IF($P$21=5,AJ47,IF($P$21=11,AK47,IF($P$21=7,AL47,IF($P$21=3,AM47,IF($P$21=6,AN47,IF($P$21=9,AO47,IF($P$21=2,AP47,IF($P$21=8,AQ47,0)))))))))),IF(H47=Formeln!A22,AR47,0))</f>
        <v>0</v>
      </c>
      <c r="E47" s="561" t="str">
        <f>VLOOKUP(2189,Sprachindex!$A:$Z,Info!$O$7,FALSE)</f>
        <v>Dichtschraube NIRO 4,5 x 60 mm, für Jet-Lüfter</v>
      </c>
      <c r="F47" s="562"/>
      <c r="G47" s="562"/>
      <c r="H47" s="572"/>
      <c r="I47" s="573"/>
      <c r="J47" s="573"/>
      <c r="K47" s="574"/>
      <c r="L47" s="79" t="str">
        <f>IF(A47=0,"",IF(H47=Formeln!$A$17," ",IF($P$11=1,AD47,AE47)))</f>
        <v/>
      </c>
      <c r="M47" s="433" t="str">
        <f t="shared" si="0"/>
        <v>Stk.</v>
      </c>
      <c r="N47" s="80"/>
      <c r="O47" s="202" t="str">
        <f>IF(ISNUMBER(A47),IF(H47=Formeln!A22,S47*L47,R47*L47),"")</f>
        <v/>
      </c>
      <c r="R47" s="205">
        <v>0.86</v>
      </c>
      <c r="S47" s="206">
        <v>0.68</v>
      </c>
      <c r="AD47" s="149">
        <f>ROUNDUP($A47/100,0)*100</f>
        <v>0</v>
      </c>
      <c r="AE47" s="149">
        <f>ROUNDUP($A47,0)</f>
        <v>0</v>
      </c>
      <c r="AH47" s="44">
        <v>340020</v>
      </c>
      <c r="AI47" s="44">
        <v>340024</v>
      </c>
      <c r="AJ47" s="44">
        <v>340022</v>
      </c>
      <c r="AK47" s="44">
        <v>340021</v>
      </c>
      <c r="AM47" s="44">
        <v>340025</v>
      </c>
      <c r="AN47" s="44">
        <v>340032</v>
      </c>
      <c r="AO47" s="44">
        <v>340027</v>
      </c>
      <c r="AP47" s="44">
        <v>340030</v>
      </c>
      <c r="AQ47" s="44">
        <v>340036</v>
      </c>
      <c r="AR47" s="1">
        <v>340106</v>
      </c>
    </row>
    <row r="48" spans="1:55" ht="32.1" customHeight="1">
      <c r="A48" s="98"/>
      <c r="B48" s="79" t="str">
        <f>VLOOKUP(878,Sprachindex!$A:$Z,Info!$O$7,FALSE)</f>
        <v>Stk.</v>
      </c>
      <c r="C48" s="78"/>
      <c r="D48" s="78">
        <f>IF($P$21=1,AH48,IF($P$21=4,AI48,IF($P$21=5,AJ48,IF($P$21=11,AK48,IF($P$21=7,AL48,IF($P$21=3,AM48,IF($P$21=6,AN48,IF($P$21=9,AO48,IF($P$21=2,AP48,IF($P$21=8,AQ48,0))))))))))</f>
        <v>0</v>
      </c>
      <c r="E48" s="561" t="str">
        <f>VLOOKUP(409,Sprachindex!$A:$Z,Info!$O$7,FALSE)</f>
        <v>Froschmaullukenhaube</v>
      </c>
      <c r="F48" s="562"/>
      <c r="G48" s="562"/>
      <c r="H48" s="562"/>
      <c r="I48" s="562"/>
      <c r="J48" s="562"/>
      <c r="K48" s="563"/>
      <c r="L48" s="79" t="str">
        <f>IF(A48=0,"",IF($P$11=1,AD48,AE48))</f>
        <v/>
      </c>
      <c r="M48" s="433" t="str">
        <f t="shared" si="0"/>
        <v>Stk.</v>
      </c>
      <c r="N48" s="80"/>
      <c r="O48" s="202" t="str">
        <f>IF(ISNUMBER(A48),$L48*R48, "")</f>
        <v/>
      </c>
      <c r="R48" s="200">
        <v>24.65</v>
      </c>
      <c r="S48" s="195"/>
      <c r="AD48" s="149">
        <f>ROUNDUP($A48/20,0)*20</f>
        <v>0</v>
      </c>
      <c r="AE48" s="149">
        <f>ROUNDUP($A48,0)</f>
        <v>0</v>
      </c>
      <c r="AH48" s="44">
        <v>110100</v>
      </c>
      <c r="AI48" s="44">
        <v>110101</v>
      </c>
      <c r="AJ48" s="44">
        <v>110102</v>
      </c>
      <c r="AK48" s="44">
        <v>110103</v>
      </c>
      <c r="AL48" s="44">
        <v>110104</v>
      </c>
      <c r="AM48" s="44">
        <v>110105</v>
      </c>
      <c r="AN48" s="44">
        <v>110106</v>
      </c>
      <c r="AO48" s="44">
        <v>110107</v>
      </c>
      <c r="AP48" s="44">
        <v>110108</v>
      </c>
      <c r="AQ48" s="44">
        <v>121005</v>
      </c>
    </row>
    <row r="49" spans="1:474" ht="32.1" customHeight="1">
      <c r="A49" s="98"/>
      <c r="B49" s="79" t="str">
        <f>VLOOKUP(878,Sprachindex!$A:$Z,Info!$O$7,FALSE)</f>
        <v>Stk.</v>
      </c>
      <c r="C49" s="78"/>
      <c r="D49" s="78">
        <f>IF(AND($P$9=2,$P$21=1),AH49,IF(AND($P$9=2,$P$21=4),AI49,IF(AND($P$9=2,$P$21=5),AJ49,IF(AND($P$9=2,$P$21=11),AK49,IF(AND($P$9=2,$P$21=7),AL49,IF(AND($P$9=2,$P$21=3),AM49,IF(AND($P$9=2,$P$21=6),AN49,IF(AND($P$9=2,$P$21=9),AO49,IF(AND($P$9=2,$P$21=2),AP49,IF(AND($P$9=2,$P$21=8),AQ49,IF(AND($P$9=1,$P$21=1),AR49,IF(AND($P$9=1,$P$21=1),AR49,IF(AND($P$9=1,$P$21=4),AS49,IF(AND($P$9=1,$P$21=5),AT49,IF(AND($P$9=1,$P$21=11),AU49,IF(AND($P$9=1,$P$21=7),AV49,IF(AND($P$9=1,$P$21=3),AW49,IF(AND($P$9=1,$P$21=6),AX49,IF(AND($P$9=1,$P$21=9),AY49,IF(AND($P$9=1,$P$21=2),AZ49,IF(AND($P$9=1,$P$21=8),BA49,0)))))))))))))))))))))</f>
        <v>0</v>
      </c>
      <c r="E49" s="561" t="str">
        <f>VLOOKUP(2219,Sprachindex!$A:$Z,Info!$O$7,FALSE)</f>
        <v>Froschmaulluke stucco für R.16</v>
      </c>
      <c r="F49" s="562"/>
      <c r="G49" s="562"/>
      <c r="H49" s="562"/>
      <c r="I49" s="562"/>
      <c r="J49" s="562"/>
      <c r="K49" s="563"/>
      <c r="L49" s="79" t="str">
        <f>IF(A49=0,"",IF($P$11=1,AD49,AE49))</f>
        <v/>
      </c>
      <c r="M49" s="433" t="str">
        <f t="shared" si="0"/>
        <v>Stk.</v>
      </c>
      <c r="N49" s="80"/>
      <c r="O49" s="202" t="str">
        <f>IF(ISNUMBER(A49),$L49*R49, "")</f>
        <v/>
      </c>
      <c r="R49" s="200">
        <v>43.71</v>
      </c>
      <c r="S49" s="195"/>
      <c r="AD49" s="149">
        <f>ROUNDUP($A49/5,0)*5</f>
        <v>0</v>
      </c>
      <c r="AE49" s="149">
        <f>ROUNDUP($A49,0)</f>
        <v>0</v>
      </c>
      <c r="AH49" s="44"/>
      <c r="AI49" s="44"/>
      <c r="AJ49" s="44"/>
      <c r="AK49" s="44"/>
      <c r="AL49" s="44"/>
      <c r="AM49" s="44"/>
      <c r="AN49" s="44"/>
      <c r="AO49" s="44"/>
      <c r="AP49" s="44"/>
      <c r="AR49" s="44">
        <v>112081</v>
      </c>
      <c r="AS49" s="44">
        <v>112082</v>
      </c>
      <c r="AT49" s="44">
        <v>112083</v>
      </c>
      <c r="AU49" s="44">
        <v>112084</v>
      </c>
      <c r="AV49" s="44">
        <v>112085</v>
      </c>
      <c r="AW49" s="44">
        <v>112086</v>
      </c>
      <c r="AX49" s="44">
        <v>112087</v>
      </c>
      <c r="AY49" s="44">
        <v>112088</v>
      </c>
      <c r="AZ49" s="44">
        <v>112089</v>
      </c>
      <c r="BA49" s="44">
        <v>112090</v>
      </c>
    </row>
    <row r="50" spans="1:474" ht="32.1" customHeight="1">
      <c r="A50" s="98"/>
      <c r="B50" s="79" t="str">
        <f>VLOOKUP(878,Sprachindex!$A:$Z,Info!$O$7,FALSE)</f>
        <v>Stk.</v>
      </c>
      <c r="C50" s="78"/>
      <c r="D50" s="78">
        <v>545106</v>
      </c>
      <c r="E50" s="588" t="str">
        <f>VLOOKUP(1874,Sprachindex!$A:$Z,Info!$O$7,FALSE)</f>
        <v>Einfassung Vario, 120-600 mm, stucco</v>
      </c>
      <c r="F50" s="589"/>
      <c r="G50" s="589"/>
      <c r="H50" s="589"/>
      <c r="I50" s="589"/>
      <c r="J50" s="589"/>
      <c r="K50" s="590"/>
      <c r="L50" s="79" t="str">
        <f>IF(A50=0,"",IF($P$11=1,AD50,AE50))</f>
        <v/>
      </c>
      <c r="M50" s="433" t="str">
        <f t="shared" si="0"/>
        <v>Stk.</v>
      </c>
      <c r="N50" s="80"/>
      <c r="O50" s="202" t="str">
        <f>IF(ISNUMBER(A50),$L50*R50, "")</f>
        <v/>
      </c>
      <c r="R50" s="200"/>
      <c r="S50" s="195"/>
      <c r="AD50" s="149">
        <f t="shared" ref="AD50:AE51" si="6">ROUNDUP($A50,0)</f>
        <v>0</v>
      </c>
      <c r="AE50" s="149">
        <f t="shared" si="6"/>
        <v>0</v>
      </c>
      <c r="AH50" s="44"/>
      <c r="AI50" s="44"/>
      <c r="AJ50" s="44"/>
      <c r="AK50" s="44"/>
      <c r="AL50" s="44"/>
      <c r="AM50" s="44"/>
      <c r="AN50" s="44"/>
      <c r="AO50" s="44"/>
      <c r="AP50" s="44"/>
      <c r="AQ50" s="44"/>
    </row>
    <row r="51" spans="1:474" ht="32.1" customHeight="1">
      <c r="A51" s="98"/>
      <c r="B51" s="79" t="str">
        <f>VLOOKUP(878,Sprachindex!$A:$Z,Info!$O$7,FALSE)</f>
        <v>Stk.</v>
      </c>
      <c r="C51" s="78"/>
      <c r="D51" s="78">
        <v>545106</v>
      </c>
      <c r="E51" s="588" t="str">
        <f>VLOOKUP(1875,Sprachindex!$A:$Z,Info!$O$7,FALSE)</f>
        <v>Einfassung Vario, 600-1.020 mm, stucco</v>
      </c>
      <c r="F51" s="589"/>
      <c r="G51" s="589"/>
      <c r="H51" s="589"/>
      <c r="I51" s="589"/>
      <c r="J51" s="589"/>
      <c r="K51" s="590"/>
      <c r="L51" s="79" t="str">
        <f>IF(A51=0,"",IF($P$11=1,AD51,AE51))</f>
        <v/>
      </c>
      <c r="M51" s="433" t="str">
        <f t="shared" si="0"/>
        <v>Stk.</v>
      </c>
      <c r="N51" s="80"/>
      <c r="O51" s="202" t="str">
        <f>IF(ISNUMBER(A51),$L51*R51, "")</f>
        <v/>
      </c>
      <c r="R51" s="200"/>
      <c r="S51" s="195"/>
      <c r="AD51" s="149">
        <f t="shared" si="6"/>
        <v>0</v>
      </c>
      <c r="AE51" s="149">
        <f t="shared" si="6"/>
        <v>0</v>
      </c>
      <c r="AH51" s="44"/>
      <c r="AI51" s="44"/>
      <c r="AJ51" s="44"/>
      <c r="AK51" s="44"/>
      <c r="AL51" s="44"/>
      <c r="AM51" s="44"/>
      <c r="AN51" s="44"/>
      <c r="AO51" s="44"/>
      <c r="AP51" s="44"/>
      <c r="AQ51" s="44"/>
    </row>
    <row r="52" spans="1:474" ht="32.1" customHeight="1">
      <c r="A52" s="98"/>
      <c r="B52" s="79" t="str">
        <f>VLOOKUP(878,Sprachindex!$A:$Z,Info!$O$7,FALSE)</f>
        <v>Stk.</v>
      </c>
      <c r="C52" s="78"/>
      <c r="D52" s="78">
        <f>IF($P$9=1,BC52,BB52)</f>
        <v>0</v>
      </c>
      <c r="E52" s="588" t="str">
        <f>VLOOKUP(254,Sprachindex!$A:$Z,Info!$O$7,FALSE)</f>
        <v>Dachluke (600 × 600 mm); komplett mit Holzrahmen</v>
      </c>
      <c r="F52" s="589"/>
      <c r="G52" s="589"/>
      <c r="H52" s="589"/>
      <c r="I52" s="589"/>
      <c r="J52" s="589"/>
      <c r="K52" s="590"/>
      <c r="L52" s="79" t="str">
        <f>IF(A52=0,"",IF($P$11=1,AD52,AE52))</f>
        <v/>
      </c>
      <c r="M52" s="433" t="str">
        <f t="shared" si="0"/>
        <v>Stk.</v>
      </c>
      <c r="N52" s="80"/>
      <c r="O52" s="202" t="str">
        <f>IF(ISNUMBER(A52),$L52*R52, "")</f>
        <v/>
      </c>
      <c r="R52" s="200">
        <v>247.5</v>
      </c>
      <c r="S52" s="195"/>
      <c r="AD52" s="149">
        <f t="shared" ref="AD52:AE61" si="7">ROUNDUP($A52,0)</f>
        <v>0</v>
      </c>
      <c r="AE52" s="149">
        <f t="shared" si="7"/>
        <v>0</v>
      </c>
      <c r="AH52" s="470">
        <v>110020</v>
      </c>
      <c r="AI52" s="470">
        <v>110021</v>
      </c>
      <c r="AJ52" s="470">
        <v>110022</v>
      </c>
      <c r="AK52" s="470">
        <v>110023</v>
      </c>
      <c r="AL52" s="470">
        <v>110024</v>
      </c>
      <c r="AM52" s="470">
        <v>110025</v>
      </c>
      <c r="AN52" s="470">
        <v>110026</v>
      </c>
      <c r="AO52" s="470">
        <v>110027</v>
      </c>
      <c r="AP52" s="470">
        <v>110028</v>
      </c>
      <c r="AQ52" s="470"/>
      <c r="AR52" s="469">
        <v>110030</v>
      </c>
      <c r="AS52" s="469">
        <v>110031</v>
      </c>
      <c r="AT52" s="469">
        <v>110032</v>
      </c>
      <c r="AU52" s="469">
        <v>110033</v>
      </c>
      <c r="AV52" s="469">
        <v>110034</v>
      </c>
      <c r="AW52" s="469">
        <v>110035</v>
      </c>
      <c r="AX52" s="469">
        <v>110036</v>
      </c>
      <c r="AY52" s="469">
        <v>110037</v>
      </c>
      <c r="AZ52" s="469">
        <v>110038</v>
      </c>
      <c r="BA52" s="469">
        <v>110039</v>
      </c>
      <c r="BB52" s="468">
        <f>IF($P$21=1,AH52,IF($P$21=4,AI52,IF($P$21=5,AJ52,IF($P$21=11,AK52,IF($P$21=7,AL52,IF($P$21=3,AM52,IF($P$21=6,AN52,IF($P$21=9,AO52,IF($P$21=2,AP52,IF($P$21=8,AQ52,0))))))))))</f>
        <v>0</v>
      </c>
      <c r="BC52" s="468">
        <f>IF($P$21=1,AR52,IF($P$21=4,AS52,IF($P$21=5,AT52,IF($P$21=11,AU52,IF($P$21=7,AV52,IF($P$21=3,AW52,IF($P$21=6,AX52,IF($P$21=9,AY52,IF($P$21=2,AZ52,IF($P$21=8,BA52,0))))))))))</f>
        <v>0</v>
      </c>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row>
    <row r="53" spans="1:474" ht="32.1" customHeight="1">
      <c r="A53" s="98"/>
      <c r="B53" s="79" t="str">
        <f>VLOOKUP(878,Sprachindex!$A:$Z,Info!$O$7,FALSE)</f>
        <v>Stk.</v>
      </c>
      <c r="C53" s="78"/>
      <c r="D53" s="78">
        <f>IF(Info!V7=2,'Velux DE Artikelnummern'!C31,Q53)</f>
        <v>0</v>
      </c>
      <c r="E53" s="561" t="str">
        <f>VLOOKUP(324,Sprachindex!$A:$Z,Info!$O$7,FALSE)</f>
        <v>Einfassung für Velux-Dachflächenfenster (stucco)</v>
      </c>
      <c r="F53" s="562"/>
      <c r="G53" s="562"/>
      <c r="H53" s="562"/>
      <c r="I53" s="84" t="str">
        <f>VLOOKUP(591,Sprachindex!$A:$Z,Info!$O$7,FALSE)</f>
        <v>Maße:</v>
      </c>
      <c r="J53" s="572"/>
      <c r="K53" s="574"/>
      <c r="L53" s="79" t="str">
        <f>IF($A53=0,"",IF($J53=Formeln!$A$30," ",IF($P$11=1,AD53,AE53)))</f>
        <v/>
      </c>
      <c r="M53" s="433" t="str">
        <f t="shared" si="0"/>
        <v>Stk.</v>
      </c>
      <c r="N53" s="80"/>
      <c r="O53" s="202" t="str">
        <f>IF(ISNUMBER(L53),IF(OR(J53=Formeln!A28,J53=Formeln!A29,J53=Formeln!A30),R53,IF(OR(J53=Formeln!A31,J53=Formeln!A32,J53=Formeln!A33),S53,IF(OR(J53=Formeln!A34,J53=Formeln!A35,J53=Formeln!A36),T53,IF(OR(J53=Formeln!A37,J53=Formeln!A38),U53,IF(OR(J53=Formeln!A39,J53=Formeln!A40,J53=Formeln!A41),V53,IF(OR(J53=Formeln!A42),W53,IF(OR(J53=Formeln!A43,J53=Formeln!A44),X53,IF(OR(J53=Formeln!A45),Y53,IF(OR(J53=Formeln!A46,J53=Formeln!A47),Z53,IF(OR(J53=Formeln!A48),AA53,0)))))))))), "")</f>
        <v/>
      </c>
      <c r="Q53" s="1">
        <f>IF(J53=Formeln!$A$31,BB53,IF(J53=Formeln!$A$32,BW53,IF(J53=Formeln!$A$33,CR53,IF(J53=Formeln!$A$34,DM53,IF(J53=Formeln!$A$35,EH53,IF(J53=Formeln!$A$36,FC53,IF(J53=Formeln!$A$37,FX53,IF(J53=Formeln!$A$38,GS53,IF(J53=Formeln!$A$39,HN53,IF(J53=Formeln!$A$40,II53,IF(J53=Formeln!$A$41,JD53,IF(J53=Formeln!$A$42,JY53,IF(J53=Formeln!$A$43,KT53,IF(J53=Formeln!$A$44,LO53,IF(J53=Formeln!$A$45,MJ53,IF(J53=Formeln!$A$46,NE53,IF(J53=Formeln!$A$47,NZ53,IF(J53=Formeln!$A$48,OU53,IF(J53=Formeln!$A$49,PP53,IF(J53=Formeln!$A$50,QK53,IF(J53=Formeln!$A$51,RF53,0)))))))))))))))))))))</f>
        <v>0</v>
      </c>
      <c r="R53" s="200">
        <v>264.7</v>
      </c>
      <c r="S53" s="200">
        <v>271.8</v>
      </c>
      <c r="T53" s="200">
        <v>272.3</v>
      </c>
      <c r="U53" s="200">
        <v>285.8</v>
      </c>
      <c r="V53" s="200">
        <v>328.1</v>
      </c>
      <c r="W53" s="200">
        <v>335.1</v>
      </c>
      <c r="X53" s="200">
        <v>335.1</v>
      </c>
      <c r="Y53" s="200">
        <v>335.1</v>
      </c>
      <c r="Z53" s="200">
        <v>337.4</v>
      </c>
      <c r="AA53" s="200">
        <v>337.4</v>
      </c>
      <c r="AD53" s="149">
        <f t="shared" si="7"/>
        <v>0</v>
      </c>
      <c r="AE53" s="149">
        <f t="shared" si="7"/>
        <v>0</v>
      </c>
      <c r="AH53" s="44"/>
      <c r="AI53" s="48"/>
      <c r="AJ53" s="48"/>
      <c r="AK53" s="48"/>
      <c r="AL53" s="48"/>
      <c r="AM53" s="48"/>
      <c r="AN53" s="48"/>
      <c r="AO53" s="48"/>
      <c r="AP53" s="48"/>
      <c r="AR53" s="48">
        <v>111100</v>
      </c>
      <c r="AS53" s="48">
        <v>111101</v>
      </c>
      <c r="AT53" s="48">
        <v>111102</v>
      </c>
      <c r="AU53" s="48">
        <v>111103</v>
      </c>
      <c r="AV53" s="48">
        <v>111104</v>
      </c>
      <c r="AW53" s="48">
        <v>111105</v>
      </c>
      <c r="AX53" s="48">
        <v>111106</v>
      </c>
      <c r="AY53" s="48">
        <v>111107</v>
      </c>
      <c r="AZ53" s="48">
        <v>111108</v>
      </c>
      <c r="BA53" s="174">
        <v>111109</v>
      </c>
      <c r="BB53" s="50">
        <f>IF(AND($P$9=2,$P$21=1),AH53,IF(AND($P$9=2,$P$21=4),AI53,IF(AND($P$9=2,$P$21=5),AJ53,IF(AND($P$9=2,$P$21=11),AK53,IF(AND($P$9=2,$P$21=7),AL53,IF(AND($P$9=2,$P$21=3),AM53,IF(AND($P$9=2,$P$21=6),AN53,IF(AND($P$9=2,$P$21=9),AO53,IF(AND($P$9=2,$P$21=2),AP53,IF(AND($P$9=2,$P$21=8),AQ53,IF(AND($P$9=1,$P$21=1),AR53,IF(AND($P$9=1,$P$21=1),AR53,IF(AND($P$9=1,$P$21=4),AS53,IF(AND($P$9=1,$P$21=5),AT53,IF(AND($P$9=1,$P$21=11),AU53,IF(AND($P$9=1,$P$21=7),AV53,IF(AND($P$9=1,$P$21=3),AW53,IF(AND($P$9=1,$P$21=6),AX53,IF(AND($P$9=1,$P$21=9),AY53,IF(AND($P$9=1,$P$21=2),AZ53,IF(AND($P$9=1,$P$21=8),BA53,0)))))))))))))))))))))</f>
        <v>0</v>
      </c>
      <c r="BC53" s="49"/>
      <c r="BD53" s="48"/>
      <c r="BE53" s="48"/>
      <c r="BF53" s="48"/>
      <c r="BG53" s="48"/>
      <c r="BH53" s="48"/>
      <c r="BI53" s="48"/>
      <c r="BJ53" s="48"/>
      <c r="BK53" s="48"/>
      <c r="BM53" s="48">
        <v>111100</v>
      </c>
      <c r="BN53" s="48">
        <v>111101</v>
      </c>
      <c r="BO53" s="48">
        <v>111102</v>
      </c>
      <c r="BP53" s="48">
        <v>111103</v>
      </c>
      <c r="BQ53" s="48">
        <v>111104</v>
      </c>
      <c r="BR53" s="48">
        <v>111105</v>
      </c>
      <c r="BS53" s="48">
        <v>111106</v>
      </c>
      <c r="BT53" s="48">
        <v>111107</v>
      </c>
      <c r="BU53" s="48">
        <v>111108</v>
      </c>
      <c r="BV53" s="174">
        <v>111109</v>
      </c>
      <c r="BW53" s="50">
        <f>IF(AND($P$9=2,$P$21=1),BC53,IF(AND($P$9=2,$P$21=4),BD53,IF(AND($P$9=2,$P$21=5),BE53,IF(AND($P$9=2,$P$21=11),BF53,IF(AND($P$9=2,$P$21=7),BG53,IF(AND($P$9=2,$P$21=3),BH53,IF(AND($P$9=2,$P$21=6),BI53,IF(AND($P$9=2,$P$21=9),BJ53,IF(AND($P$9=2,$P$21=2),BK53,IF(AND($P$9=2,$P$21=8),BL53,IF(AND($P$9=1,$P$21=1),BM53,IF(AND($P$9=1,$P$21=1),BM53,IF(AND($P$9=1,$P$21=4),BN53,IF(AND($P$9=1,$P$21=5),BO53,IF(AND($P$9=1,$P$21=11),BP53,IF(AND($P$9=1,$P$21=7),BQ53,IF(AND($P$9=1,$P$21=3),BR53,IF(AND($P$9=1,$P$21=6),BS53,IF(AND($P$9=1,$P$21=9),BT53,IF(AND($P$9=1,$P$21=2),BU53,IF(AND($P$9=1,$P$21=8),BV53,0)))))))))))))))))))))</f>
        <v>0</v>
      </c>
      <c r="BX53" s="49"/>
      <c r="BY53" s="48"/>
      <c r="BZ53" s="48"/>
      <c r="CA53" s="48"/>
      <c r="CB53" s="48"/>
      <c r="CC53" s="48"/>
      <c r="CD53" s="48"/>
      <c r="CE53" s="48"/>
      <c r="CF53" s="48"/>
      <c r="CH53" s="48">
        <v>111100</v>
      </c>
      <c r="CI53" s="48">
        <v>111101</v>
      </c>
      <c r="CJ53" s="48">
        <v>111102</v>
      </c>
      <c r="CK53" s="48">
        <v>111103</v>
      </c>
      <c r="CL53" s="48">
        <v>111104</v>
      </c>
      <c r="CM53" s="48">
        <v>111105</v>
      </c>
      <c r="CN53" s="48">
        <v>111106</v>
      </c>
      <c r="CO53" s="48">
        <v>111107</v>
      </c>
      <c r="CP53" s="48">
        <v>111108</v>
      </c>
      <c r="CQ53" s="174">
        <v>111109</v>
      </c>
      <c r="CR53" s="50">
        <f>IF(AND($P$9=2,$P$21=1),BX53,IF(AND($P$9=2,$P$21=4),BY53,IF(AND($P$9=2,$P$21=5),BZ53,IF(AND($P$9=2,$P$21=11),CA53,IF(AND($P$9=2,$P$21=7),CB53,IF(AND($P$9=2,$P$21=3),CC53,IF(AND($P$9=2,$P$21=6),CD53,IF(AND($P$9=2,$P$21=9),CE53,IF(AND($P$9=2,$P$21=2),CF53,IF(AND($P$9=2,$P$21=8),CG53,IF(AND($P$9=1,$P$21=1),CH53,IF(AND($P$9=1,$P$21=1),CH53,IF(AND($P$9=1,$P$21=4),CI53,IF(AND($P$9=1,$P$21=5),CJ53,IF(AND($P$9=1,$P$21=11),CK53,IF(AND($P$9=1,$P$21=7),CL53,IF(AND($P$9=1,$P$21=3),CM53,IF(AND($P$9=1,$P$21=6),CN53,IF(AND($P$9=1,$P$21=9),CO53,IF(AND($P$9=1,$P$21=2),CP53,IF(AND($P$9=1,$P$21=8),CQ53,0)))))))))))))))))))))</f>
        <v>0</v>
      </c>
      <c r="CS53" s="49"/>
      <c r="CT53" s="44"/>
      <c r="CU53" s="44"/>
      <c r="CV53" s="44"/>
      <c r="CW53" s="44"/>
      <c r="CX53" s="44"/>
      <c r="CY53" s="44"/>
      <c r="CZ53" s="44"/>
      <c r="DA53" s="44"/>
      <c r="DC53" s="44">
        <v>111120</v>
      </c>
      <c r="DD53" s="44">
        <v>111121</v>
      </c>
      <c r="DE53" s="44">
        <v>111122</v>
      </c>
      <c r="DF53" s="44">
        <v>111123</v>
      </c>
      <c r="DG53" s="44">
        <v>111124</v>
      </c>
      <c r="DH53" s="44">
        <v>111125</v>
      </c>
      <c r="DI53" s="44">
        <v>111126</v>
      </c>
      <c r="DJ53" s="44">
        <v>111127</v>
      </c>
      <c r="DK53" s="44">
        <v>111128</v>
      </c>
      <c r="DL53" s="174">
        <v>111129</v>
      </c>
      <c r="DM53" s="50">
        <f>IF(AND($P$9=2,$P$21=1),CS53,IF(AND($P$9=2,$P$21=4),CT53,IF(AND($P$9=2,$P$21=5),CU53,IF(AND($P$9=2,$P$21=11),CV53,IF(AND($P$9=2,$P$21=7),CW53,IF(AND($P$9=2,$P$21=3),CX53,IF(AND($P$9=2,$P$21=6),CY53,IF(AND($P$9=2,$P$21=9),CZ53,IF(AND($P$9=2,$P$21=2),DA53,IF(AND($P$9=2,$P$21=8),DB53,IF(AND($P$9=1,$P$21=1),DC53,IF(AND($P$9=1,$P$21=1),DC53,IF(AND($P$9=1,$P$21=4),DD53,IF(AND($P$9=1,$P$21=5),DE53,IF(AND($P$9=1,$P$21=11),DF53,IF(AND($P$9=1,$P$21=7),DG53,IF(AND($P$9=1,$P$21=3),DH53,IF(AND($P$9=1,$P$21=6),DI53,IF(AND($P$9=1,$P$21=9),DJ53,IF(AND($P$9=1,$P$21=2),DK53,IF(AND($P$9=1,$P$21=8),DL53,0)))))))))))))))))))))</f>
        <v>0</v>
      </c>
      <c r="DN53" s="49"/>
      <c r="DO53" s="44"/>
      <c r="DP53" s="44"/>
      <c r="DQ53" s="44"/>
      <c r="DR53" s="44"/>
      <c r="DS53" s="44"/>
      <c r="DT53" s="44"/>
      <c r="DU53" s="44"/>
      <c r="DV53" s="44"/>
      <c r="DX53" s="44">
        <v>111120</v>
      </c>
      <c r="DY53" s="44">
        <v>111121</v>
      </c>
      <c r="DZ53" s="44">
        <v>111122</v>
      </c>
      <c r="EA53" s="44">
        <v>111123</v>
      </c>
      <c r="EB53" s="44">
        <v>111124</v>
      </c>
      <c r="EC53" s="44">
        <v>111125</v>
      </c>
      <c r="ED53" s="44">
        <v>111126</v>
      </c>
      <c r="EE53" s="44">
        <v>111127</v>
      </c>
      <c r="EF53" s="44">
        <v>111128</v>
      </c>
      <c r="EG53" s="174">
        <v>111129</v>
      </c>
      <c r="EH53" s="50">
        <f>IF(AND($P$9=2,$P$21=1),DN53,IF(AND($P$9=2,$P$21=4),DO53,IF(AND($P$9=2,$P$21=5),DP53,IF(AND($P$9=2,$P$21=11),DQ53,IF(AND($P$9=2,$P$21=7),DR53,IF(AND($P$9=2,$P$21=3),DS53,IF(AND($P$9=2,$P$21=6),DT53,IF(AND($P$9=2,$P$21=9),DU53,IF(AND($P$9=2,$P$21=2),DV53,IF(AND($P$9=2,$P$21=8),DW53,IF(AND($P$9=1,$P$21=1),DX53,IF(AND($P$9=1,$P$21=1),DX53,IF(AND($P$9=1,$P$21=4),DY53,IF(AND($P$9=1,$P$21=5),DZ53,IF(AND($P$9=1,$P$21=11),EA53,IF(AND($P$9=1,$P$21=7),EB53,IF(AND($P$9=1,$P$21=3),EC53,IF(AND($P$9=1,$P$21=6),ED53,IF(AND($P$9=1,$P$21=9),EE53,IF(AND($P$9=1,$P$21=2),EF53,IF(AND($P$9=1,$P$21=8),EG53,0)))))))))))))))))))))</f>
        <v>0</v>
      </c>
      <c r="EI53" s="49"/>
      <c r="EJ53" s="44"/>
      <c r="EK53" s="44"/>
      <c r="EL53" s="44"/>
      <c r="EM53" s="44"/>
      <c r="EN53" s="44"/>
      <c r="EO53" s="44"/>
      <c r="EP53" s="44"/>
      <c r="EQ53" s="44"/>
      <c r="ES53" s="44">
        <v>111120</v>
      </c>
      <c r="ET53" s="44">
        <v>111121</v>
      </c>
      <c r="EU53" s="44">
        <v>111122</v>
      </c>
      <c r="EV53" s="44">
        <v>111123</v>
      </c>
      <c r="EW53" s="44">
        <v>111124</v>
      </c>
      <c r="EX53" s="44">
        <v>111125</v>
      </c>
      <c r="EY53" s="44">
        <v>111126</v>
      </c>
      <c r="EZ53" s="44">
        <v>111127</v>
      </c>
      <c r="FA53" s="44">
        <v>111128</v>
      </c>
      <c r="FB53" s="174">
        <v>111129</v>
      </c>
      <c r="FC53" s="50">
        <f>IF(AND($P$9=2,$P$21=1),EI53,IF(AND($P$9=2,$P$21=4),EJ53,IF(AND($P$9=2,$P$21=5),EK53,IF(AND($P$9=2,$P$21=11),EL53,IF(AND($P$9=2,$P$21=7),EM53,IF(AND($P$9=2,$P$21=3),EN53,IF(AND($P$9=2,$P$21=6),EO53,IF(AND($P$9=2,$P$21=9),EP53,IF(AND($P$9=2,$P$21=2),EQ53,IF(AND($P$9=2,$P$21=8),ER53,IF(AND($P$9=1,$P$21=1),ES53,IF(AND($P$9=1,$P$21=1),ES53,IF(AND($P$9=1,$P$21=4),ET53,IF(AND($P$9=1,$P$21=5),EU53,IF(AND($P$9=1,$P$21=11),EV53,IF(AND($P$9=1,$P$21=7),EW53,IF(AND($P$9=1,$P$21=3),EX53,IF(AND($P$9=1,$P$21=6),EY53,IF(AND($P$9=1,$P$21=9),EZ53,IF(AND($P$9=1,$P$21=2),FA53,IF(AND($P$9=1,$P$21=8),FB53,0)))))))))))))))))))))</f>
        <v>0</v>
      </c>
      <c r="FD53" s="49">
        <v>111170</v>
      </c>
      <c r="FE53" s="44"/>
      <c r="FF53" s="44"/>
      <c r="FG53" s="44"/>
      <c r="FH53" s="44"/>
      <c r="FI53" s="44"/>
      <c r="FJ53" s="44"/>
      <c r="FK53" s="44"/>
      <c r="FL53" s="44"/>
      <c r="FN53" s="44">
        <v>111160</v>
      </c>
      <c r="FO53" s="44">
        <v>111161</v>
      </c>
      <c r="FP53" s="44">
        <v>111162</v>
      </c>
      <c r="FQ53" s="44">
        <v>111163</v>
      </c>
      <c r="FR53" s="44">
        <v>111164</v>
      </c>
      <c r="FS53" s="44">
        <v>111165</v>
      </c>
      <c r="FT53" s="44">
        <v>111166</v>
      </c>
      <c r="FU53" s="44">
        <v>111167</v>
      </c>
      <c r="FV53" s="44">
        <v>111168</v>
      </c>
      <c r="FW53" s="174">
        <v>111169</v>
      </c>
      <c r="FX53" s="50">
        <f>IF(AND($P$9=2,$P$21=1),FD53,IF(AND($P$9=2,$P$21=4),FE53,IF(AND($P$9=2,$P$21=5),FF53,IF(AND($P$9=2,$P$21=11),FG53,IF(AND($P$9=2,$P$21=7),FH53,IF(AND($P$9=2,$P$21=3),FI53,IF(AND($P$9=2,$P$21=6),FJ53,IF(AND($P$9=2,$P$21=9),FK53,IF(AND($P$9=2,$P$21=2),FL53,IF(AND($P$9=2,$P$21=8),FM53,IF(AND($P$9=1,$P$21=1),FN53,IF(AND($P$9=1,$P$21=1),FN53,IF(AND($P$9=1,$P$21=4),FO53,IF(AND($P$9=1,$P$21=5),FP53,IF(AND($P$9=1,$P$21=11),FQ53,IF(AND($P$9=1,$P$21=7),FR53,IF(AND($P$9=1,$P$21=3),FS53,IF(AND($P$9=1,$P$21=6),FT53,IF(AND($P$9=1,$P$21=9),FU53,IF(AND($P$9=1,$P$21=2),FV53,IF(AND($P$9=1,$P$21=8),FW53,0)))))))))))))))))))))</f>
        <v>0</v>
      </c>
      <c r="FY53" s="49"/>
      <c r="FZ53" s="44"/>
      <c r="GA53" s="44"/>
      <c r="GB53" s="44"/>
      <c r="GC53" s="44"/>
      <c r="GD53" s="44"/>
      <c r="GE53" s="44"/>
      <c r="GF53" s="44"/>
      <c r="GG53" s="44"/>
      <c r="GI53" s="44">
        <v>111160</v>
      </c>
      <c r="GJ53" s="44">
        <v>111161</v>
      </c>
      <c r="GK53" s="44">
        <v>111162</v>
      </c>
      <c r="GL53" s="44">
        <v>111163</v>
      </c>
      <c r="GM53" s="44">
        <v>111164</v>
      </c>
      <c r="GN53" s="44">
        <v>111165</v>
      </c>
      <c r="GO53" s="44">
        <v>111166</v>
      </c>
      <c r="GP53" s="44">
        <v>111167</v>
      </c>
      <c r="GQ53" s="44">
        <v>111168</v>
      </c>
      <c r="GR53" s="174">
        <v>111169</v>
      </c>
      <c r="GS53" s="50">
        <f>IF(AND($P$9=2,$P$21=1),FY53,IF(AND($P$9=2,$P$21=4),FZ53,IF(AND($P$9=2,$P$21=5),GA53,IF(AND($P$9=2,$P$21=11),GB53,IF(AND($P$9=2,$P$21=7),GC53,IF(AND($P$9=2,$P$21=3),GD53,IF(AND($P$9=2,$P$21=6),GE53,IF(AND($P$9=2,$P$21=9),GF53,IF(AND($P$9=2,$P$21=2),GG53,IF(AND($P$9=2,$P$21=8),GH53,IF(AND($P$9=1,$P$21=1),GI53,IF(AND($P$9=1,$P$21=1),GI53,IF(AND($P$9=1,$P$21=4),GJ53,IF(AND($P$9=1,$P$21=5),GK53,IF(AND($P$9=1,$P$21=11),GL53,IF(AND($P$9=1,$P$21=7),GM53,IF(AND($P$9=1,$P$21=3),GN53,IF(AND($P$9=1,$P$21=6),GO53,IF(AND($P$9=1,$P$21=9),GP53,IF(AND($P$9=1,$P$21=2),GQ53,IF(AND($P$9=1,$P$21=8),GR53,0)))))))))))))))))))))</f>
        <v>0</v>
      </c>
      <c r="GT53" s="49"/>
      <c r="GU53" s="44"/>
      <c r="GV53" s="44"/>
      <c r="GW53" s="44"/>
      <c r="GX53" s="44"/>
      <c r="GY53" s="44"/>
      <c r="GZ53" s="44"/>
      <c r="HA53" s="44"/>
      <c r="HB53" s="44"/>
      <c r="HD53" s="44">
        <v>111160</v>
      </c>
      <c r="HE53" s="44">
        <v>111161</v>
      </c>
      <c r="HF53" s="44">
        <v>111162</v>
      </c>
      <c r="HG53" s="44">
        <v>111163</v>
      </c>
      <c r="HH53" s="44">
        <v>111164</v>
      </c>
      <c r="HI53" s="44">
        <v>111165</v>
      </c>
      <c r="HJ53" s="44">
        <v>111166</v>
      </c>
      <c r="HK53" s="44">
        <v>111167</v>
      </c>
      <c r="HL53" s="44">
        <v>111168</v>
      </c>
      <c r="HM53" s="175">
        <v>111169</v>
      </c>
      <c r="HN53" s="50">
        <f>IF(AND($P$9=2,$P$21=1),GT53,IF(AND($P$9=2,$P$21=4),GU53,IF(AND($P$9=2,$P$21=5),GV53,IF(AND($P$9=2,$P$21=11),GW53,IF(AND($P$9=2,$P$21=7),GX53,IF(AND($P$9=2,$P$21=3),GY53,IF(AND($P$9=2,$P$21=6),GZ53,IF(AND($P$9=2,$P$21=9),HA53,IF(AND($P$9=2,$P$21=2),HB53,IF(AND($P$9=2,$P$21=8),HC53,IF(AND($P$9=1,$P$21=1),HD53,IF(AND($P$9=1,$P$21=1),HD53,IF(AND($P$9=1,$P$21=4),HE53,IF(AND($P$9=1,$P$21=5),HF53,IF(AND($P$9=1,$P$21=11),HG53,IF(AND($P$9=1,$P$21=7),HH53,IF(AND($P$9=1,$P$21=3),HI53,IF(AND($P$9=1,$P$21=6),HJ53,IF(AND($P$9=1,$P$21=9),HK53,IF(AND($P$9=1,$P$21=2),HL53,IF(AND($P$9=1,$P$21=8),HM53,0)))))))))))))))))))))</f>
        <v>0</v>
      </c>
      <c r="HO53" s="49"/>
      <c r="HP53" s="44"/>
      <c r="HQ53" s="44"/>
      <c r="HR53" s="44"/>
      <c r="HS53" s="44"/>
      <c r="HT53" s="44"/>
      <c r="HU53" s="44"/>
      <c r="HV53" s="44"/>
      <c r="HW53" s="44"/>
      <c r="HY53" s="44">
        <v>111280</v>
      </c>
      <c r="HZ53" s="44">
        <v>111281</v>
      </c>
      <c r="IA53" s="44">
        <v>111282</v>
      </c>
      <c r="IB53" s="44">
        <v>111283</v>
      </c>
      <c r="IC53" s="44">
        <v>111284</v>
      </c>
      <c r="ID53" s="44">
        <v>111285</v>
      </c>
      <c r="IE53" s="44">
        <v>111286</v>
      </c>
      <c r="IF53" s="44">
        <v>111287</v>
      </c>
      <c r="IG53" s="44">
        <v>111288</v>
      </c>
      <c r="IH53" s="175">
        <v>111289</v>
      </c>
      <c r="II53" s="50">
        <f>IF(AND($P$9=2,$P$21=1),HO53,IF(AND($P$9=2,$P$21=4),HP53,IF(AND($P$9=2,$P$21=5),HQ53,IF(AND($P$9=2,$P$21=11),HR53,IF(AND($P$9=2,$P$21=7),HS53,IF(AND($P$9=2,$P$21=3),HT53,IF(AND($P$9=2,$P$21=6),HU53,IF(AND($P$9=2,$P$21=9),HV53,IF(AND($P$9=2,$P$21=2),HW53,IF(AND($P$9=2,$P$21=8),HX53,IF(AND($P$9=1,$P$21=1),HY53,IF(AND($P$9=1,$P$21=1),HY53,IF(AND($P$9=1,$P$21=4),HZ53,IF(AND($P$9=1,$P$21=5),IA53,IF(AND($P$9=1,$P$21=11),IB53,IF(AND($P$9=1,$P$21=7),IC53,IF(AND($P$9=1,$P$21=3),ID53,IF(AND($P$9=1,$P$21=6),IE53,IF(AND($P$9=1,$P$21=9),IF53,IF(AND($P$9=1,$P$21=2),IG53,IF(AND($P$9=1,$P$21=8),IH53,0)))))))))))))))))))))</f>
        <v>0</v>
      </c>
      <c r="IJ53" s="49"/>
      <c r="IK53" s="44"/>
      <c r="IL53" s="44"/>
      <c r="IM53" s="44"/>
      <c r="IN53" s="44"/>
      <c r="IO53" s="44"/>
      <c r="IP53" s="44"/>
      <c r="IQ53" s="44"/>
      <c r="IR53" s="44"/>
      <c r="IT53" s="44">
        <v>111280</v>
      </c>
      <c r="IU53" s="44">
        <v>111281</v>
      </c>
      <c r="IV53" s="44">
        <v>111282</v>
      </c>
      <c r="IW53" s="44">
        <v>111283</v>
      </c>
      <c r="IX53" s="44">
        <v>111284</v>
      </c>
      <c r="IY53" s="44">
        <v>111285</v>
      </c>
      <c r="IZ53" s="44">
        <v>111286</v>
      </c>
      <c r="JA53" s="44">
        <v>111287</v>
      </c>
      <c r="JB53" s="44">
        <v>111288</v>
      </c>
      <c r="JC53" s="175">
        <v>111289</v>
      </c>
      <c r="JD53" s="50">
        <f>IF(AND($P$9=2,$P$21=1),IJ53,IF(AND($P$9=2,$P$21=4),IK53,IF(AND($P$9=2,$P$21=5),IL53,IF(AND($P$9=2,$P$21=11),IM53,IF(AND($P$9=2,$P$21=7),IN53,IF(AND($P$9=2,$P$21=3),IO53,IF(AND($P$9=2,$P$21=6),IP53,IF(AND($P$9=2,$P$21=9),IQ53,IF(AND($P$9=2,$P$21=2),IR53,IF(AND($P$9=2,$P$21=8),IS53,IF(AND($P$9=1,$P$21=1),IT53,IF(AND($P$9=1,$P$21=1),IT53,IF(AND($P$9=1,$P$21=4),IU53,IF(AND($P$9=1,$P$21=5),IV53,IF(AND($P$9=1,$P$21=11),IW53,IF(AND($P$9=1,$P$21=7),IX53,IF(AND($P$9=1,$P$21=3),IY53,IF(AND($P$9=1,$P$21=6),IZ53,IF(AND($P$9=1,$P$21=9),JA53,IF(AND($P$9=1,$P$21=2),JB53,IF(AND($P$9=1,$P$21=8),JC53,0)))))))))))))))))))))</f>
        <v>0</v>
      </c>
      <c r="JE53" s="49"/>
      <c r="JF53" s="44"/>
      <c r="JG53" s="44"/>
      <c r="JH53" s="44"/>
      <c r="JI53" s="44"/>
      <c r="JJ53" s="44"/>
      <c r="JK53" s="44"/>
      <c r="JL53" s="44"/>
      <c r="JM53" s="44"/>
      <c r="JO53" s="44">
        <v>111180</v>
      </c>
      <c r="JP53" s="44">
        <v>111181</v>
      </c>
      <c r="JQ53" s="44">
        <v>111182</v>
      </c>
      <c r="JR53" s="44">
        <v>111183</v>
      </c>
      <c r="JS53" s="44">
        <v>111184</v>
      </c>
      <c r="JT53" s="44">
        <v>111185</v>
      </c>
      <c r="JU53" s="44">
        <v>111186</v>
      </c>
      <c r="JV53" s="44">
        <v>111187</v>
      </c>
      <c r="JW53" s="44">
        <v>111188</v>
      </c>
      <c r="JX53" s="175">
        <v>111189</v>
      </c>
      <c r="JY53" s="50">
        <f>IF(AND($P$9=2,$P$21=1),JE53,IF(AND($P$9=2,$P$21=4),JF53,IF(AND($P$9=2,$P$21=5),JG53,IF(AND($P$9=2,$P$21=11),JH53,IF(AND($P$9=2,$P$21=7),JI53,IF(AND($P$9=2,$P$21=3),JJ53,IF(AND($P$9=2,$P$21=6),JK53,IF(AND($P$9=2,$P$21=9),JL53,IF(AND($P$9=2,$P$21=2),JM53,IF(AND($P$9=2,$P$21=8),JN53,IF(AND($P$9=1,$P$21=1),JO53,IF(AND($P$9=1,$P$21=1),JO53,IF(AND($P$9=1,$P$21=4),JP53,IF(AND($P$9=1,$P$21=5),JQ53,IF(AND($P$9=1,$P$21=11),JR53,IF(AND($P$9=1,$P$21=7),JS53,IF(AND($P$9=1,$P$21=3),JT53,IF(AND($P$9=1,$P$21=6),JU53,IF(AND($P$9=1,$P$21=9),JV53,IF(AND($P$9=1,$P$21=2),JW53,IF(AND($P$9=1,$P$21=8),JX53,0)))))))))))))))))))))</f>
        <v>0</v>
      </c>
      <c r="JZ53" s="49"/>
      <c r="KA53" s="44"/>
      <c r="KB53" s="44"/>
      <c r="KC53" s="44"/>
      <c r="KD53" s="44"/>
      <c r="KE53" s="44"/>
      <c r="KF53" s="44"/>
      <c r="KG53" s="44"/>
      <c r="KH53" s="44"/>
      <c r="KJ53" s="44">
        <v>111180</v>
      </c>
      <c r="KK53" s="44">
        <v>111181</v>
      </c>
      <c r="KL53" s="44">
        <v>111182</v>
      </c>
      <c r="KM53" s="44">
        <v>111183</v>
      </c>
      <c r="KN53" s="44">
        <v>111184</v>
      </c>
      <c r="KO53" s="44">
        <v>111185</v>
      </c>
      <c r="KP53" s="44">
        <v>111186</v>
      </c>
      <c r="KQ53" s="44">
        <v>111187</v>
      </c>
      <c r="KR53" s="44">
        <v>111188</v>
      </c>
      <c r="KS53" s="175">
        <v>111189</v>
      </c>
      <c r="KT53" s="50">
        <f>IF(AND($P$9=2,$P$21=1),JZ53,IF(AND($P$9=2,$P$21=4),KA53,IF(AND($P$9=2,$P$21=5),KB53,IF(AND($P$9=2,$P$21=11),KC53,IF(AND($P$9=2,$P$21=7),KD53,IF(AND($P$9=2,$P$21=3),KE53,IF(AND($P$9=2,$P$21=6),KF53,IF(AND($P$9=2,$P$21=9),KG53,IF(AND($P$9=2,$P$21=2),KH53,IF(AND($P$9=2,$P$21=8),KI53,IF(AND($P$9=1,$P$21=1),KJ53,IF(AND($P$9=1,$P$21=1),KJ53,IF(AND($P$9=1,$P$21=4),KK53,IF(AND($P$9=1,$P$21=5),KL53,IF(AND($P$9=1,$P$21=11),KM53,IF(AND($P$9=1,$P$21=7),KN53,IF(AND($P$9=1,$P$21=3),KO53,IF(AND($P$9=1,$P$21=6),KP53,IF(AND($P$9=1,$P$21=9),KQ53,IF(AND($P$9=1,$P$21=2),KR53,IF(AND($P$9=1,$P$21=8),KS53,0)))))))))))))))))))))</f>
        <v>0</v>
      </c>
      <c r="KU53" s="49"/>
      <c r="KV53" s="44"/>
      <c r="KW53" s="44"/>
      <c r="KX53" s="44"/>
      <c r="KY53" s="44"/>
      <c r="KZ53" s="44"/>
      <c r="LA53" s="44"/>
      <c r="LB53" s="44"/>
      <c r="LC53" s="44"/>
      <c r="LE53" s="44">
        <v>111180</v>
      </c>
      <c r="LF53" s="44">
        <v>111181</v>
      </c>
      <c r="LG53" s="44">
        <v>111182</v>
      </c>
      <c r="LH53" s="44">
        <v>111183</v>
      </c>
      <c r="LI53" s="44">
        <v>111184</v>
      </c>
      <c r="LJ53" s="44">
        <v>111185</v>
      </c>
      <c r="LK53" s="44">
        <v>111186</v>
      </c>
      <c r="LL53" s="44">
        <v>111187</v>
      </c>
      <c r="LM53" s="44">
        <v>111188</v>
      </c>
      <c r="LN53" s="175">
        <v>111189</v>
      </c>
      <c r="LO53" s="50">
        <f>IF(AND($P$9=2,$P$21=1),KU53,IF(AND($P$9=2,$P$21=4),KV53,IF(AND($P$9=2,$P$21=5),KW53,IF(AND($P$9=2,$P$21=11),KX53,IF(AND($P$9=2,$P$21=7),KY53,IF(AND($P$9=2,$P$21=3),KZ53,IF(AND($P$9=2,$P$21=6),LA53,IF(AND($P$9=2,$P$21=9),LB53,IF(AND($P$9=2,$P$21=2),LC53,IF(AND($P$9=2,$P$21=8),LD53,IF(AND($P$9=1,$P$21=1),LE53,IF(AND($P$9=1,$P$21=1),LE53,IF(AND($P$9=1,$P$21=4),LF53,IF(AND($P$9=1,$P$21=5),LG53,IF(AND($P$9=1,$P$21=11),LH53,IF(AND($P$9=1,$P$21=7),LI53,IF(AND($P$9=1,$P$21=3),LJ53,IF(AND($P$9=1,$P$21=6),LK53,IF(AND($P$9=1,$P$21=9),LL53,IF(AND($P$9=1,$P$21=2),LM53,IF(AND($P$9=1,$P$21=8),LN53,0)))))))))))))))))))))</f>
        <v>0</v>
      </c>
      <c r="LP53" s="49"/>
      <c r="LQ53" s="44"/>
      <c r="LR53" s="44"/>
      <c r="LS53" s="44"/>
      <c r="LT53" s="44"/>
      <c r="LU53" s="44"/>
      <c r="LV53" s="44"/>
      <c r="LW53" s="44"/>
      <c r="LX53" s="44"/>
      <c r="LZ53" s="44">
        <v>111200</v>
      </c>
      <c r="MA53" s="44">
        <v>111201</v>
      </c>
      <c r="MB53" s="44">
        <v>111202</v>
      </c>
      <c r="MC53" s="44">
        <v>111203</v>
      </c>
      <c r="MD53" s="44">
        <v>111204</v>
      </c>
      <c r="ME53" s="44">
        <v>111205</v>
      </c>
      <c r="MF53" s="44">
        <v>111206</v>
      </c>
      <c r="MG53" s="44">
        <v>111207</v>
      </c>
      <c r="MH53" s="44">
        <v>111208</v>
      </c>
      <c r="MI53" s="175">
        <v>111209</v>
      </c>
      <c r="MJ53" s="50">
        <f>IF(AND($P$9=2,$P$21=1),LP53,IF(AND($P$9=2,$P$21=4),LQ53,IF(AND($P$9=2,$P$21=5),LR53,IF(AND($P$9=2,$P$21=11),LS53,IF(AND($P$9=2,$P$21=7),LT53,IF(AND($P$9=2,$P$21=3),LU53,IF(AND($P$9=2,$P$21=6),LV53,IF(AND($P$9=2,$P$21=9),LW53,IF(AND($P$9=2,$P$21=2),LX53,IF(AND($P$9=2,$P$21=8),LY53,IF(AND($P$9=1,$P$21=1),LZ53,IF(AND($P$9=1,$P$21=1),LZ53,IF(AND($P$9=1,$P$21=4),MA53,IF(AND($P$9=1,$P$21=5),MB53,IF(AND($P$9=1,$P$21=11),MC53,IF(AND($P$9=1,$P$21=7),MD53,IF(AND($P$9=1,$P$21=3),ME53,IF(AND($P$9=1,$P$21=6),MF53,IF(AND($P$9=1,$P$21=9),MG53,IF(AND($P$9=1,$P$21=2),MH53,IF(AND($P$9=1,$P$21=8),MI53,0)))))))))))))))))))))</f>
        <v>0</v>
      </c>
      <c r="MK53" s="49"/>
      <c r="ML53" s="44"/>
      <c r="MM53" s="44"/>
      <c r="MN53" s="44"/>
      <c r="MO53" s="44"/>
      <c r="MP53" s="44"/>
      <c r="MQ53" s="44"/>
      <c r="MR53" s="44"/>
      <c r="MS53" s="44"/>
      <c r="MU53" s="44">
        <v>111220</v>
      </c>
      <c r="MV53" s="44">
        <v>111221</v>
      </c>
      <c r="MW53" s="44">
        <v>111222</v>
      </c>
      <c r="MX53" s="44">
        <v>111223</v>
      </c>
      <c r="MY53" s="44">
        <v>111224</v>
      </c>
      <c r="MZ53" s="44">
        <v>111225</v>
      </c>
      <c r="NA53" s="44">
        <v>111226</v>
      </c>
      <c r="NB53" s="44">
        <v>111227</v>
      </c>
      <c r="NC53" s="44">
        <v>111228</v>
      </c>
      <c r="ND53" s="175">
        <v>111229</v>
      </c>
      <c r="NE53" s="50">
        <f>IF(AND($P$9=2,$P$21=1),MK53,IF(AND($P$9=2,$P$21=4),ML53,IF(AND($P$9=2,$P$21=5),MM53,IF(AND($P$9=2,$P$21=11),MN53,IF(AND($P$9=2,$P$21=7),MO53,IF(AND($P$9=2,$P$21=3),MP53,IF(AND($P$9=2,$P$21=6),MQ53,IF(AND($P$9=2,$P$21=9),MR53,IF(AND($P$9=2,$P$21=2),MS53,IF(AND($P$9=2,$P$21=8),MT53,IF(AND($P$9=1,$P$21=1),MU53,IF(AND($P$9=1,$P$21=1),MU53,IF(AND($P$9=1,$P$21=4),MV53,IF(AND($P$9=1,$P$21=5),MW53,IF(AND($P$9=1,$P$21=11),MX53,IF(AND($P$9=1,$P$21=7),MY53,IF(AND($P$9=1,$P$21=3),MZ53,IF(AND($P$9=1,$P$21=6),NA53,IF(AND($P$9=1,$P$21=9),NB53,IF(AND($P$9=1,$P$21=2),NC53,IF(AND($P$9=1,$P$21=8),ND53,0)))))))))))))))))))))</f>
        <v>0</v>
      </c>
      <c r="NF53" s="49"/>
      <c r="NG53" s="44"/>
      <c r="NH53" s="44"/>
      <c r="NI53" s="44"/>
      <c r="NJ53" s="44"/>
      <c r="NK53" s="44"/>
      <c r="NL53" s="44"/>
      <c r="NM53" s="44"/>
      <c r="NN53" s="44"/>
      <c r="NP53" s="44">
        <v>111220</v>
      </c>
      <c r="NQ53" s="44">
        <v>111221</v>
      </c>
      <c r="NR53" s="44">
        <v>111222</v>
      </c>
      <c r="NS53" s="44">
        <v>111223</v>
      </c>
      <c r="NT53" s="44">
        <v>111224</v>
      </c>
      <c r="NU53" s="44">
        <v>111225</v>
      </c>
      <c r="NV53" s="44">
        <v>111226</v>
      </c>
      <c r="NW53" s="44">
        <v>111227</v>
      </c>
      <c r="NX53" s="44">
        <v>111228</v>
      </c>
      <c r="NY53" s="175">
        <v>111229</v>
      </c>
      <c r="NZ53" s="50">
        <f>IF(AND($P$9=2,$P$21=1),NF53,IF(AND($P$9=2,$P$21=4),NG53,IF(AND($P$9=2,$P$21=5),NH53,IF(AND($P$9=2,$P$21=11),NI53,IF(AND($P$9=2,$P$21=7),NJ53,IF(AND($P$9=2,$P$21=3),NK53,IF(AND($P$9=2,$P$21=6),NL53,IF(AND($P$9=2,$P$21=9),NM53,IF(AND($P$9=2,$P$21=2),NN53,IF(AND($P$9=2,$P$21=8),NO53,IF(AND($P$9=1,$P$21=1),NP53,IF(AND($P$9=1,$P$21=1),NP53,IF(AND($P$9=1,$P$21=4),NQ53,IF(AND($P$9=1,$P$21=5),NR53,IF(AND($P$9=1,$P$21=11),NS53,IF(AND($P$9=1,$P$21=7),NT53,IF(AND($P$9=1,$P$21=3),NU53,IF(AND($P$9=1,$P$21=6),NV53,IF(AND($P$9=1,$P$21=9),NW53,IF(AND($P$9=1,$P$21=2),NX53,IF(AND($P$9=1,$P$21=8),NY53,0)))))))))))))))))))))</f>
        <v>0</v>
      </c>
      <c r="OA53" s="49"/>
      <c r="OB53" s="44"/>
      <c r="OC53" s="44"/>
      <c r="OD53" s="44"/>
      <c r="OE53" s="44"/>
      <c r="OF53" s="44"/>
      <c r="OG53" s="44"/>
      <c r="OH53" s="44"/>
      <c r="OI53" s="44"/>
      <c r="OK53" s="44">
        <v>111600</v>
      </c>
      <c r="OL53" s="44">
        <v>111601</v>
      </c>
      <c r="OM53" s="44">
        <v>111602</v>
      </c>
      <c r="ON53" s="44">
        <v>111603</v>
      </c>
      <c r="OO53" s="44">
        <v>111604</v>
      </c>
      <c r="OP53" s="44">
        <v>111605</v>
      </c>
      <c r="OQ53" s="44">
        <v>111606</v>
      </c>
      <c r="OR53" s="44">
        <v>111607</v>
      </c>
      <c r="OS53" s="44">
        <v>111608</v>
      </c>
      <c r="OT53" s="175">
        <v>111609</v>
      </c>
      <c r="OU53" s="50">
        <f>IF(AND($P$9=2,$P$21=1),OA53,IF(AND($P$9=2,$P$21=4),OB53,IF(AND($P$9=2,$P$21=5),OC53,IF(AND($P$9=2,$P$21=11),OD53,IF(AND($P$9=2,$P$21=7),OE53,IF(AND($P$9=2,$P$21=3),OF53,IF(AND($P$9=2,$P$21=6),OG53,IF(AND($P$9=2,$P$21=9),OH53,IF(AND($P$9=2,$P$21=2),OI53,IF(AND($P$9=2,$P$21=8),OJ53,IF(AND($P$9=1,$P$21=1),OK53,IF(AND($P$9=1,$P$21=1),OK53,IF(AND($P$9=1,$P$21=4),OL53,IF(AND($P$9=1,$P$21=5),OM53,IF(AND($P$9=1,$P$21=11),ON53,IF(AND($P$9=1,$P$21=7),OO53,IF(AND($P$9=1,$P$21=3),OP53,IF(AND($P$9=1,$P$21=6),OQ53,IF(AND($P$9=1,$P$21=9),OR53,IF(AND($P$9=1,$P$21=2),OS53,IF(AND($P$9=1,$P$21=8),OT53,0)))))))))))))))))))))</f>
        <v>0</v>
      </c>
      <c r="OV53" s="49"/>
      <c r="OW53" s="44"/>
      <c r="OX53" s="44"/>
      <c r="OY53" s="44"/>
      <c r="OZ53" s="44"/>
      <c r="PA53" s="44"/>
      <c r="PB53" s="44"/>
      <c r="PC53" s="44"/>
      <c r="PD53" s="44"/>
      <c r="PF53" s="44">
        <v>111240</v>
      </c>
      <c r="PG53" s="44">
        <v>111241</v>
      </c>
      <c r="PH53" s="44">
        <v>111242</v>
      </c>
      <c r="PI53" s="44">
        <v>111243</v>
      </c>
      <c r="PJ53" s="44">
        <v>111244</v>
      </c>
      <c r="PK53" s="44">
        <v>111245</v>
      </c>
      <c r="PL53" s="44">
        <v>111246</v>
      </c>
      <c r="PM53" s="44">
        <v>111247</v>
      </c>
      <c r="PN53" s="44">
        <v>111248</v>
      </c>
      <c r="PO53" s="175">
        <v>111249</v>
      </c>
      <c r="PP53" s="50">
        <f>IF(AND($P$9=2,$P$21=1),OV53,IF(AND($P$9=2,$P$21=4),OW53,IF(AND($P$9=2,$P$21=5),OX53,IF(AND($P$9=2,$P$21=11),OY53,IF(AND($P$9=2,$P$21=7),OZ53,IF(AND($P$9=2,$P$21=3),PA53,IF(AND($P$9=2,$P$21=6),PB53,IF(AND($P$9=2,$P$21=9),PC53,IF(AND($P$9=2,$P$21=2),PD53,IF(AND($P$9=2,$P$21=8),PE53,IF(AND($P$9=1,$P$21=1),PF53,IF(AND($P$9=1,$P$21=1),PF53,IF(AND($P$9=1,$P$21=4),PG53,IF(AND($P$9=1,$P$21=5),PH53,IF(AND($P$9=1,$P$21=11),PI53,IF(AND($P$9=1,$P$21=7),PJ53,IF(AND($P$9=1,$P$21=3),PK53,IF(AND($P$9=1,$P$21=6),PL53,IF(AND($P$9=1,$P$21=9),PM53,IF(AND($P$9=1,$P$21=2),PN53,IF(AND($P$9=1,$P$21=8),PO53,0)))))))))))))))))))))</f>
        <v>0</v>
      </c>
      <c r="PQ53" s="49"/>
      <c r="PR53" s="44"/>
      <c r="PS53" s="44"/>
      <c r="PT53" s="44"/>
      <c r="PU53" s="44"/>
      <c r="PV53" s="44"/>
      <c r="PW53" s="44"/>
      <c r="PX53" s="44"/>
      <c r="PY53" s="44"/>
      <c r="QA53" s="44">
        <v>111240</v>
      </c>
      <c r="QB53" s="44">
        <v>111241</v>
      </c>
      <c r="QC53" s="44">
        <v>111242</v>
      </c>
      <c r="QD53" s="44">
        <v>111243</v>
      </c>
      <c r="QE53" s="44">
        <v>111244</v>
      </c>
      <c r="QF53" s="44">
        <v>111245</v>
      </c>
      <c r="QG53" s="44">
        <v>111246</v>
      </c>
      <c r="QH53" s="44">
        <v>111247</v>
      </c>
      <c r="QI53" s="44">
        <v>111248</v>
      </c>
      <c r="QJ53" s="175">
        <v>111249</v>
      </c>
      <c r="QK53" s="50">
        <f>IF(AND($P$9=2,$P$21=1),PQ53,IF(AND($P$9=2,$P$21=4),PR53,IF(AND($P$9=2,$P$21=5),PS53,IF(AND($P$9=2,$P$21=11),PT53,IF(AND($P$9=2,$P$21=7),PU53,IF(AND($P$9=2,$P$21=3),PV53,IF(AND($P$9=2,$P$21=6),PW53,IF(AND($P$9=2,$P$21=9),PX53,IF(AND($P$9=2,$P$21=2),PY53,IF(AND($P$9=2,$P$21=8),PZ53,IF(AND($P$9=1,$P$21=1),QA53,IF(AND($P$9=1,$P$21=1),QA53,IF(AND($P$9=1,$P$21=4),QB53,IF(AND($P$9=1,$P$21=5),QC53,IF(AND($P$9=1,$P$21=11),QD53,IF(AND($P$9=1,$P$21=7),QE53,IF(AND($P$9=1,$P$21=3),QF53,IF(AND($P$9=1,$P$21=6),QG53,IF(AND($P$9=1,$P$21=9),QH53,IF(AND($P$9=1,$P$21=2),QI53,IF(AND($P$9=1,$P$21=8),QJ53,0)))))))))))))))))))))</f>
        <v>0</v>
      </c>
      <c r="QL53" s="49"/>
      <c r="QM53" s="44"/>
      <c r="QN53" s="44"/>
      <c r="QO53" s="44"/>
      <c r="QP53" s="44"/>
      <c r="QQ53" s="44"/>
      <c r="QR53" s="44"/>
      <c r="QS53" s="44"/>
      <c r="QT53" s="44"/>
      <c r="QV53" s="44">
        <v>111620</v>
      </c>
      <c r="QW53" s="44">
        <v>111621</v>
      </c>
      <c r="QX53" s="44">
        <v>111622</v>
      </c>
      <c r="QY53" s="44">
        <v>111623</v>
      </c>
      <c r="QZ53" s="44">
        <v>111624</v>
      </c>
      <c r="RA53" s="44">
        <v>111625</v>
      </c>
      <c r="RB53" s="44">
        <v>111626</v>
      </c>
      <c r="RC53" s="44">
        <v>111627</v>
      </c>
      <c r="RD53" s="44">
        <v>111628</v>
      </c>
      <c r="RE53" s="175">
        <v>111629</v>
      </c>
      <c r="RF53" s="50">
        <f>IF(AND($P$9=2,$P$21=1),QL53,IF(AND($P$9=2,$P$21=4),QM53,IF(AND($P$9=2,$P$21=5),QN53,IF(AND($P$9=2,$P$21=11),QO53,IF(AND($P$9=2,$P$21=7),QP53,IF(AND($P$9=2,$P$21=3),QQ53,IF(AND($P$9=2,$P$21=6),QR53,IF(AND($P$9=2,$P$21=9),QS53,IF(AND($P$9=2,$P$21=2),QT53,IF(AND($P$9=2,$P$21=8),QU53,IF(AND($P$9=1,$P$21=1),QV53,IF(AND($P$9=1,$P$21=1),QV53,IF(AND($P$9=1,$P$21=4),QW53,IF(AND($P$9=1,$P$21=5),QX53,IF(AND($P$9=1,$P$21=11),QY53,IF(AND($P$9=1,$P$21=7),QZ53,IF(AND($P$9=1,$P$21=3),RA53,IF(AND($P$9=1,$P$21=6),RB53,IF(AND($P$9=1,$P$21=9),RC53,IF(AND($P$9=1,$P$21=2),RD53,IF(AND($P$9=1,$P$21=8),RE53,0)))))))))))))))))))))</f>
        <v>0</v>
      </c>
    </row>
    <row r="54" spans="1:474" ht="32.1" customHeight="1">
      <c r="A54" s="98"/>
      <c r="B54" s="79" t="str">
        <f>VLOOKUP(878,Sprachindex!$A:$Z,Info!$O$7,FALSE)</f>
        <v>Stk.</v>
      </c>
      <c r="C54" s="78"/>
      <c r="D54" s="78">
        <f>IF(OR(J54=Formeln!$A$54,J54=Formeln!$A$55,J54=Formeln!$A$56,J54=Formeln!$A$80,J54=Formeln!$A$81,J54=Formeln!$A$82),BB54,IF(OR(J54=Formeln!$A$57,J54=Formeln!$A$58,J54=Formeln!$A$59,J54=Formeln!$A$83,J54=Formeln!$A$84,J54=Formeln!$A$85),BW54,IF(OR(J54=Formeln!$A$60,J54=Formeln!$A$61,J54=Formeln!$A$62,J54=Formeln!$A$86,J54=Formeln!$A$87,J54=Formeln!$A$88),CR54,IF(OR(J54=Formeln!$A$63,J54=Formeln!$A$64,J54=Formeln!$A$89,J54=Formeln!$A$90),DM54,IF(OR(J54=Formeln!$A$65,J54=Formeln!$A$66,J54=Formeln!$A$67,J54=Formeln!$A$91,J54=Formeln!$A$92,J54=Formeln!$A$93),EH54,IF(OR(J54=Formeln!$A$68,J54=Formeln!$A$69,J54=Formeln!$A$94,J54=Formeln!$A$95),FC54,IF(OR(J54=Formeln!$A$70,J54=Formeln!$A$71,J54=Formeln!$A$72,J54=Formeln!$A$73,J54=Formeln!$A$74,J54=Formeln!$A$96,J54=Formeln!$A$97,J54=Formeln!$A$98,J54=Formeln!$A$99,J54=Formeln!$A$100),FX54,IF(OR(J54=Formeln!$A$75,J54=Formeln!$A$76,J54=Formeln!$A$77,J54=Formeln!$A$101,J54=Formeln!$A$102,J54=Formeln!$A$103),GS54,0))))))))</f>
        <v>0</v>
      </c>
      <c r="E54" s="561" t="str">
        <f>VLOOKUP(321,Sprachindex!$A:$Z,Info!$O$7,FALSE)</f>
        <v>Einfassung für Roto-Dachflächenfenster (stucco)</v>
      </c>
      <c r="F54" s="562"/>
      <c r="G54" s="562"/>
      <c r="H54" s="562"/>
      <c r="I54" s="84" t="str">
        <f>VLOOKUP(591,Sprachindex!$A:$Z,Info!$O$7,FALSE)</f>
        <v>Maße:</v>
      </c>
      <c r="J54" s="572"/>
      <c r="K54" s="574"/>
      <c r="L54" s="79" t="str">
        <f>IF($A54=0,"",IF($J54=Formeln!$A$52," ",IF($P$11=1,AD54,AE54)))</f>
        <v/>
      </c>
      <c r="M54" s="433" t="str">
        <f t="shared" si="0"/>
        <v>Stk.</v>
      </c>
      <c r="N54" s="80"/>
      <c r="O54" s="202" t="str">
        <f>IF(ISNUMBER(L54),IF(OR(J54=Formeln!A51,J54=Formeln!A52,J54=Formeln!A53,J54=Formeln!A77,J54=Formeln!A78,J54=Formeln!A79),R54,IF(OR(J54=Formeln!A54,J54=Formeln!A55,J54=Formeln!A56,J54=Formeln!A80,J54=Formeln!A81,J54=Formeln!A82),S54,IF(OR(J54=Formeln!A57,J54=Formeln!A58,J54=Formeln!A59,J54=Formeln!A83,J54=Formeln!A84,J54=Formeln!A85),T54,IF(OR(J54=Formeln!A60,J54=Formeln!A61,J54=Formeln!A86,J54=Formeln!A87),U54,IF(OR(J54=Formeln!A62,J54=Formeln!A63,J54=Formeln!A64,J54=Formeln!A88,J54=Formeln!A89,J54=Formeln!A90),V54,IF(OR(J54=Formeln!A65,J54=Formeln!A66,J54=Formeln!A91,J54=Formeln!A92),W54,IF(OR(J54=Formeln!A67,J54=Formeln!A68,J54=Formeln!A69,J54=Formeln!A70,J54=Formeln!A71,J54=Formeln!A93,J54=Formeln!A94,J54=Formeln!A95,J54=Formeln!A96,J54=Formeln!A97),X54,IF(OR(J54=Formeln!A72,J54=Formeln!A73,J54=Formeln!A74,J54=Formeln!A98,J54=Formeln!A99,J54=Formeln!A100),Y54,0)))))))), "")</f>
        <v/>
      </c>
      <c r="R54" s="200">
        <v>264.7</v>
      </c>
      <c r="S54" s="200">
        <v>271.8</v>
      </c>
      <c r="T54" s="200">
        <v>271.8</v>
      </c>
      <c r="U54" s="200">
        <v>285.8</v>
      </c>
      <c r="V54" s="200">
        <v>328.1</v>
      </c>
      <c r="W54" s="200">
        <v>335.1</v>
      </c>
      <c r="X54" s="200">
        <v>335.1</v>
      </c>
      <c r="Y54" s="200">
        <v>337.4</v>
      </c>
      <c r="Z54" s="195"/>
      <c r="AA54" s="195"/>
      <c r="AD54" s="149">
        <f t="shared" si="7"/>
        <v>0</v>
      </c>
      <c r="AE54" s="149">
        <f t="shared" si="7"/>
        <v>0</v>
      </c>
      <c r="AH54" s="44"/>
      <c r="AI54" s="44"/>
      <c r="AJ54" s="44"/>
      <c r="AK54" s="44"/>
      <c r="AL54" s="44"/>
      <c r="AM54" s="44"/>
      <c r="AN54" s="44"/>
      <c r="AO54" s="44"/>
      <c r="AP54" s="44"/>
      <c r="AR54" s="44">
        <v>111300</v>
      </c>
      <c r="AS54" s="44">
        <v>111301</v>
      </c>
      <c r="AT54" s="44">
        <v>111302</v>
      </c>
      <c r="AU54" s="44">
        <v>111303</v>
      </c>
      <c r="AV54" s="44">
        <v>111304</v>
      </c>
      <c r="AW54" s="44">
        <v>111305</v>
      </c>
      <c r="AX54" s="44">
        <v>111306</v>
      </c>
      <c r="AY54" s="44">
        <v>111307</v>
      </c>
      <c r="AZ54" s="44">
        <v>111308</v>
      </c>
      <c r="BA54" s="174">
        <v>111309</v>
      </c>
      <c r="BB54" s="50">
        <f>IF(AND($P$9=2,$P$21=1),AH54,IF(AND($P$9=2,$P$21=4),AI54,IF(AND($P$9=2,$P$21=5),AJ54,IF(AND($P$9=2,$P$21=11),AK54,IF(AND($P$9=2,$P$21=7),AL54,IF(AND($P$9=2,$P$21=3),AM54,IF(AND($P$9=2,$P$21=6),AN54,IF(AND($P$9=2,$P$21=9),AO54,IF(AND($P$9=2,$P$21=2),AP54,IF(AND($P$9=2,$P$21=8),AQ54,IF(AND($P$9=1,$P$21=1),AR54,IF(AND($P$9=1,$P$21=1),AR54,IF(AND($P$9=1,$P$21=4),AS54,IF(AND($P$9=1,$P$21=5),AT54,IF(AND($P$9=1,$P$21=11),AU54,IF(AND($P$9=1,$P$21=7),AV54,IF(AND($P$9=1,$P$21=3),AW54,IF(AND($P$9=1,$P$21=6),AX54,IF(AND($P$9=1,$P$21=9),AY54,IF(AND($P$9=1,$P$21=2),AZ54,IF(AND($P$9=1,$P$21=8),BA54,0)))))))))))))))))))))</f>
        <v>0</v>
      </c>
      <c r="BC54" s="44"/>
      <c r="BD54" s="44"/>
      <c r="BE54" s="44"/>
      <c r="BF54" s="44"/>
      <c r="BG54" s="44"/>
      <c r="BH54" s="44"/>
      <c r="BI54" s="44"/>
      <c r="BJ54" s="44"/>
      <c r="BK54" s="44"/>
      <c r="BM54" s="44">
        <v>111320</v>
      </c>
      <c r="BN54" s="44">
        <v>111321</v>
      </c>
      <c r="BO54" s="44">
        <v>111322</v>
      </c>
      <c r="BP54" s="44">
        <v>111323</v>
      </c>
      <c r="BQ54" s="44">
        <v>111324</v>
      </c>
      <c r="BR54" s="44">
        <v>111325</v>
      </c>
      <c r="BS54" s="44">
        <v>111326</v>
      </c>
      <c r="BT54" s="44">
        <v>111327</v>
      </c>
      <c r="BU54" s="44">
        <v>111328</v>
      </c>
      <c r="BV54" s="174">
        <v>111329</v>
      </c>
      <c r="BW54" s="50">
        <f>IF(AND($P$9=2,$P$21=1),BC54,IF(AND($P$9=2,$P$21=4),BD54,IF(AND($P$9=2,$P$21=5),BE54,IF(AND($P$9=2,$P$21=11),BF54,IF(AND($P$9=2,$P$21=7),BG54,IF(AND($P$9=2,$P$21=3),BH54,IF(AND($P$9=2,$P$21=6),BI54,IF(AND($P$9=2,$P$21=9),BJ54,IF(AND($P$9=2,$P$21=2),BK54,IF(AND($P$9=2,$P$21=8),BL54,IF(AND($P$9=1,$P$21=1),BM54,IF(AND($P$9=1,$P$21=1),BM54,IF(AND($P$9=1,$P$21=4),BN54,IF(AND($P$9=1,$P$21=5),BO54,IF(AND($P$9=1,$P$21=11),BP54,IF(AND($P$9=1,$P$21=7),BQ54,IF(AND($P$9=1,$P$21=3),BR54,IF(AND($P$9=1,$P$21=6),BS54,IF(AND($P$9=1,$P$21=9),BT54,IF(AND($P$9=1,$P$21=2),BU54,IF(AND($P$9=1,$P$21=8),BV54,0)))))))))))))))))))))</f>
        <v>0</v>
      </c>
      <c r="BX54" s="44"/>
      <c r="BY54" s="44"/>
      <c r="BZ54" s="44"/>
      <c r="CA54" s="44"/>
      <c r="CB54" s="44"/>
      <c r="CC54" s="44"/>
      <c r="CD54" s="44"/>
      <c r="CE54" s="44"/>
      <c r="CF54" s="44"/>
      <c r="CH54" s="44">
        <v>111340</v>
      </c>
      <c r="CI54" s="44">
        <v>111341</v>
      </c>
      <c r="CJ54" s="44">
        <v>111342</v>
      </c>
      <c r="CK54" s="44">
        <v>111343</v>
      </c>
      <c r="CL54" s="44">
        <v>111344</v>
      </c>
      <c r="CM54" s="44">
        <v>111345</v>
      </c>
      <c r="CN54" s="44">
        <v>111346</v>
      </c>
      <c r="CO54" s="44">
        <v>111347</v>
      </c>
      <c r="CP54" s="44">
        <v>111348</v>
      </c>
      <c r="CQ54" s="174">
        <v>111349</v>
      </c>
      <c r="CR54" s="50">
        <f>IF(AND($P$9=2,$P$21=1),BX54,IF(AND($P$9=2,$P$21=4),BY54,IF(AND($P$9=2,$P$21=5),BZ54,IF(AND($P$9=2,$P$21=11),CA54,IF(AND($P$9=2,$P$21=7),CB54,IF(AND($P$9=2,$P$21=3),CC54,IF(AND($P$9=2,$P$21=6),CD54,IF(AND($P$9=2,$P$21=9),CE54,IF(AND($P$9=2,$P$21=2),CF54,IF(AND($P$9=2,$P$21=8),CG54,IF(AND($P$9=1,$P$21=1),CH54,IF(AND($P$9=1,$P$21=1),CH54,IF(AND($P$9=1,$P$21=4),CI54,IF(AND($P$9=1,$P$21=5),CJ54,IF(AND($P$9=1,$P$21=11),CK54,IF(AND($P$9=1,$P$21=7),CL54,IF(AND($P$9=1,$P$21=3),CM54,IF(AND($P$9=1,$P$21=6),CN54,IF(AND($P$9=1,$P$21=9),CO54,IF(AND($P$9=1,$P$21=2),CP54,IF(AND($P$9=1,$P$21=8),CQ54,0)))))))))))))))))))))</f>
        <v>0</v>
      </c>
      <c r="CS54" s="44"/>
      <c r="CT54" s="44"/>
      <c r="CU54" s="44"/>
      <c r="CV54" s="44"/>
      <c r="CW54" s="44"/>
      <c r="CX54" s="44"/>
      <c r="CY54" s="44"/>
      <c r="CZ54" s="44"/>
      <c r="DA54" s="44"/>
      <c r="DC54" s="44">
        <v>111360</v>
      </c>
      <c r="DD54" s="44">
        <v>111361</v>
      </c>
      <c r="DE54" s="44">
        <v>111362</v>
      </c>
      <c r="DF54" s="44">
        <v>111363</v>
      </c>
      <c r="DG54" s="44">
        <v>111364</v>
      </c>
      <c r="DH54" s="44">
        <v>111365</v>
      </c>
      <c r="DI54" s="44">
        <v>111366</v>
      </c>
      <c r="DJ54" s="44">
        <v>111367</v>
      </c>
      <c r="DK54" s="44">
        <v>111368</v>
      </c>
      <c r="DL54" s="174">
        <v>111369</v>
      </c>
      <c r="DM54" s="50">
        <f>IF(AND($P$9=2,$P$21=1),BX54,IF(AND($P$9=2,$P$21=4),BY54,IF(AND($P$9=2,$P$21=5),BZ54,IF(AND($P$9=2,$P$21=11),CA54,IF(AND($P$9=2,$P$21=7),CB54,IF(AND($P$9=2,$P$21=3),CC54,IF(AND($P$9=2,$P$21=6),CD54,IF(AND($P$9=2,$P$21=9),CE54,IF(AND($P$9=2,$P$21=2),CF54,IF(AND($P$9=2,$P$21=8),CG54,IF(AND($P$9=1,$P$21=1),DC54,IF(AND($P$9=1,$P$21=1),DC54,IF(AND($P$9=1,$P$21=4),DD54,IF(AND($P$9=1,$P$21=5),DE54,IF(AND($P$9=1,$P$21=11),DF54,IF(AND($P$9=1,$P$21=7),DG54,IF(AND($P$9=1,$P$21=3),DH54,IF(AND($P$9=1,$P$21=6),DI54,IF(AND($P$9=1,$P$21=9),DJ54,IF(AND($P$9=1,$P$21=2),DK54,IF(AND($P$9=1,$P$21=8),DL54,0)))))))))))))))))))))</f>
        <v>0</v>
      </c>
      <c r="DX54" s="44">
        <v>111380</v>
      </c>
      <c r="DY54" s="44">
        <v>111381</v>
      </c>
      <c r="DZ54" s="44">
        <v>111382</v>
      </c>
      <c r="EA54" s="44">
        <v>111383</v>
      </c>
      <c r="EB54" s="44">
        <v>111384</v>
      </c>
      <c r="EC54" s="44">
        <v>111385</v>
      </c>
      <c r="ED54" s="44">
        <v>111386</v>
      </c>
      <c r="EE54" s="44">
        <v>111387</v>
      </c>
      <c r="EF54" s="44">
        <v>111388</v>
      </c>
      <c r="EG54" s="174">
        <v>111389</v>
      </c>
      <c r="EH54" s="50">
        <f>IF(AND($P$9=2,$P$21=1),CS54,IF(AND($P$9=2,$P$21=4),CT54,IF(AND($P$9=2,$P$21=5),CU54,IF(AND($P$9=2,$P$21=11),CV54,IF(AND($P$9=2,$P$21=7),CW54,IF(AND($P$9=2,$P$21=3),CX54,IF(AND($P$9=2,$P$21=6),CY54,IF(AND($P$9=2,$P$21=9),CZ54,IF(AND($P$9=2,$P$21=2),DA54,IF(AND($P$9=2,$P$21=8),DB54,IF(AND($P$9=1,$P$21=1),DX54,IF(AND($P$9=1,$P$21=1),DX54,IF(AND($P$9=1,$P$21=4),DY54,IF(AND($P$9=1,$P$21=5),DZ54,IF(AND($P$9=1,$P$21=11),EA54,IF(AND($P$9=1,$P$21=7),EB54,IF(AND($P$9=1,$P$21=3),EC54,IF(AND($P$9=1,$P$21=6),ED54,IF(AND($P$9=1,$P$21=9),EE54,IF(AND($P$9=1,$P$21=2),EF54,IF(AND($P$9=1,$P$21=8),EG54,0)))))))))))))))))))))</f>
        <v>0</v>
      </c>
      <c r="EI54" s="44"/>
      <c r="EJ54" s="44"/>
      <c r="EK54" s="44"/>
      <c r="EL54" s="44"/>
      <c r="EM54" s="44"/>
      <c r="EN54" s="44"/>
      <c r="EO54" s="44"/>
      <c r="EP54" s="44"/>
      <c r="EQ54" s="44"/>
      <c r="ES54" s="44">
        <v>111400</v>
      </c>
      <c r="ET54" s="44">
        <v>111401</v>
      </c>
      <c r="EU54" s="44">
        <v>111402</v>
      </c>
      <c r="EV54" s="44">
        <v>111403</v>
      </c>
      <c r="EW54" s="44">
        <v>111404</v>
      </c>
      <c r="EX54" s="44">
        <v>111405</v>
      </c>
      <c r="EY54" s="44">
        <v>111406</v>
      </c>
      <c r="EZ54" s="44">
        <v>111407</v>
      </c>
      <c r="FA54" s="44">
        <v>111408</v>
      </c>
      <c r="FB54" s="174">
        <v>111409</v>
      </c>
      <c r="FC54" s="50">
        <f>IF(AND($P$9=2,$P$21=1),EI54,IF(AND($P$9=2,$P$21=4),EJ54,IF(AND($P$9=2,$P$21=5),EK54,IF(AND($P$9=2,$P$21=11),EL54,IF(AND($P$9=2,$P$21=7),EM54,IF(AND($P$9=2,$P$21=3),EN54,IF(AND($P$9=2,$P$21=6),EO54,IF(AND($P$9=2,$P$21=9),EP54,IF(AND($P$9=2,$P$21=2),EQ54,IF(AND($P$9=2,$P$21=8),ER54,IF(AND($P$9=1,$P$21=1),ES54,IF(AND($P$9=1,$P$21=1),ES54,IF(AND($P$9=1,$P$21=4),ET54,IF(AND($P$9=1,$P$21=5),EU54,IF(AND($P$9=1,$P$21=11),EV54,IF(AND($P$9=1,$P$21=7),EW54,IF(AND($P$9=1,$P$21=3),EX54,IF(AND($P$9=1,$P$21=6),EY54,IF(AND($P$9=1,$P$21=9),EZ54,IF(AND($P$9=1,$P$21=2),FA54,IF(AND($P$9=1,$P$21=8),FB54,0)))))))))))))))))))))</f>
        <v>0</v>
      </c>
      <c r="FD54" s="44"/>
      <c r="FE54" s="44"/>
      <c r="FF54" s="44"/>
      <c r="FG54" s="44"/>
      <c r="FH54" s="44"/>
      <c r="FI54" s="44"/>
      <c r="FJ54" s="44"/>
      <c r="FK54" s="44"/>
      <c r="FL54" s="44"/>
      <c r="FN54" s="44">
        <v>111420</v>
      </c>
      <c r="FO54" s="44">
        <v>111421</v>
      </c>
      <c r="FP54" s="44">
        <v>111422</v>
      </c>
      <c r="FQ54" s="44">
        <v>111423</v>
      </c>
      <c r="FR54" s="44">
        <v>111424</v>
      </c>
      <c r="FS54" s="44">
        <v>111425</v>
      </c>
      <c r="FT54" s="44">
        <v>111426</v>
      </c>
      <c r="FU54" s="44">
        <v>111427</v>
      </c>
      <c r="FV54" s="44">
        <v>111428</v>
      </c>
      <c r="FW54" s="174">
        <v>111429</v>
      </c>
      <c r="FX54" s="50">
        <f>IF(AND($P$9=2,$P$21=1),FD54,IF(AND($P$9=2,$P$21=4),FE54,IF(AND($P$9=2,$P$21=5),FF54,IF(AND($P$9=2,$P$21=11),FG54,IF(AND($P$9=2,$P$21=7),FH54,IF(AND($P$9=2,$P$21=3),FI54,IF(AND($P$9=2,$P$21=6),FJ54,IF(AND($P$9=2,$P$21=9),FK54,IF(AND($P$9=2,$P$21=2),FL54,IF(AND($P$9=2,$P$21=8),FM54,IF(AND($P$9=1,$P$21=1),FN54,IF(AND($P$9=1,$P$21=1),FN54,IF(AND($P$9=1,$P$21=4),FO54,IF(AND($P$9=1,$P$21=5),FP54,IF(AND($P$9=1,$P$21=11),FQ54,IF(AND($P$9=1,$P$21=7),FR54,IF(AND($P$9=1,$P$21=3),FS54,IF(AND($P$9=1,$P$21=6),FT54,IF(AND($P$9=1,$P$21=9),FU54,IF(AND($P$9=1,$P$21=2),FV54,IF(AND($P$9=1,$P$21=8),FW54,0)))))))))))))))))))))</f>
        <v>0</v>
      </c>
      <c r="FY54" s="44"/>
      <c r="FZ54" s="44"/>
      <c r="GA54" s="44"/>
      <c r="GB54" s="44"/>
      <c r="GC54" s="44"/>
      <c r="GD54" s="44"/>
      <c r="GE54" s="44"/>
      <c r="GF54" s="44"/>
      <c r="GG54" s="44"/>
      <c r="GI54" s="44">
        <v>111440</v>
      </c>
      <c r="GJ54" s="44">
        <v>111441</v>
      </c>
      <c r="GK54" s="44">
        <v>111442</v>
      </c>
      <c r="GL54" s="44">
        <v>111443</v>
      </c>
      <c r="GM54" s="44">
        <v>111444</v>
      </c>
      <c r="GN54" s="44">
        <v>111445</v>
      </c>
      <c r="GO54" s="44">
        <v>111446</v>
      </c>
      <c r="GP54" s="44">
        <v>111447</v>
      </c>
      <c r="GQ54" s="44">
        <v>111448</v>
      </c>
      <c r="GR54" s="174">
        <v>111449</v>
      </c>
      <c r="GS54" s="50">
        <f>IF(AND($P$9=2,$P$21=1),FY54,IF(AND($P$9=2,$P$21=4),FZ54,IF(AND($P$9=2,$P$21=5),GA54,IF(AND($P$9=2,$P$21=11),GB54,IF(AND($P$9=2,$P$21=7),GC54,IF(AND($P$9=2,$P$21=3),GD54,IF(AND($P$9=2,$P$21=6),GE54,IF(AND($P$9=2,$P$21=9),GF54,IF(AND($P$9=2,$P$21=2),GG54,IF(AND($P$9=2,$P$21=8),GH54,IF(AND($P$9=1,$P$21=1),GI54,IF(AND($P$9=1,$P$21=1),GI54,IF(AND($P$9=1,$P$21=4),GJ54,IF(AND($P$9=1,$P$21=5),GK54,IF(AND($P$9=1,$P$21=11),GL54,IF(AND($P$9=1,$P$21=7),GM54,IF(AND($P$9=1,$P$21=3),GN54,IF(AND($P$9=1,$P$21=6),GO54,IF(AND($P$9=1,$P$21=9),GP54,IF(AND($P$9=1,$P$21=2),GQ54,IF(AND($P$9=1,$P$21=8),GR54,0)))))))))))))))))))))</f>
        <v>0</v>
      </c>
      <c r="HN54" s="50"/>
      <c r="II54" s="50"/>
      <c r="JD54" s="50"/>
      <c r="JY54" s="50"/>
      <c r="KT54" s="50"/>
      <c r="LO54" s="50"/>
      <c r="MJ54" s="50"/>
      <c r="NE54" s="50"/>
      <c r="NZ54" s="50"/>
      <c r="OU54" s="50"/>
      <c r="PP54" s="50"/>
      <c r="QK54" s="50"/>
      <c r="RF54" s="50"/>
    </row>
    <row r="55" spans="1:474" ht="32.1" customHeight="1">
      <c r="A55" s="98"/>
      <c r="B55" s="79" t="str">
        <f>VLOOKUP(878,Sprachindex!$A:$Z,Info!$O$7,FALSE)</f>
        <v>Stk.</v>
      </c>
      <c r="C55" s="78"/>
      <c r="D55" s="78">
        <v>111700</v>
      </c>
      <c r="E55" s="561" t="str">
        <f>VLOOKUP(322,Sprachindex!$A:$Z,Info!$O$7,FALSE)</f>
        <v>Einfassung für Roto-Q-Serie (stucco)</v>
      </c>
      <c r="F55" s="562"/>
      <c r="G55" s="562"/>
      <c r="H55" s="562"/>
      <c r="I55" s="84" t="str">
        <f>VLOOKUP(591,Sprachindex!$A:$Z,Info!$O$7,FALSE)</f>
        <v>Maße:</v>
      </c>
      <c r="J55" s="572"/>
      <c r="K55" s="574"/>
      <c r="L55" s="79" t="str">
        <f>IF($A55=0,"",IF($J55=Formeln!$A$52," ",IF($P$11=1,AD55,AE55)))</f>
        <v/>
      </c>
      <c r="M55" s="433" t="str">
        <f t="shared" si="0"/>
        <v>Stk.</v>
      </c>
      <c r="N55" s="80"/>
      <c r="O55" s="202" t="str">
        <f>IF(ISNUMBER(L55),IF(OR(J55=Formeln!C51,J55=Formeln!C52,J55=Formeln!C53,J55=Formeln!C81,J55=Formeln!C82,J55=Formeln!C83),R55,IF(OR(J55=Formeln!C54,J55=Formeln!C55,J55=Formeln!C56,J55=Formeln!C84,J55=Formeln!C85,J55=Formeln!C86),S55,IF(OR(J55=Formeln!C57,J55=Formeln!C58,J55=Formeln!C59,J55=Formeln!C60,J55=Formeln!C61,J55=Formeln!C87,J55=Formeln!C88,J55=Formeln!C89,J55=Formeln!C90,J55=Formeln!C91),T55,IF(OR(J55=Formeln!C62,J55=Formeln!C63,J55=Formeln!C64,J55=Formeln!C65,J55=Formeln!C66,J55=Formeln!C67,J55=Formeln!C92,J55=Formeln!C93,J55=Formeln!C94,J55=Formeln!C95,J55=Formeln!C96,J55=Formeln!C97),U55,IF(OR(J55=Formeln!C68,J55=Formeln!C69,J55=Formeln!C70,J55=Formeln!C71,J55=Formeln!C72,J55=Formeln!C73,J55=Formeln!C98,J55=Formeln!C99,J55=Formeln!C100,J55=Formeln!C101,J55=Formeln!C102,J55=Formeln!C103),V55,IF(OR(J55=Formeln!C74,J55=Formeln!C75,J55=Formeln!C76,J55=Formeln!C77,J55=Formeln!C78,J55=Formeln!C104,J55=Formeln!C105,J55=Formeln!C106,J55=Formeln!C107,J55=Formeln!C108),W55,0)))))), "")</f>
        <v/>
      </c>
      <c r="R55" s="200">
        <v>291.25</v>
      </c>
      <c r="S55" s="200">
        <v>298.98</v>
      </c>
      <c r="T55" s="200">
        <v>298.98</v>
      </c>
      <c r="U55" s="200">
        <v>360.78</v>
      </c>
      <c r="V55" s="200">
        <v>368.64</v>
      </c>
      <c r="W55" s="200">
        <v>371.17</v>
      </c>
      <c r="X55" s="195"/>
      <c r="Y55" s="195"/>
      <c r="Z55" s="195"/>
      <c r="AA55" s="195"/>
      <c r="AD55" s="149">
        <f t="shared" si="7"/>
        <v>0</v>
      </c>
      <c r="AE55" s="149">
        <f t="shared" si="7"/>
        <v>0</v>
      </c>
      <c r="AH55" s="44"/>
      <c r="AI55" s="44"/>
      <c r="AJ55" s="44"/>
      <c r="AK55" s="44"/>
      <c r="AL55" s="44"/>
      <c r="AM55" s="44"/>
      <c r="AN55" s="44"/>
      <c r="AO55" s="44"/>
      <c r="AP55" s="44"/>
      <c r="AR55" s="127"/>
      <c r="AS55" s="127"/>
      <c r="AT55" s="127"/>
      <c r="AU55" s="127"/>
      <c r="AV55" s="127"/>
      <c r="AW55" s="127"/>
      <c r="AX55" s="127"/>
      <c r="AY55" s="127"/>
      <c r="AZ55" s="127"/>
      <c r="BA55" s="176"/>
      <c r="BB55" s="50">
        <f>IF(AND($P$9=2,$P$21=1),AH55,IF(AND($P$9=2,$P$21=4),AI55,IF(AND($P$9=2,$P$21=5),AJ55,IF(AND($P$9=2,$P$21=11),AK55,IF(AND($P$9=2,$P$21=7),AL55,IF(AND($P$9=2,$P$21=3),AM55,IF(AND($P$9=2,$P$21=6),AN55,IF(AND($P$9=2,$P$21=9),AO55,IF(AND($P$9=2,$P$21=2),AP55,IF(AND($P$9=2,$P$21=8),AQ55,IF(AND($P$9=1,$P$21=1),AR55,IF(AND($P$9=1,$P$21=1),AR55,IF(AND($P$9=1,$P$21=4),AS55,IF(AND($P$9=1,$P$21=5),AT55,IF(AND($P$9=1,$P$21=11),AU55,IF(AND($P$9=1,$P$21=7),AV55,IF(AND($P$9=1,$P$21=3),AW55,IF(AND($P$9=1,$P$21=6),AX55,IF(AND($P$9=1,$P$21=9),AY55,IF(AND($P$9=1,$P$21=2),AZ55,0))))))))))))))))))))</f>
        <v>0</v>
      </c>
      <c r="BC55" s="44"/>
      <c r="BD55" s="44"/>
      <c r="BE55" s="44"/>
      <c r="BF55" s="44"/>
      <c r="BG55" s="44"/>
      <c r="BH55" s="44"/>
      <c r="BI55" s="44"/>
      <c r="BJ55" s="44"/>
      <c r="BK55" s="44"/>
      <c r="BM55" s="127"/>
      <c r="BN55" s="127"/>
      <c r="BO55" s="127"/>
      <c r="BP55" s="127"/>
      <c r="BQ55" s="127"/>
      <c r="BR55" s="127"/>
      <c r="BS55" s="127"/>
      <c r="BT55" s="127"/>
      <c r="BU55" s="127"/>
      <c r="BV55" s="176"/>
      <c r="BW55" s="50">
        <f>IF(AND($P$9=2,$P$21=1),BC55,IF(AND($P$9=2,$P$21=4),BD55,IF(AND($P$9=2,$P$21=5),BE55,IF(AND($P$9=2,$P$21=11),BF55,IF(AND($P$9=2,$P$21=7),BG55,IF(AND($P$9=2,$P$21=3),BH55,IF(AND($P$9=2,$P$21=6),BI55,IF(AND($P$9=2,$P$21=9),BJ55,IF(AND($P$9=2,$P$21=2),BK55,IF(AND($P$9=2,$P$21=8),BL55,IF(AND($P$9=1,$P$21=1),BM55,IF(AND($P$9=1,$P$21=1),BM55,IF(AND($P$9=1,$P$21=4),BN55,IF(AND($P$9=1,$P$21=5),BO55,IF(AND($P$9=1,$P$21=11),BP55,IF(AND($P$9=1,$P$21=7),BQ55,IF(AND($P$9=1,$P$21=3),BR55,IF(AND($P$9=1,$P$21=6),BS55,IF(AND($P$9=1,$P$21=9),BT55,IF(AND($P$9=1,$P$21=2),BU55,0))))))))))))))))))))</f>
        <v>0</v>
      </c>
      <c r="BX55" s="44"/>
      <c r="BY55" s="44"/>
      <c r="BZ55" s="44"/>
      <c r="CA55" s="44"/>
      <c r="CB55" s="44"/>
      <c r="CC55" s="44"/>
      <c r="CD55" s="44"/>
      <c r="CE55" s="44"/>
      <c r="CF55" s="44"/>
      <c r="CH55" s="127"/>
      <c r="CI55" s="127"/>
      <c r="CJ55" s="127"/>
      <c r="CK55" s="127"/>
      <c r="CL55" s="127"/>
      <c r="CM55" s="127"/>
      <c r="CN55" s="127"/>
      <c r="CO55" s="127"/>
      <c r="CP55" s="127"/>
      <c r="CQ55" s="176"/>
      <c r="CR55" s="50">
        <f>IF(AND($P$9=2,$P$21=1),BX55,IF(AND($P$9=2,$P$21=4),BY55,IF(AND($P$9=2,$P$21=5),BZ55,IF(AND($P$9=2,$P$21=11),CA55,IF(AND($P$9=2,$P$21=7),CB55,IF(AND($P$9=2,$P$21=3),CC55,IF(AND($P$9=2,$P$21=6),CD55,IF(AND($P$9=2,$P$21=9),CE55,IF(AND($P$9=2,$P$21=2),CF55,IF(AND($P$9=2,$P$21=8),CG55,IF(AND($P$9=1,$P$21=1),CH55,IF(AND($P$9=1,$P$21=1),CH55,IF(AND($P$9=1,$P$21=4),CI55,IF(AND($P$9=1,$P$21=5),CJ55,IF(AND($P$9=1,$P$21=11),CK55,IF(AND($P$9=1,$P$21=7),CL55,IF(AND($P$9=1,$P$21=3),CM55,IF(AND($P$9=1,$P$21=6),CN55,IF(AND($P$9=1,$P$21=9),CO55,IF(AND($P$9=1,$P$21=2),CP55,0))))))))))))))))))))</f>
        <v>0</v>
      </c>
      <c r="CS55" s="44"/>
      <c r="CT55" s="44"/>
      <c r="CU55" s="44"/>
      <c r="CV55" s="44"/>
      <c r="CW55" s="44"/>
      <c r="CX55" s="44"/>
      <c r="CY55" s="44"/>
      <c r="CZ55" s="44"/>
      <c r="DA55" s="44"/>
      <c r="DC55" s="127"/>
      <c r="DD55" s="127"/>
      <c r="DE55" s="127"/>
      <c r="DF55" s="127"/>
      <c r="DG55" s="127"/>
      <c r="DH55" s="127"/>
      <c r="DI55" s="127"/>
      <c r="DJ55" s="127"/>
      <c r="DK55" s="127"/>
      <c r="DL55" s="176"/>
      <c r="DM55" s="50">
        <f>IF(AND($P$9=2,$P$21=1),BX55,IF(AND($P$9=2,$P$21=4),BY55,IF(AND($P$9=2,$P$21=5),BZ55,IF(AND($P$9=2,$P$21=11),CA55,IF(AND($P$9=2,$P$21=7),CB55,IF(AND($P$9=2,$P$21=3),CC55,IF(AND($P$9=2,$P$21=6),CD55,IF(AND($P$9=2,$P$21=9),CE55,IF(AND($P$9=2,$P$21=2),CF55,IF(AND($P$9=2,$P$21=8),CG55,IF(AND($P$9=1,$P$21=1),DC55,IF(AND($P$9=1,$P$21=1),DC55,IF(AND($P$9=1,$P$21=4),DD55,IF(AND($P$9=1,$P$21=5),DE55,IF(AND($P$9=1,$P$21=11),DF55,IF(AND($P$9=1,$P$21=7),DG55,IF(AND($P$9=1,$P$21=3),DH55,IF(AND($P$9=1,$P$21=6),DI55,IF(AND($P$9=1,$P$21=9),DJ55,IF(AND($P$9=1,$P$21=2),DK55,0))))))))))))))))))))</f>
        <v>0</v>
      </c>
      <c r="DX55" s="127"/>
      <c r="DY55" s="127"/>
      <c r="DZ55" s="127"/>
      <c r="EA55" s="127"/>
      <c r="EB55" s="127"/>
      <c r="EC55" s="127"/>
      <c r="ED55" s="127"/>
      <c r="EE55" s="127"/>
      <c r="EF55" s="127"/>
      <c r="EG55" s="176"/>
      <c r="EH55" s="50">
        <f>IF(AND($P$9=2,$P$21=1),CS55,IF(AND($P$9=2,$P$21=4),CT55,IF(AND($P$9=2,$P$21=5),CU55,IF(AND($P$9=2,$P$21=11),CV55,IF(AND($P$9=2,$P$21=7),CW55,IF(AND($P$9=2,$P$21=3),CX55,IF(AND($P$9=2,$P$21=6),CY55,IF(AND($P$9=2,$P$21=9),CZ55,IF(AND($P$9=2,$P$21=2),DA55,IF(AND($P$9=2,$P$21=8),DB55,IF(AND($P$9=1,$P$21=1),DX55,IF(AND($P$9=1,$P$21=1),DX55,IF(AND($P$9=1,$P$21=4),DY55,IF(AND($P$9=1,$P$21=5),DZ55,IF(AND($P$9=1,$P$21=11),EA55,IF(AND($P$9=1,$P$21=7),EB55,IF(AND($P$9=1,$P$21=3),EC55,IF(AND($P$9=1,$P$21=6),ED55,IF(AND($P$9=1,$P$21=9),EE55,IF(AND($P$9=1,$P$21=2),EF55,0))))))))))))))))))))</f>
        <v>0</v>
      </c>
      <c r="EI55" s="44"/>
      <c r="EJ55" s="44"/>
      <c r="EK55" s="44"/>
      <c r="EL55" s="44"/>
      <c r="EM55" s="44"/>
      <c r="EN55" s="44"/>
      <c r="EO55" s="44"/>
      <c r="EP55" s="44"/>
      <c r="EQ55" s="44"/>
      <c r="ES55" s="127"/>
      <c r="ET55" s="127"/>
      <c r="EU55" s="127"/>
      <c r="EV55" s="127"/>
      <c r="EW55" s="127"/>
      <c r="EX55" s="127"/>
      <c r="EY55" s="127"/>
      <c r="EZ55" s="127"/>
      <c r="FA55" s="127"/>
      <c r="FB55" s="176"/>
      <c r="FC55" s="50">
        <f>IF(AND($P$9=2,$P$21=1),EI55,IF(AND($P$9=2,$P$21=4),EJ55,IF(AND($P$9=2,$P$21=5),EK55,IF(AND($P$9=2,$P$21=11),EL55,IF(AND($P$9=2,$P$21=7),EM55,IF(AND($P$9=2,$P$21=3),EN55,IF(AND($P$9=2,$P$21=6),EO55,IF(AND($P$9=2,$P$21=9),EP55,IF(AND($P$9=2,$P$21=2),EQ55,IF(AND($P$9=2,$P$21=8),ER55,IF(AND($P$9=1,$P$21=1),ES55,IF(AND($P$9=1,$P$21=1),ES55,IF(AND($P$9=1,$P$21=4),ET55,IF(AND($P$9=1,$P$21=5),EU55,IF(AND($P$9=1,$P$21=11),EV55,IF(AND($P$9=1,$P$21=7),EW55,IF(AND($P$9=1,$P$21=3),EX55,IF(AND($P$9=1,$P$21=6),EY55,IF(AND($P$9=1,$P$21=9),EZ55,IF(AND($P$9=1,$P$21=2),FA55,0))))))))))))))))))))</f>
        <v>0</v>
      </c>
      <c r="HK55" s="126"/>
      <c r="IF55" s="126"/>
      <c r="JA55" s="126"/>
      <c r="JV55" s="126"/>
      <c r="KQ55" s="126"/>
      <c r="LL55" s="126"/>
      <c r="MG55" s="126"/>
      <c r="NB55" s="126"/>
      <c r="NW55" s="126"/>
      <c r="OR55" s="126"/>
      <c r="PM55" s="126"/>
      <c r="QH55" s="126"/>
      <c r="RC55" s="126"/>
    </row>
    <row r="56" spans="1:474" ht="32.1" customHeight="1">
      <c r="A56" s="98"/>
      <c r="B56" s="79" t="str">
        <f>VLOOKUP(878,Sprachindex!$A:$Z,Info!$O$7,FALSE)</f>
        <v>Stk.</v>
      </c>
      <c r="C56" s="78"/>
      <c r="D56" s="78">
        <f>IF($P$21=1,AH56,IF($P$21=4,AI56,IF($P$21=5,AJ56,IF($P$21=11,AK56,IF($P$21=7,AL56,IF($P$21=3,AM56,IF($P$21=6,AN56,IF($P$21=9,AO56,IF($P$21=2,AP56,IF($P$21=8,AQ56,0))))))))))</f>
        <v>0</v>
      </c>
      <c r="E56" s="561" t="str">
        <f>VLOOKUP(345,Sprachindex!$A:$Z,Info!$O$7,FALSE)</f>
        <v>Einzeltritt (inkl. zwei Fußteile)</v>
      </c>
      <c r="F56" s="562"/>
      <c r="G56" s="562"/>
      <c r="H56" s="562"/>
      <c r="I56" s="562"/>
      <c r="J56" s="562"/>
      <c r="K56" s="563"/>
      <c r="L56" s="79" t="str">
        <f t="shared" ref="L56:L95" si="8">IF(A56=0,"",IF($P$11=1,AD56,AE56))</f>
        <v/>
      </c>
      <c r="M56" s="433" t="str">
        <f t="shared" si="0"/>
        <v>Stk.</v>
      </c>
      <c r="N56" s="80"/>
      <c r="O56" s="202" t="str">
        <f t="shared" ref="O56:O101" si="9">IF(ISNUMBER(A56),$L56*R56, "")</f>
        <v/>
      </c>
      <c r="R56" s="200">
        <v>70.75</v>
      </c>
      <c r="S56" s="200"/>
      <c r="AD56" s="149">
        <f t="shared" si="7"/>
        <v>0</v>
      </c>
      <c r="AE56" s="149">
        <f t="shared" si="7"/>
        <v>0</v>
      </c>
      <c r="AH56" s="44">
        <v>120070</v>
      </c>
      <c r="AI56" s="44">
        <v>120071</v>
      </c>
      <c r="AJ56" s="44">
        <v>120072</v>
      </c>
      <c r="AK56" s="44">
        <v>120073</v>
      </c>
      <c r="AL56" s="44">
        <v>120074</v>
      </c>
      <c r="AM56" s="44">
        <v>120075</v>
      </c>
      <c r="AN56" s="44">
        <v>120076</v>
      </c>
      <c r="AO56" s="44">
        <v>120077</v>
      </c>
      <c r="AP56" s="44">
        <v>120078</v>
      </c>
      <c r="AQ56" s="44">
        <v>120079</v>
      </c>
    </row>
    <row r="57" spans="1:474" ht="32.1" customHeight="1">
      <c r="A57" s="98"/>
      <c r="B57" s="79" t="str">
        <f>VLOOKUP(878,Sprachindex!$A:$Z,Info!$O$7,FALSE)</f>
        <v>Stk.</v>
      </c>
      <c r="C57" s="78"/>
      <c r="D57" s="78">
        <f>IF($P$21=1,AH57,IF($P$21=4,AI57,IF($P$21=5,AJ57,IF($P$21=11,AK57,IF($P$21=7,AL57,IF($P$21=3,AM57,IF($P$21=6,AN57,IF($P$21=9,AO57,IF($P$21=2,AP57,IF($P$21=8,AQ57,0))))))))))</f>
        <v>0</v>
      </c>
      <c r="E57" s="561" t="str">
        <f>VLOOKUP(567,Sprachindex!$A:$Z,Info!$O$7,FALSE)</f>
        <v>Laufstegstütze auf einem Fußteil</v>
      </c>
      <c r="F57" s="562"/>
      <c r="G57" s="562"/>
      <c r="H57" s="562"/>
      <c r="I57" s="562"/>
      <c r="J57" s="562"/>
      <c r="K57" s="563"/>
      <c r="L57" s="79" t="str">
        <f t="shared" si="8"/>
        <v/>
      </c>
      <c r="M57" s="433" t="str">
        <f t="shared" si="0"/>
        <v>Stk.</v>
      </c>
      <c r="N57" s="80"/>
      <c r="O57" s="202" t="str">
        <f t="shared" si="9"/>
        <v/>
      </c>
      <c r="R57" s="200">
        <v>52.32</v>
      </c>
      <c r="S57" s="195"/>
      <c r="AD57" s="149">
        <f t="shared" si="7"/>
        <v>0</v>
      </c>
      <c r="AE57" s="149">
        <f t="shared" si="7"/>
        <v>0</v>
      </c>
      <c r="AH57" s="44">
        <v>120080</v>
      </c>
      <c r="AI57" s="44">
        <v>120081</v>
      </c>
      <c r="AJ57" s="44">
        <v>120082</v>
      </c>
      <c r="AK57" s="44">
        <v>120083</v>
      </c>
      <c r="AL57" s="44">
        <v>120084</v>
      </c>
      <c r="AM57" s="44">
        <v>120085</v>
      </c>
      <c r="AN57" s="44">
        <v>120086</v>
      </c>
      <c r="AO57" s="44">
        <v>120087</v>
      </c>
      <c r="AP57" s="44">
        <v>120088</v>
      </c>
      <c r="AQ57" s="44">
        <v>120089</v>
      </c>
    </row>
    <row r="58" spans="1:474" ht="32.1" customHeight="1">
      <c r="A58" s="98"/>
      <c r="B58" s="79" t="str">
        <f>VLOOKUP(878,Sprachindex!$A:$Z,Info!$O$7,FALSE)</f>
        <v>Stk.</v>
      </c>
      <c r="C58" s="78"/>
      <c r="D58" s="78">
        <v>649304</v>
      </c>
      <c r="E58" s="561" t="str">
        <f>VLOOKUP(568,Sprachindex!$A:$Z,Info!$O$7,FALSE)</f>
        <v>Laufstegstütze auf zwei Fußteilen</v>
      </c>
      <c r="F58" s="562"/>
      <c r="G58" s="562"/>
      <c r="H58" s="562"/>
      <c r="I58" s="562"/>
      <c r="J58" s="562"/>
      <c r="K58" s="563"/>
      <c r="L58" s="79" t="str">
        <f t="shared" si="8"/>
        <v/>
      </c>
      <c r="M58" s="433" t="str">
        <f t="shared" si="0"/>
        <v>Stk.</v>
      </c>
      <c r="N58" s="80"/>
      <c r="O58" s="202" t="str">
        <f t="shared" si="9"/>
        <v/>
      </c>
      <c r="R58" s="200">
        <v>74.13</v>
      </c>
      <c r="S58" s="195"/>
      <c r="AD58" s="149">
        <f t="shared" si="7"/>
        <v>0</v>
      </c>
      <c r="AE58" s="149">
        <f t="shared" si="7"/>
        <v>0</v>
      </c>
      <c r="AH58" s="44"/>
      <c r="AI58" s="44"/>
      <c r="AJ58" s="44"/>
      <c r="AK58" s="44"/>
      <c r="AL58" s="44"/>
      <c r="AM58" s="44"/>
      <c r="AN58" s="44"/>
      <c r="AO58" s="44"/>
      <c r="AP58" s="44"/>
      <c r="AQ58" s="44"/>
    </row>
    <row r="59" spans="1:474" ht="32.1" customHeight="1">
      <c r="A59" s="98"/>
      <c r="B59" s="79" t="str">
        <f>VLOOKUP(878,Sprachindex!$A:$Z,Info!$O$7,FALSE)</f>
        <v>Stk.</v>
      </c>
      <c r="C59" s="78"/>
      <c r="D59" s="78">
        <f>IF($P$21=1,AH59,IF($P$21=4,AI59,IF($P$21=5,AJ59,IF($P$21=11,AK59,IF($P$21=7,AL59,IF($P$21=3,AM59,IF($P$21=6,AN59,IF($P$21=9,AO59,IF($P$21=2,AP59,IF($P$21=8,AQ59,0))))))))))</f>
        <v>0</v>
      </c>
      <c r="E59" s="561" t="str">
        <f>VLOOKUP(560,Sprachindex!$A:$Z,Info!$O$7,FALSE)</f>
        <v>Laufsteg (250 × 1.200 mm)</v>
      </c>
      <c r="F59" s="562"/>
      <c r="G59" s="562"/>
      <c r="H59" s="562"/>
      <c r="I59" s="562"/>
      <c r="J59" s="562"/>
      <c r="K59" s="563"/>
      <c r="L59" s="79" t="str">
        <f t="shared" si="8"/>
        <v/>
      </c>
      <c r="M59" s="433" t="str">
        <f t="shared" si="0"/>
        <v>Stk.</v>
      </c>
      <c r="N59" s="80"/>
      <c r="O59" s="202" t="str">
        <f t="shared" si="9"/>
        <v/>
      </c>
      <c r="R59" s="200">
        <v>74.430000000000007</v>
      </c>
      <c r="S59" s="195"/>
      <c r="AD59" s="149">
        <f t="shared" si="7"/>
        <v>0</v>
      </c>
      <c r="AE59" s="149">
        <f t="shared" si="7"/>
        <v>0</v>
      </c>
      <c r="AH59" s="44">
        <v>120030</v>
      </c>
      <c r="AI59" s="44">
        <v>120031</v>
      </c>
      <c r="AJ59" s="44">
        <v>120032</v>
      </c>
      <c r="AK59" s="44">
        <v>120033</v>
      </c>
      <c r="AL59" s="44">
        <v>120034</v>
      </c>
      <c r="AM59" s="44">
        <v>120035</v>
      </c>
      <c r="AN59" s="44">
        <v>120036</v>
      </c>
      <c r="AO59" s="44">
        <v>120037</v>
      </c>
      <c r="AP59" s="44">
        <v>120038</v>
      </c>
      <c r="AQ59" s="44">
        <v>120039</v>
      </c>
    </row>
    <row r="60" spans="1:474" ht="32.1" customHeight="1">
      <c r="A60" s="98"/>
      <c r="B60" s="79" t="str">
        <f>VLOOKUP(878,Sprachindex!$A:$Z,Info!$O$7,FALSE)</f>
        <v>Stk.</v>
      </c>
      <c r="C60" s="78"/>
      <c r="D60" s="78">
        <f>IF($P$21=1,AH60,IF($P$21=4,AI60,IF($P$21=5,AJ60,IF($P$21=11,AK60,IF($P$21=7,AL60,IF($P$21=3,AM60,IF($P$21=6,AN60,IF($P$21=9,AO60,IF($P$21=2,AP60,IF($P$21=8,AQ60,0))))))))))</f>
        <v>0</v>
      </c>
      <c r="E60" s="561" t="str">
        <f>VLOOKUP(563,Sprachindex!$A:$Z,Info!$O$7,FALSE)</f>
        <v>Laufsteg (250 × 800 mm)</v>
      </c>
      <c r="F60" s="562"/>
      <c r="G60" s="562"/>
      <c r="H60" s="562"/>
      <c r="I60" s="562"/>
      <c r="J60" s="562"/>
      <c r="K60" s="563"/>
      <c r="L60" s="79" t="str">
        <f t="shared" si="8"/>
        <v/>
      </c>
      <c r="M60" s="433" t="str">
        <f t="shared" si="0"/>
        <v>Stk.</v>
      </c>
      <c r="N60" s="80"/>
      <c r="O60" s="202" t="str">
        <f t="shared" si="9"/>
        <v/>
      </c>
      <c r="R60" s="200">
        <v>54.95</v>
      </c>
      <c r="S60" s="195"/>
      <c r="AD60" s="149">
        <f t="shared" si="7"/>
        <v>0</v>
      </c>
      <c r="AE60" s="149">
        <f t="shared" si="7"/>
        <v>0</v>
      </c>
      <c r="AH60" s="44">
        <v>120020</v>
      </c>
      <c r="AI60" s="44">
        <v>120021</v>
      </c>
      <c r="AJ60" s="44">
        <v>120022</v>
      </c>
      <c r="AK60" s="44">
        <v>120023</v>
      </c>
      <c r="AL60" s="44">
        <v>120024</v>
      </c>
      <c r="AM60" s="44">
        <v>120025</v>
      </c>
      <c r="AN60" s="44">
        <v>120026</v>
      </c>
      <c r="AO60" s="44">
        <v>120027</v>
      </c>
      <c r="AP60" s="44">
        <v>120028</v>
      </c>
      <c r="AQ60" s="44">
        <v>121075</v>
      </c>
    </row>
    <row r="61" spans="1:474" ht="32.1" customHeight="1">
      <c r="A61" s="98"/>
      <c r="B61" s="79" t="str">
        <f>VLOOKUP(878,Sprachindex!$A:$Z,Info!$O$7,FALSE)</f>
        <v>Stk.</v>
      </c>
      <c r="C61" s="78"/>
      <c r="D61" s="78">
        <f>IF($P$21=1,AH61,IF($P$21=4,AI61,IF($P$21=5,AJ61,IF($P$21=11,AK61,IF($P$21=7,AL61,IF($P$21=3,AM61,IF($P$21=6,AN61,IF($P$21=9,AO61,IF($P$21=2,AP61,IF($P$21=8,AQ61,0))))))))))</f>
        <v>0</v>
      </c>
      <c r="E61" s="561" t="str">
        <f>VLOOKUP(562,Sprachindex!$A:$Z,Info!$O$7,FALSE)</f>
        <v>Laufsteg (250 × 600 mm)</v>
      </c>
      <c r="F61" s="562"/>
      <c r="G61" s="562"/>
      <c r="H61" s="562"/>
      <c r="I61" s="562"/>
      <c r="J61" s="562"/>
      <c r="K61" s="563"/>
      <c r="L61" s="79" t="str">
        <f t="shared" si="8"/>
        <v/>
      </c>
      <c r="M61" s="433" t="str">
        <f t="shared" si="0"/>
        <v>Stk.</v>
      </c>
      <c r="N61" s="80"/>
      <c r="O61" s="202" t="str">
        <f t="shared" si="9"/>
        <v/>
      </c>
      <c r="R61" s="200">
        <v>52.52</v>
      </c>
      <c r="S61" s="195"/>
      <c r="AD61" s="149">
        <f t="shared" si="7"/>
        <v>0</v>
      </c>
      <c r="AE61" s="149">
        <f t="shared" si="7"/>
        <v>0</v>
      </c>
      <c r="AH61" s="44">
        <v>120060</v>
      </c>
      <c r="AI61" s="44">
        <v>120061</v>
      </c>
      <c r="AJ61" s="44">
        <v>120062</v>
      </c>
      <c r="AK61" s="44">
        <v>120063</v>
      </c>
      <c r="AL61" s="44">
        <v>120064</v>
      </c>
      <c r="AM61" s="44">
        <v>120065</v>
      </c>
      <c r="AN61" s="44">
        <v>120066</v>
      </c>
      <c r="AO61" s="44">
        <v>120067</v>
      </c>
      <c r="AP61" s="44">
        <v>120068</v>
      </c>
      <c r="AQ61" s="44">
        <v>120069</v>
      </c>
    </row>
    <row r="62" spans="1:474" ht="32.1" customHeight="1">
      <c r="A62" s="98"/>
      <c r="B62" s="79" t="str">
        <f>VLOOKUP(878,Sprachindex!$A:$Z,Info!$O$7,FALSE)</f>
        <v>Stk.</v>
      </c>
      <c r="C62" s="78"/>
      <c r="D62" s="78">
        <f>IF($P$21=1,AH62,IF($P$21=4,AI62,IF($P$21=5,AJ62,IF($P$21=11,AK62,IF($P$21=7,AL62,IF($P$21=3,AM62,IF($P$21=6,AN62,IF($P$21=9,AO62,IF($P$21=2,AP62,IF($P$21=8,AQ62,0))))))))))</f>
        <v>0</v>
      </c>
      <c r="E62" s="561" t="str">
        <f>VLOOKUP(561,Sprachindex!$A:$Z,Info!$O$7,FALSE)</f>
        <v>Laufsteg (250 × 420 mm)</v>
      </c>
      <c r="F62" s="562"/>
      <c r="G62" s="562"/>
      <c r="H62" s="562"/>
      <c r="I62" s="562"/>
      <c r="J62" s="562"/>
      <c r="K62" s="563"/>
      <c r="L62" s="79" t="str">
        <f t="shared" si="8"/>
        <v/>
      </c>
      <c r="M62" s="433" t="str">
        <f t="shared" si="0"/>
        <v>Stk.</v>
      </c>
      <c r="N62" s="80"/>
      <c r="O62" s="202" t="str">
        <f t="shared" si="9"/>
        <v/>
      </c>
      <c r="R62" s="200">
        <v>38.97</v>
      </c>
      <c r="S62" s="195"/>
      <c r="AD62" s="149">
        <f>ROUNDUP($A62/4,0)*4</f>
        <v>0</v>
      </c>
      <c r="AE62" s="149">
        <f t="shared" ref="AE62:AE79" si="10">ROUNDUP($A62,0)</f>
        <v>0</v>
      </c>
      <c r="AH62" s="44">
        <v>120010</v>
      </c>
      <c r="AI62" s="44">
        <v>120011</v>
      </c>
      <c r="AJ62" s="44">
        <v>120012</v>
      </c>
      <c r="AK62" s="44">
        <v>120013</v>
      </c>
      <c r="AL62" s="44">
        <v>120014</v>
      </c>
      <c r="AM62" s="44">
        <v>120015</v>
      </c>
      <c r="AN62" s="44">
        <v>120016</v>
      </c>
      <c r="AO62" s="44">
        <v>120017</v>
      </c>
      <c r="AP62" s="44">
        <v>120018</v>
      </c>
      <c r="AQ62" s="44">
        <v>120019</v>
      </c>
    </row>
    <row r="63" spans="1:474" ht="32.1" customHeight="1">
      <c r="A63" s="98"/>
      <c r="B63" s="79" t="str">
        <f>VLOOKUP(878,Sprachindex!$A:$Z,Info!$O$7,FALSE)</f>
        <v>Stk.</v>
      </c>
      <c r="C63" s="78"/>
      <c r="D63" s="78">
        <v>649305</v>
      </c>
      <c r="E63" s="561" t="str">
        <f>VLOOKUP(565,Sprachindex!$A:$Z,Info!$O$7,FALSE)</f>
        <v>Laufsteg (360 × 800 mm)</v>
      </c>
      <c r="F63" s="562"/>
      <c r="G63" s="562"/>
      <c r="H63" s="562"/>
      <c r="I63" s="562"/>
      <c r="J63" s="562"/>
      <c r="K63" s="563"/>
      <c r="L63" s="79" t="str">
        <f t="shared" si="8"/>
        <v/>
      </c>
      <c r="M63" s="433" t="str">
        <f t="shared" si="0"/>
        <v>Stk.</v>
      </c>
      <c r="N63" s="80"/>
      <c r="O63" s="202" t="str">
        <f t="shared" si="9"/>
        <v/>
      </c>
      <c r="R63" s="200">
        <v>80.81</v>
      </c>
      <c r="S63" s="195"/>
      <c r="AD63" s="149">
        <f>ROUNDUP($A63,0)</f>
        <v>0</v>
      </c>
      <c r="AE63" s="149">
        <f t="shared" si="10"/>
        <v>0</v>
      </c>
      <c r="AH63" s="44"/>
      <c r="AI63" s="44"/>
      <c r="AJ63" s="44"/>
      <c r="AK63" s="44"/>
      <c r="AL63" s="44"/>
      <c r="AM63" s="44"/>
      <c r="AN63" s="44"/>
      <c r="AO63" s="44"/>
      <c r="AP63" s="44"/>
      <c r="AQ63" s="44"/>
    </row>
    <row r="64" spans="1:474" ht="32.1" customHeight="1">
      <c r="A64" s="98"/>
      <c r="B64" s="79" t="str">
        <f>VLOOKUP(878,Sprachindex!$A:$Z,Info!$O$7,FALSE)</f>
        <v>Stk.</v>
      </c>
      <c r="C64" s="78"/>
      <c r="D64" s="78">
        <v>649306</v>
      </c>
      <c r="E64" s="561" t="str">
        <f>VLOOKUP(564,Sprachindex!$A:$Z,Info!$O$7,FALSE)</f>
        <v>Laufsteg (360 × 1.200 mm)</v>
      </c>
      <c r="F64" s="562"/>
      <c r="G64" s="562"/>
      <c r="H64" s="562"/>
      <c r="I64" s="562"/>
      <c r="J64" s="562"/>
      <c r="K64" s="563"/>
      <c r="L64" s="79" t="str">
        <f t="shared" si="8"/>
        <v/>
      </c>
      <c r="M64" s="433" t="str">
        <f t="shared" si="0"/>
        <v>Stk.</v>
      </c>
      <c r="N64" s="80"/>
      <c r="O64" s="202" t="str">
        <f t="shared" si="9"/>
        <v/>
      </c>
      <c r="R64" s="200">
        <v>119.7</v>
      </c>
      <c r="S64" s="195"/>
      <c r="AD64" s="149">
        <f>ROUNDUP($A64,0)</f>
        <v>0</v>
      </c>
      <c r="AE64" s="149">
        <f t="shared" si="10"/>
        <v>0</v>
      </c>
      <c r="AH64" s="44"/>
      <c r="AI64" s="44"/>
      <c r="AJ64" s="44"/>
      <c r="AK64" s="44"/>
      <c r="AL64" s="44"/>
      <c r="AM64" s="44"/>
      <c r="AN64" s="44"/>
      <c r="AO64" s="44"/>
      <c r="AP64" s="44"/>
      <c r="AQ64" s="44"/>
    </row>
    <row r="65" spans="1:55" ht="32.1" customHeight="1">
      <c r="A65" s="98"/>
      <c r="B65" s="79" t="str">
        <f>VLOOKUP(878,Sprachindex!$A:$Z,Info!$O$7,FALSE)</f>
        <v>Stk.</v>
      </c>
      <c r="C65" s="78"/>
      <c r="D65" s="83">
        <v>649001</v>
      </c>
      <c r="E65" s="561" t="str">
        <f>VLOOKUP(955,Sprachindex!$A:$Z,Info!$O$7,FALSE)</f>
        <v>Verbinder (verzinkt; für Laufsteg; Breite: 250 mm)</v>
      </c>
      <c r="F65" s="562"/>
      <c r="G65" s="562"/>
      <c r="H65" s="562"/>
      <c r="I65" s="562"/>
      <c r="J65" s="562"/>
      <c r="K65" s="563"/>
      <c r="L65" s="79" t="str">
        <f t="shared" si="8"/>
        <v/>
      </c>
      <c r="M65" s="433" t="str">
        <f t="shared" si="0"/>
        <v>Stk.</v>
      </c>
      <c r="N65" s="80"/>
      <c r="O65" s="202" t="str">
        <f t="shared" si="9"/>
        <v/>
      </c>
      <c r="R65" s="200">
        <v>24.02</v>
      </c>
      <c r="S65" s="195"/>
      <c r="AD65" s="149">
        <f>ROUNDUP($A65,0)</f>
        <v>0</v>
      </c>
      <c r="AE65" s="149">
        <f t="shared" si="10"/>
        <v>0</v>
      </c>
      <c r="AH65" s="47" t="s">
        <v>33</v>
      </c>
      <c r="AI65" s="47" t="s">
        <v>34</v>
      </c>
      <c r="AJ65" s="47" t="s">
        <v>35</v>
      </c>
      <c r="AK65" s="47" t="s">
        <v>36</v>
      </c>
      <c r="AL65" s="47" t="s">
        <v>37</v>
      </c>
      <c r="AM65" s="47" t="s">
        <v>38</v>
      </c>
      <c r="AN65" s="47" t="s">
        <v>39</v>
      </c>
      <c r="AO65" s="47" t="s">
        <v>40</v>
      </c>
      <c r="AP65" s="47" t="s">
        <v>41</v>
      </c>
      <c r="AQ65" s="47" t="s">
        <v>42</v>
      </c>
      <c r="AR65" s="47" t="s">
        <v>33</v>
      </c>
      <c r="AS65" s="47" t="s">
        <v>34</v>
      </c>
      <c r="AT65" s="47" t="s">
        <v>35</v>
      </c>
      <c r="AU65" s="47" t="s">
        <v>36</v>
      </c>
      <c r="AV65" s="47" t="s">
        <v>37</v>
      </c>
      <c r="AW65" s="47" t="s">
        <v>38</v>
      </c>
      <c r="AX65" s="47" t="s">
        <v>39</v>
      </c>
      <c r="AY65" s="47" t="s">
        <v>40</v>
      </c>
      <c r="AZ65" s="47" t="s">
        <v>41</v>
      </c>
      <c r="BA65" s="47" t="s">
        <v>42</v>
      </c>
    </row>
    <row r="66" spans="1:55" ht="32.1" customHeight="1">
      <c r="A66" s="98"/>
      <c r="B66" s="79" t="str">
        <f>VLOOKUP(878,Sprachindex!$A:$Z,Info!$O$7,FALSE)</f>
        <v>Stk.</v>
      </c>
      <c r="C66" s="78"/>
      <c r="D66" s="83">
        <v>649008</v>
      </c>
      <c r="E66" s="561" t="str">
        <f>VLOOKUP(956,Sprachindex!$A:$Z,Info!$O$7,FALSE)</f>
        <v>Verbinder (verzinkt; für Laufsteg; Breite: 360 mm)</v>
      </c>
      <c r="F66" s="562"/>
      <c r="G66" s="562"/>
      <c r="H66" s="562"/>
      <c r="I66" s="562"/>
      <c r="J66" s="562"/>
      <c r="K66" s="563"/>
      <c r="L66" s="79" t="str">
        <f t="shared" si="8"/>
        <v/>
      </c>
      <c r="M66" s="433" t="str">
        <f t="shared" si="0"/>
        <v>Stk.</v>
      </c>
      <c r="N66" s="80"/>
      <c r="O66" s="202" t="str">
        <f t="shared" si="9"/>
        <v/>
      </c>
      <c r="R66" s="200">
        <v>53.07</v>
      </c>
      <c r="S66" s="195"/>
      <c r="AD66" s="149">
        <f>ROUNDUP($A66,0)</f>
        <v>0</v>
      </c>
      <c r="AE66" s="149">
        <f t="shared" si="10"/>
        <v>0</v>
      </c>
      <c r="AH66" s="47" t="s">
        <v>33</v>
      </c>
      <c r="AI66" s="47" t="s">
        <v>34</v>
      </c>
      <c r="AJ66" s="47" t="s">
        <v>35</v>
      </c>
      <c r="AK66" s="47" t="s">
        <v>36</v>
      </c>
      <c r="AL66" s="47" t="s">
        <v>37</v>
      </c>
      <c r="AM66" s="47" t="s">
        <v>38</v>
      </c>
      <c r="AN66" s="47" t="s">
        <v>39</v>
      </c>
      <c r="AO66" s="47" t="s">
        <v>40</v>
      </c>
      <c r="AP66" s="47" t="s">
        <v>41</v>
      </c>
      <c r="AQ66" s="47" t="s">
        <v>42</v>
      </c>
      <c r="AR66" s="47" t="s">
        <v>33</v>
      </c>
      <c r="AS66" s="47" t="s">
        <v>34</v>
      </c>
      <c r="AT66" s="47" t="s">
        <v>35</v>
      </c>
      <c r="AU66" s="47" t="s">
        <v>36</v>
      </c>
      <c r="AV66" s="47" t="s">
        <v>37</v>
      </c>
      <c r="AW66" s="47" t="s">
        <v>38</v>
      </c>
      <c r="AX66" s="47" t="s">
        <v>39</v>
      </c>
      <c r="AY66" s="47" t="s">
        <v>40</v>
      </c>
      <c r="AZ66" s="47" t="s">
        <v>41</v>
      </c>
      <c r="BA66" s="47" t="s">
        <v>42</v>
      </c>
    </row>
    <row r="67" spans="1:55" ht="32.1" customHeight="1">
      <c r="A67" s="98"/>
      <c r="B67" s="79" t="str">
        <f>VLOOKUP(878,Sprachindex!$A:$Z,Info!$O$7,FALSE)</f>
        <v>Stk.</v>
      </c>
      <c r="C67" s="81"/>
      <c r="D67" s="83">
        <v>635661</v>
      </c>
      <c r="E67" s="561" t="str">
        <f>VLOOKUP(277,Sprachindex!$A:$Z,Info!$O$7,FALSE)</f>
        <v>Sicherheitsdachhaken auf Fußteilen</v>
      </c>
      <c r="F67" s="562"/>
      <c r="G67" s="562"/>
      <c r="H67" s="562"/>
      <c r="I67" s="562"/>
      <c r="J67" s="562"/>
      <c r="K67" s="563"/>
      <c r="L67" s="79" t="str">
        <f t="shared" si="8"/>
        <v/>
      </c>
      <c r="M67" s="433" t="str">
        <f t="shared" si="0"/>
        <v>Stk.</v>
      </c>
      <c r="N67" s="80"/>
      <c r="O67" s="202" t="str">
        <f t="shared" si="9"/>
        <v/>
      </c>
      <c r="R67" s="200">
        <v>119.8</v>
      </c>
      <c r="S67" s="195"/>
      <c r="AD67" s="149">
        <f>ROUNDUP($A67,0)</f>
        <v>0</v>
      </c>
      <c r="AE67" s="149">
        <f t="shared" si="10"/>
        <v>0</v>
      </c>
    </row>
    <row r="68" spans="1:55" ht="32.1" customHeight="1">
      <c r="A68" s="98"/>
      <c r="B68" s="79" t="str">
        <f>VLOOKUP(878,Sprachindex!$A:$Z,Info!$O$7,FALSE)</f>
        <v>Stk.</v>
      </c>
      <c r="C68" s="81"/>
      <c r="D68" s="78">
        <f>IF($P$21=1,AH68,IF($P$21=4,AI68,IF($P$21=5,AJ68,IF($P$21=11,AK68,IF($P$21=7,AL68,IF($P$21=3,AM68,IF($P$21=6,AN68,IF($P$21=9,AO68,IF($P$21=2,AP68,IF($P$21=8,AQ68,0))))))))))</f>
        <v>0</v>
      </c>
      <c r="E68" s="561" t="str">
        <f>VLOOKUP(822,Sprachindex!$A:$Z,Info!$O$7,FALSE)</f>
        <v>Sicherheitsdachhaken</v>
      </c>
      <c r="F68" s="562"/>
      <c r="G68" s="562"/>
      <c r="H68" s="562"/>
      <c r="I68" s="562"/>
      <c r="J68" s="562"/>
      <c r="K68" s="563"/>
      <c r="L68" s="79" t="str">
        <f t="shared" si="8"/>
        <v/>
      </c>
      <c r="M68" s="433" t="str">
        <f t="shared" si="0"/>
        <v>Stk.</v>
      </c>
      <c r="N68" s="80"/>
      <c r="O68" s="202" t="str">
        <f t="shared" si="9"/>
        <v/>
      </c>
      <c r="R68" s="200">
        <v>31.53</v>
      </c>
      <c r="S68" s="195"/>
      <c r="AD68" s="149">
        <f>ROUNDUP($A68/12,0)*12</f>
        <v>0</v>
      </c>
      <c r="AE68" s="149">
        <f t="shared" si="10"/>
        <v>0</v>
      </c>
      <c r="AH68" s="44">
        <v>120000</v>
      </c>
      <c r="AI68" s="44">
        <v>120001</v>
      </c>
      <c r="AJ68" s="44">
        <v>120002</v>
      </c>
      <c r="AK68" s="44">
        <v>120003</v>
      </c>
      <c r="AL68" s="44">
        <v>120004</v>
      </c>
      <c r="AM68" s="44">
        <v>120005</v>
      </c>
      <c r="AN68" s="44">
        <v>120006</v>
      </c>
      <c r="AO68" s="44">
        <v>120007</v>
      </c>
      <c r="AP68" s="44">
        <v>120008</v>
      </c>
      <c r="AQ68" s="44">
        <v>120009</v>
      </c>
    </row>
    <row r="69" spans="1:55" ht="32.1" customHeight="1">
      <c r="A69" s="98"/>
      <c r="B69" s="79" t="str">
        <f>VLOOKUP(878,Sprachindex!$A:$Z,Info!$O$7,FALSE)</f>
        <v>Stk.</v>
      </c>
      <c r="C69" s="81"/>
      <c r="D69" s="78">
        <f>IF($P$9=1,BC69,BB69)</f>
        <v>0</v>
      </c>
      <c r="E69" s="561" t="str">
        <f>IF($P$9=1,VLOOKUP(2946,Sprachindex!$A:$Z,Info!$O$7,FALSE),VLOOKUP(325,Sprachindex!$A:$Z,Info!$O$7,FALSE))</f>
        <v>Einfassungsplatte für Dachplatte R.16 und FX.12; glatt; ⌀ 80–125 mm</v>
      </c>
      <c r="F69" s="562"/>
      <c r="G69" s="562"/>
      <c r="H69" s="562"/>
      <c r="I69" s="562"/>
      <c r="J69" s="562"/>
      <c r="K69" s="563"/>
      <c r="L69" s="79" t="str">
        <f t="shared" si="8"/>
        <v/>
      </c>
      <c r="M69" s="433" t="str">
        <f t="shared" si="0"/>
        <v>Stk.</v>
      </c>
      <c r="N69" s="80"/>
      <c r="O69" s="202" t="str">
        <f t="shared" si="9"/>
        <v/>
      </c>
      <c r="R69" s="200">
        <v>118</v>
      </c>
      <c r="S69" s="195"/>
      <c r="AD69" s="149">
        <f>ROUNDUP($A69,0)</f>
        <v>0</v>
      </c>
      <c r="AE69" s="149">
        <f t="shared" si="10"/>
        <v>0</v>
      </c>
      <c r="AH69" s="470">
        <v>112061</v>
      </c>
      <c r="AI69" s="470">
        <v>112062</v>
      </c>
      <c r="AJ69" s="470">
        <v>112063</v>
      </c>
      <c r="AK69" s="470">
        <v>112064</v>
      </c>
      <c r="AL69" s="470">
        <v>112065</v>
      </c>
      <c r="AM69" s="470">
        <v>112066</v>
      </c>
      <c r="AN69" s="470">
        <v>112068</v>
      </c>
      <c r="AO69" s="470">
        <v>112067</v>
      </c>
      <c r="AP69" s="470">
        <v>112069</v>
      </c>
      <c r="AQ69" s="470">
        <v>112070</v>
      </c>
      <c r="AR69" s="469">
        <v>112860</v>
      </c>
      <c r="AS69" s="469">
        <v>112861</v>
      </c>
      <c r="AT69" s="469">
        <v>112862</v>
      </c>
      <c r="AU69" s="469">
        <v>112863</v>
      </c>
      <c r="AV69" s="469">
        <v>112864</v>
      </c>
      <c r="AW69" s="469">
        <v>112865</v>
      </c>
      <c r="AX69" s="469">
        <v>112866</v>
      </c>
      <c r="AY69" s="469">
        <v>112867</v>
      </c>
      <c r="AZ69" s="469">
        <v>112868</v>
      </c>
      <c r="BA69" s="469">
        <v>112869</v>
      </c>
      <c r="BB69" s="468">
        <f t="shared" ref="BB69:BB70" si="11">IF($P$21=1,AH69,IF($P$21=4,AI69,IF($P$21=5,AJ69,IF($P$21=11,AK69,IF($P$21=7,AL69,IF($P$21=3,AM69,IF($P$21=6,AN69,IF($P$21=9,AO69,IF($P$21=2,AP69,IF($P$21=8,AQ69,0))))))))))</f>
        <v>0</v>
      </c>
      <c r="BC69" s="468">
        <f t="shared" ref="BC69:BC70" si="12">IF($P$21=1,AR69,IF($P$21=4,AS69,IF($P$21=5,AT69,IF($P$21=11,AU69,IF($P$21=7,AV69,IF($P$21=3,AW69,IF($P$21=6,AX69,IF($P$21=9,AY69,IF($P$21=2,AZ69,IF($P$21=8,BA69,0))))))))))</f>
        <v>0</v>
      </c>
    </row>
    <row r="70" spans="1:55" ht="32.1" customHeight="1">
      <c r="A70" s="98"/>
      <c r="B70" s="79" t="str">
        <f>VLOOKUP(878,Sprachindex!$A:$Z,Info!$O$7,FALSE)</f>
        <v>Stk.</v>
      </c>
      <c r="C70" s="81"/>
      <c r="D70" s="78">
        <f>IF($P$9=1,BC70,BB70)</f>
        <v>0</v>
      </c>
      <c r="E70" s="561" t="str">
        <f>IF($P$9=1,VLOOKUP(2942,Sprachindex!$A:$Z,Info!$O$7,FALSE),VLOOKUP(1419,Sprachindex!$A:$Z,Info!$O$7,FALSE))</f>
        <v>Einfassungsplatte, zum Einfalzen; glatt</v>
      </c>
      <c r="F70" s="562"/>
      <c r="G70" s="562"/>
      <c r="H70" s="562"/>
      <c r="I70" s="562"/>
      <c r="J70" s="562"/>
      <c r="K70" s="563"/>
      <c r="L70" s="79" t="str">
        <f t="shared" si="8"/>
        <v/>
      </c>
      <c r="M70" s="433" t="str">
        <f t="shared" si="0"/>
        <v>Stk.</v>
      </c>
      <c r="N70" s="80"/>
      <c r="O70" s="202" t="str">
        <f t="shared" si="9"/>
        <v/>
      </c>
      <c r="R70" s="200">
        <v>112</v>
      </c>
      <c r="S70" s="195"/>
      <c r="AD70" s="149">
        <f>ROUNDUP($A70/5,0)*5</f>
        <v>0</v>
      </c>
      <c r="AE70" s="149">
        <f t="shared" si="10"/>
        <v>0</v>
      </c>
      <c r="AH70" s="470">
        <v>110230</v>
      </c>
      <c r="AI70" s="470">
        <v>110231</v>
      </c>
      <c r="AJ70" s="470">
        <v>110232</v>
      </c>
      <c r="AK70" s="470">
        <v>110233</v>
      </c>
      <c r="AL70" s="470">
        <v>110234</v>
      </c>
      <c r="AM70" s="470">
        <v>110235</v>
      </c>
      <c r="AN70" s="470">
        <v>110236</v>
      </c>
      <c r="AO70" s="470">
        <v>110237</v>
      </c>
      <c r="AP70" s="470">
        <v>110238</v>
      </c>
      <c r="AQ70" s="470">
        <v>110239</v>
      </c>
      <c r="AR70" s="469">
        <v>112880</v>
      </c>
      <c r="AS70" s="469">
        <v>112881</v>
      </c>
      <c r="AT70" s="469">
        <v>112882</v>
      </c>
      <c r="AU70" s="469">
        <v>112883</v>
      </c>
      <c r="AV70" s="469">
        <v>112884</v>
      </c>
      <c r="AW70" s="469">
        <v>112885</v>
      </c>
      <c r="AX70" s="469">
        <v>112886</v>
      </c>
      <c r="AY70" s="469">
        <v>112887</v>
      </c>
      <c r="AZ70" s="469">
        <v>112888</v>
      </c>
      <c r="BA70" s="469">
        <v>112889</v>
      </c>
      <c r="BB70" s="468">
        <f t="shared" si="11"/>
        <v>0</v>
      </c>
      <c r="BC70" s="468">
        <f t="shared" si="12"/>
        <v>0</v>
      </c>
    </row>
    <row r="71" spans="1:55" ht="32.1" customHeight="1">
      <c r="A71" s="98"/>
      <c r="B71" s="79" t="str">
        <f>VLOOKUP(878,Sprachindex!$A:$Z,Info!$O$7,FALSE)</f>
        <v>Stk.</v>
      </c>
      <c r="C71" s="81"/>
      <c r="D71" s="78">
        <f>IF($P$21=1,AH71,IF($P$21=4,AI71,IF($P$21=5,AJ71,IF($P$21=11,AK71,IF($P$21=7,AL71,IF($P$21=3,AM71,IF($P$21=6,AN71,IF($P$21=9,AO71,IF($P$21=2,AP71,IF($P$21=8,AQ71,0))))))))))</f>
        <v>0</v>
      </c>
      <c r="E71" s="561" t="str">
        <f>VLOOKUP(926,Sprachindex!$A:$Z,Info!$O$7,FALSE)</f>
        <v>Universaleinfassung (2-teilig); glatt; ⌀ 40–120 mm</v>
      </c>
      <c r="F71" s="562"/>
      <c r="G71" s="562"/>
      <c r="H71" s="562"/>
      <c r="I71" s="562"/>
      <c r="J71" s="562"/>
      <c r="K71" s="563"/>
      <c r="L71" s="79" t="str">
        <f t="shared" si="8"/>
        <v/>
      </c>
      <c r="M71" s="433" t="str">
        <f t="shared" si="0"/>
        <v>Stk.</v>
      </c>
      <c r="N71" s="80"/>
      <c r="O71" s="202" t="str">
        <f t="shared" si="9"/>
        <v/>
      </c>
      <c r="R71" s="200">
        <v>115.3</v>
      </c>
      <c r="S71" s="195"/>
      <c r="AD71" s="149">
        <f>ROUNDUP($A71,0)</f>
        <v>0</v>
      </c>
      <c r="AE71" s="149">
        <f t="shared" si="10"/>
        <v>0</v>
      </c>
      <c r="AH71" s="44">
        <v>110240</v>
      </c>
      <c r="AI71" s="44">
        <v>110241</v>
      </c>
      <c r="AJ71" s="44">
        <v>110242</v>
      </c>
      <c r="AK71" s="44">
        <v>110243</v>
      </c>
      <c r="AL71" s="44">
        <v>110244</v>
      </c>
      <c r="AM71" s="44">
        <v>110245</v>
      </c>
      <c r="AN71" s="44">
        <v>110246</v>
      </c>
      <c r="AO71" s="44">
        <v>110247</v>
      </c>
      <c r="AP71" s="44">
        <v>110248</v>
      </c>
      <c r="AQ71" s="44">
        <v>110249</v>
      </c>
    </row>
    <row r="72" spans="1:55" ht="32.1" customHeight="1">
      <c r="A72" s="98"/>
      <c r="B72" s="79" t="str">
        <f>VLOOKUP(878,Sprachindex!$A:$Z,Info!$O$7,FALSE)</f>
        <v>Stk.</v>
      </c>
      <c r="C72" s="81"/>
      <c r="D72" s="78">
        <f>IF($P$21=1,AH72,IF($P$21=4,AI72,IF($P$21=5,AJ72,IF($P$21=11,AK72,IF($P$21=7,AL72,IF($P$21=3,AM72,IF($P$21=6,AN72,IF($P$21=9,AO72,IF($P$21=2,AP72,IF($P$21=8,AQ72,0))))))))))</f>
        <v>0</v>
      </c>
      <c r="E72" s="561" t="str">
        <f>VLOOKUP(364,Sprachindex!$A:$Z,Info!$O$7,FALSE)</f>
        <v>Entlüftungshaube (⌀ 100; glatt)</v>
      </c>
      <c r="F72" s="562"/>
      <c r="G72" s="562"/>
      <c r="H72" s="562"/>
      <c r="I72" s="562"/>
      <c r="J72" s="562"/>
      <c r="K72" s="563"/>
      <c r="L72" s="79" t="str">
        <f t="shared" si="8"/>
        <v/>
      </c>
      <c r="M72" s="433" t="str">
        <f t="shared" si="0"/>
        <v>Stk.</v>
      </c>
      <c r="N72" s="80"/>
      <c r="O72" s="202" t="str">
        <f t="shared" si="9"/>
        <v/>
      </c>
      <c r="R72" s="200">
        <v>186.5</v>
      </c>
      <c r="S72" s="195"/>
      <c r="AD72" s="149">
        <f>ROUNDUP($A72,0)</f>
        <v>0</v>
      </c>
      <c r="AE72" s="149">
        <f t="shared" si="10"/>
        <v>0</v>
      </c>
      <c r="AH72" s="44">
        <v>110280</v>
      </c>
      <c r="AI72" s="44">
        <v>110281</v>
      </c>
      <c r="AJ72" s="44">
        <v>110282</v>
      </c>
      <c r="AK72" s="44">
        <v>110283</v>
      </c>
      <c r="AL72" s="44">
        <v>110284</v>
      </c>
      <c r="AM72" s="44">
        <v>110285</v>
      </c>
      <c r="AN72" s="44">
        <v>110286</v>
      </c>
      <c r="AO72" s="44">
        <v>110287</v>
      </c>
      <c r="AP72" s="44">
        <v>110288</v>
      </c>
      <c r="AQ72" s="44">
        <v>110289</v>
      </c>
    </row>
    <row r="73" spans="1:55" ht="32.1" customHeight="1">
      <c r="A73" s="98"/>
      <c r="B73" s="79" t="str">
        <f>VLOOKUP(878,Sprachindex!$A:$Z,Info!$O$7,FALSE)</f>
        <v>Stk.</v>
      </c>
      <c r="C73" s="81"/>
      <c r="D73" s="78">
        <f>IF($P$21=1,AH73,IF($P$21=4,AI73,IF($P$21=5,AJ73,IF($P$21=11,AK73,IF($P$21=7,AL73,IF($P$21=3,AM73,IF($P$21=6,AN73,IF($P$21=9,AO73,IF($P$21=2,AP73,IF($P$21=8,AQ73,0))))))))))</f>
        <v>0</v>
      </c>
      <c r="E73" s="561" t="str">
        <f>VLOOKUP(366,Sprachindex!$A:$Z,Info!$O$7,FALSE)</f>
        <v>Entlüftungsrohr (⌀ 100; passend für HT-Rohr [NW 110])</v>
      </c>
      <c r="F73" s="562"/>
      <c r="G73" s="562"/>
      <c r="H73" s="562"/>
      <c r="I73" s="562"/>
      <c r="J73" s="562"/>
      <c r="K73" s="563"/>
      <c r="L73" s="79" t="str">
        <f t="shared" si="8"/>
        <v/>
      </c>
      <c r="M73" s="433" t="str">
        <f t="shared" si="0"/>
        <v>Stk.</v>
      </c>
      <c r="N73" s="80"/>
      <c r="O73" s="202" t="str">
        <f t="shared" si="9"/>
        <v/>
      </c>
      <c r="R73" s="200">
        <v>76.77</v>
      </c>
      <c r="S73" s="195"/>
      <c r="AD73" s="149">
        <f>ROUNDUP($A73,0)</f>
        <v>0</v>
      </c>
      <c r="AE73" s="149">
        <f t="shared" si="10"/>
        <v>0</v>
      </c>
      <c r="AH73" s="44">
        <v>110200</v>
      </c>
      <c r="AI73" s="44">
        <v>110201</v>
      </c>
      <c r="AJ73" s="44">
        <v>110202</v>
      </c>
      <c r="AK73" s="44">
        <v>110203</v>
      </c>
      <c r="AL73" s="44">
        <v>110204</v>
      </c>
      <c r="AM73" s="44">
        <v>110205</v>
      </c>
      <c r="AN73" s="44">
        <v>110206</v>
      </c>
      <c r="AO73" s="44">
        <v>110207</v>
      </c>
      <c r="AP73" s="44">
        <v>110208</v>
      </c>
      <c r="AQ73" s="44">
        <v>121015</v>
      </c>
    </row>
    <row r="74" spans="1:55" ht="32.1" customHeight="1">
      <c r="A74" s="98"/>
      <c r="B74" s="79" t="str">
        <f>VLOOKUP(878,Sprachindex!$A:$Z,Info!$O$7,FALSE)</f>
        <v>Stk.</v>
      </c>
      <c r="C74" s="81"/>
      <c r="D74" s="78">
        <f>IF($P$21=1,AH74,IF($P$21=4,AI74,IF($P$21=5,AJ74,IF($P$21=11,AK74,IF($P$21=7,AL74,IF($P$21=3,AM74,IF($P$21=6,AN74,IF($P$21=9,AO74,IF($P$21=2,AP74,IF($P$21=8,AQ74,0))))))))))</f>
        <v>0</v>
      </c>
      <c r="E74" s="561" t="str">
        <f>VLOOKUP(368,Sprachindex!$A:$Z,Info!$O$7,FALSE)</f>
        <v>Entlüftungsrohr (⌀ 120; passend für HT-Rohr [NW 125])</v>
      </c>
      <c r="F74" s="562"/>
      <c r="G74" s="562"/>
      <c r="H74" s="562"/>
      <c r="I74" s="562"/>
      <c r="J74" s="562"/>
      <c r="K74" s="563"/>
      <c r="L74" s="79" t="str">
        <f t="shared" si="8"/>
        <v/>
      </c>
      <c r="M74" s="433" t="str">
        <f t="shared" si="0"/>
        <v>Stk.</v>
      </c>
      <c r="N74" s="80"/>
      <c r="O74" s="202" t="str">
        <f t="shared" si="9"/>
        <v/>
      </c>
      <c r="R74" s="200">
        <v>81.41</v>
      </c>
      <c r="S74" s="195"/>
      <c r="AD74" s="149">
        <f>ROUNDUP($A74,0)</f>
        <v>0</v>
      </c>
      <c r="AE74" s="149">
        <f t="shared" si="10"/>
        <v>0</v>
      </c>
      <c r="AH74" s="44">
        <v>110210</v>
      </c>
      <c r="AI74" s="44">
        <v>110211</v>
      </c>
      <c r="AJ74" s="44">
        <v>110212</v>
      </c>
      <c r="AK74" s="44">
        <v>110213</v>
      </c>
      <c r="AL74" s="44">
        <v>110214</v>
      </c>
      <c r="AM74" s="44">
        <v>110215</v>
      </c>
      <c r="AN74" s="44">
        <v>110216</v>
      </c>
      <c r="AO74" s="44">
        <v>110217</v>
      </c>
      <c r="AP74" s="44">
        <v>110218</v>
      </c>
      <c r="AQ74" s="44">
        <v>121025</v>
      </c>
    </row>
    <row r="75" spans="1:55" ht="32.1" customHeight="1">
      <c r="A75" s="98"/>
      <c r="B75" s="79" t="str">
        <f>VLOOKUP(878,Sprachindex!$A:$Z,Info!$O$7,FALSE)</f>
        <v>Stk.</v>
      </c>
      <c r="C75" s="81"/>
      <c r="D75" s="83">
        <v>340943</v>
      </c>
      <c r="E75" s="561" t="str">
        <f>VLOOKUP(379,Sprachindex!$A:$Z,Info!$O$7,FALSE)</f>
        <v>Faltmanschette (Ø 100–130)</v>
      </c>
      <c r="F75" s="562"/>
      <c r="G75" s="562"/>
      <c r="H75" s="562"/>
      <c r="I75" s="562"/>
      <c r="J75" s="562"/>
      <c r="K75" s="563"/>
      <c r="L75" s="79" t="str">
        <f t="shared" si="8"/>
        <v/>
      </c>
      <c r="M75" s="433" t="str">
        <f t="shared" si="0"/>
        <v>Stk.</v>
      </c>
      <c r="N75" s="80"/>
      <c r="O75" s="202" t="str">
        <f t="shared" si="9"/>
        <v/>
      </c>
      <c r="R75" s="200">
        <v>37.729999999999997</v>
      </c>
      <c r="S75" s="195"/>
      <c r="AD75" s="149">
        <f>ROUNDUP($A75,0)</f>
        <v>0</v>
      </c>
      <c r="AE75" s="149">
        <f t="shared" si="10"/>
        <v>0</v>
      </c>
      <c r="AH75" s="47" t="s">
        <v>33</v>
      </c>
      <c r="AI75" s="47" t="s">
        <v>34</v>
      </c>
      <c r="AJ75" s="47" t="s">
        <v>35</v>
      </c>
      <c r="AK75" s="47" t="s">
        <v>36</v>
      </c>
      <c r="AL75" s="47" t="s">
        <v>37</v>
      </c>
      <c r="AM75" s="47" t="s">
        <v>38</v>
      </c>
      <c r="AN75" s="47" t="s">
        <v>39</v>
      </c>
      <c r="AO75" s="47" t="s">
        <v>40</v>
      </c>
      <c r="AP75" s="47" t="s">
        <v>41</v>
      </c>
      <c r="AQ75" s="47" t="s">
        <v>42</v>
      </c>
      <c r="AR75" s="47" t="s">
        <v>33</v>
      </c>
      <c r="AS75" s="47" t="s">
        <v>34</v>
      </c>
      <c r="AT75" s="47" t="s">
        <v>35</v>
      </c>
      <c r="AU75" s="47" t="s">
        <v>36</v>
      </c>
      <c r="AV75" s="47" t="s">
        <v>37</v>
      </c>
      <c r="AW75" s="47" t="s">
        <v>38</v>
      </c>
      <c r="AX75" s="47" t="s">
        <v>39</v>
      </c>
      <c r="AY75" s="47" t="s">
        <v>40</v>
      </c>
      <c r="AZ75" s="47" t="s">
        <v>41</v>
      </c>
      <c r="BA75" s="47" t="s">
        <v>42</v>
      </c>
    </row>
    <row r="76" spans="1:55" ht="32.1" customHeight="1">
      <c r="A76" s="98"/>
      <c r="B76" s="79" t="str">
        <f>VLOOKUP(878,Sprachindex!$A:$Z,Info!$O$7,FALSE)</f>
        <v>Stk.</v>
      </c>
      <c r="C76" s="81"/>
      <c r="D76" s="78">
        <f>IF($P$9=1,BC76,BB76)</f>
        <v>0</v>
      </c>
      <c r="E76" s="561" t="str">
        <f>IF($P$9=1,VLOOKUP(936,Sprachindex!$A:$Z,Info!$O$7,FALSE),VLOOKUP(2943,Sprachindex!$A:$Z,Info!$O$7,FALSE))</f>
        <v>Unterlagsplatte (540 × 125 mm [Länge × Breite]; glatt)</v>
      </c>
      <c r="F76" s="562"/>
      <c r="G76" s="562"/>
      <c r="H76" s="562"/>
      <c r="I76" s="562"/>
      <c r="J76" s="562"/>
      <c r="K76" s="563"/>
      <c r="L76" s="79" t="str">
        <f t="shared" si="8"/>
        <v/>
      </c>
      <c r="M76" s="433" t="str">
        <f t="shared" si="0"/>
        <v>Stk.</v>
      </c>
      <c r="N76" s="80"/>
      <c r="O76" s="202" t="str">
        <f t="shared" si="9"/>
        <v/>
      </c>
      <c r="R76" s="200">
        <v>10.72</v>
      </c>
      <c r="S76" s="195"/>
      <c r="AD76" s="149">
        <f>ROUNDUP($A76/15,0)*15</f>
        <v>0</v>
      </c>
      <c r="AE76" s="149">
        <f t="shared" si="10"/>
        <v>0</v>
      </c>
      <c r="AH76" s="470">
        <v>110360</v>
      </c>
      <c r="AI76" s="470">
        <v>110361</v>
      </c>
      <c r="AJ76" s="470">
        <v>110362</v>
      </c>
      <c r="AK76" s="470">
        <v>110363</v>
      </c>
      <c r="AL76" s="470">
        <v>110364</v>
      </c>
      <c r="AM76" s="470">
        <v>110365</v>
      </c>
      <c r="AN76" s="470">
        <v>110366</v>
      </c>
      <c r="AO76" s="470">
        <v>110367</v>
      </c>
      <c r="AP76" s="470">
        <v>110368</v>
      </c>
      <c r="AQ76" s="470"/>
      <c r="AR76" s="469">
        <v>110370</v>
      </c>
      <c r="AS76" s="469">
        <v>110371</v>
      </c>
      <c r="AT76" s="469">
        <v>110372</v>
      </c>
      <c r="AU76" s="469">
        <v>110373</v>
      </c>
      <c r="AV76" s="469">
        <v>110374</v>
      </c>
      <c r="AW76" s="469">
        <v>110375</v>
      </c>
      <c r="AX76" s="469">
        <v>110376</v>
      </c>
      <c r="AY76" s="469">
        <v>110377</v>
      </c>
      <c r="AZ76" s="469">
        <v>110378</v>
      </c>
      <c r="BA76" s="469">
        <v>110379</v>
      </c>
      <c r="BB76" s="468">
        <f>IF($P$21=1,AH76,IF($P$21=4,AI76,IF($P$21=5,AJ76,IF($P$21=11,AK76,IF($P$21=7,AL76,IF($P$21=3,AM76,IF($P$21=6,AN76,IF($P$21=9,AO76,IF($P$21=2,AP76,IF($P$21=8,AQ76,0))))))))))</f>
        <v>0</v>
      </c>
      <c r="BC76" s="468">
        <f>IF($P$21=1,AR76,IF($P$21=4,AS76,IF($P$21=5,AT76,IF($P$21=11,AU76,IF($P$21=7,AV76,IF($P$21=3,AW76,IF($P$21=6,AX76,IF($P$21=9,AY76,IF($P$21=2,AZ76,IF($P$21=8,BA76,0))))))))))</f>
        <v>0</v>
      </c>
    </row>
    <row r="77" spans="1:55" ht="32.1" customHeight="1">
      <c r="A77" s="98"/>
      <c r="B77" s="79" t="str">
        <f>VLOOKUP(878,Sprachindex!$A:$Z,Info!$O$7,FALSE)</f>
        <v>Stk.</v>
      </c>
      <c r="C77" s="81"/>
      <c r="D77" s="78">
        <f t="shared" ref="D77:D92" si="13">IF($P$21=1,AH77,IF($P$21=4,AI77,IF($P$21=5,AJ77,IF($P$21=11,AK77,IF($P$21=7,AL77,IF($P$21=3,AM77,IF($P$21=6,AN77,IF($P$21=9,AO77,IF($P$21=2,AP77,IF($P$21=8,AQ77,0))))))))))</f>
        <v>0</v>
      </c>
      <c r="E77" s="561" t="str">
        <f>VLOOKUP(798,Sprachindex!$A:$Z,Info!$O$7,FALSE)</f>
        <v>Schneestopper für Dachplatte R.16, FX.12 und DS.19</v>
      </c>
      <c r="F77" s="562"/>
      <c r="G77" s="562"/>
      <c r="H77" s="562"/>
      <c r="I77" s="562"/>
      <c r="J77" s="562"/>
      <c r="K77" s="563"/>
      <c r="L77" s="79" t="str">
        <f t="shared" si="8"/>
        <v/>
      </c>
      <c r="M77" s="433" t="str">
        <f t="shared" si="0"/>
        <v>Stk.</v>
      </c>
      <c r="N77" s="80"/>
      <c r="O77" s="202" t="str">
        <f t="shared" si="9"/>
        <v/>
      </c>
      <c r="R77" s="200">
        <v>1.74</v>
      </c>
      <c r="S77" s="195">
        <v>53.06</v>
      </c>
      <c r="AD77" s="149">
        <f>ROUNDUP($A77/100,0)*100</f>
        <v>0</v>
      </c>
      <c r="AE77" s="149">
        <f t="shared" si="10"/>
        <v>0</v>
      </c>
      <c r="AH77" s="44">
        <v>112041</v>
      </c>
      <c r="AI77" s="44">
        <v>112042</v>
      </c>
      <c r="AJ77" s="44">
        <v>112043</v>
      </c>
      <c r="AK77" s="44">
        <v>112044</v>
      </c>
      <c r="AL77" s="44">
        <v>112045</v>
      </c>
      <c r="AM77" s="44">
        <v>112046</v>
      </c>
      <c r="AN77" s="44">
        <v>112048</v>
      </c>
      <c r="AO77" s="44">
        <v>112047</v>
      </c>
      <c r="AP77" s="44">
        <v>112049</v>
      </c>
      <c r="AQ77" s="44">
        <v>112050</v>
      </c>
    </row>
    <row r="78" spans="1:55" ht="32.1" customHeight="1">
      <c r="A78" s="98"/>
      <c r="B78" s="79" t="str">
        <f>VLOOKUP(878,Sprachindex!$A:$Z,Info!$O$7,FALSE)</f>
        <v>Stk.</v>
      </c>
      <c r="C78" s="81"/>
      <c r="D78" s="78">
        <f t="shared" si="13"/>
        <v>0</v>
      </c>
      <c r="E78" s="561" t="str">
        <f>VLOOKUP(2190,Sprachindex!$A:$Z,Info!$O$7,FALSE)</f>
        <v>Haken für Schneerechensystem, inkl. Befestigungsmaterial</v>
      </c>
      <c r="F78" s="562"/>
      <c r="G78" s="562"/>
      <c r="H78" s="562"/>
      <c r="I78" s="562"/>
      <c r="J78" s="562"/>
      <c r="K78" s="563"/>
      <c r="L78" s="79" t="str">
        <f t="shared" si="8"/>
        <v/>
      </c>
      <c r="M78" s="433" t="str">
        <f t="shared" si="0"/>
        <v>Stk.</v>
      </c>
      <c r="N78" s="80"/>
      <c r="O78" s="202" t="str">
        <f t="shared" si="9"/>
        <v/>
      </c>
      <c r="R78" s="200">
        <v>55.82</v>
      </c>
      <c r="S78" s="195">
        <v>90</v>
      </c>
      <c r="AD78" s="149">
        <f>ROUNDUP($A78/10,0)*10</f>
        <v>0</v>
      </c>
      <c r="AE78" s="149">
        <f t="shared" si="10"/>
        <v>0</v>
      </c>
      <c r="AH78" s="44">
        <v>120180</v>
      </c>
      <c r="AI78" s="44">
        <v>120181</v>
      </c>
      <c r="AJ78" s="44">
        <v>120182</v>
      </c>
      <c r="AK78" s="44">
        <v>120183</v>
      </c>
      <c r="AL78" s="44">
        <v>120184</v>
      </c>
      <c r="AM78" s="44">
        <v>120185</v>
      </c>
      <c r="AN78" s="44">
        <v>120186</v>
      </c>
      <c r="AO78" s="44">
        <v>120187</v>
      </c>
      <c r="AP78" s="44">
        <v>120188</v>
      </c>
      <c r="AQ78" s="44">
        <v>120189</v>
      </c>
    </row>
    <row r="79" spans="1:55" ht="32.1" customHeight="1">
      <c r="A79" s="98"/>
      <c r="B79" s="79" t="str">
        <f>VLOOKUP(878,Sprachindex!$A:$Z,Info!$O$7,FALSE)</f>
        <v>Stk.</v>
      </c>
      <c r="C79" s="81"/>
      <c r="D79" s="78">
        <v>515396</v>
      </c>
      <c r="E79" s="561" t="str">
        <f>VLOOKUP(2191,Sprachindex!$A:$Z,Info!$O$7,FALSE)</f>
        <v>Haken für Schneerechensystem XL, inkl. Befestigungsmaterial</v>
      </c>
      <c r="F79" s="562"/>
      <c r="G79" s="562"/>
      <c r="H79" s="562"/>
      <c r="I79" s="562"/>
      <c r="J79" s="562"/>
      <c r="K79" s="563"/>
      <c r="L79" s="79" t="str">
        <f t="shared" si="8"/>
        <v/>
      </c>
      <c r="M79" s="433" t="str">
        <f t="shared" si="0"/>
        <v>Stk.</v>
      </c>
      <c r="N79" s="80"/>
      <c r="O79" s="202" t="str">
        <f t="shared" si="9"/>
        <v/>
      </c>
      <c r="R79" s="200">
        <v>97.9</v>
      </c>
      <c r="S79" s="195">
        <v>6.83</v>
      </c>
      <c r="AD79" s="149">
        <f>ROUNDUP($A79/18,0)*18</f>
        <v>0</v>
      </c>
      <c r="AE79" s="149">
        <f t="shared" si="10"/>
        <v>0</v>
      </c>
      <c r="AF79" s="145"/>
      <c r="AH79" s="44"/>
      <c r="AI79" s="44"/>
      <c r="AJ79" s="44"/>
      <c r="AK79" s="44"/>
      <c r="AL79" s="44"/>
      <c r="AM79" s="44"/>
      <c r="AN79" s="44"/>
      <c r="AO79" s="44"/>
      <c r="AP79" s="44"/>
      <c r="AQ79" s="44"/>
    </row>
    <row r="80" spans="1:55" ht="32.1" customHeight="1">
      <c r="A80" s="98"/>
      <c r="B80" s="79" t="str">
        <f>VLOOKUP(1512,Sprachindex!$A:$Z,Info!$O$7,FALSE)</f>
        <v>lfm</v>
      </c>
      <c r="C80" s="81"/>
      <c r="D80" s="78">
        <f t="shared" si="13"/>
        <v>0</v>
      </c>
      <c r="E80" s="561" t="str">
        <f>VLOOKUP(793,Sprachindex!$A:$Z,Info!$O$7,FALSE)</f>
        <v>Einlegeprofil (3.000 mm)</v>
      </c>
      <c r="F80" s="562"/>
      <c r="G80" s="562"/>
      <c r="H80" s="562"/>
      <c r="I80" s="562"/>
      <c r="J80" s="562"/>
      <c r="K80" s="563"/>
      <c r="L80" s="79" t="str">
        <f t="shared" si="8"/>
        <v/>
      </c>
      <c r="M80" s="433" t="str">
        <f t="shared" si="0"/>
        <v>lfm</v>
      </c>
      <c r="N80" s="80"/>
      <c r="O80" s="202" t="str">
        <f t="shared" si="9"/>
        <v/>
      </c>
      <c r="R80" s="200">
        <v>10.71</v>
      </c>
      <c r="S80" s="195">
        <v>4.32</v>
      </c>
      <c r="AD80" s="149">
        <f>ROUNDUP($A80/3,0)*3</f>
        <v>0</v>
      </c>
      <c r="AE80" s="149">
        <f>ROUNDUP($A80/3,0)*3</f>
        <v>0</v>
      </c>
      <c r="AH80" s="44">
        <v>120350</v>
      </c>
      <c r="AI80" s="44">
        <v>120351</v>
      </c>
      <c r="AJ80" s="44">
        <v>120352</v>
      </c>
      <c r="AK80" s="44">
        <v>120353</v>
      </c>
      <c r="AL80" s="44">
        <v>120354</v>
      </c>
      <c r="AM80" s="44">
        <v>120355</v>
      </c>
      <c r="AN80" s="44">
        <v>120356</v>
      </c>
      <c r="AO80" s="44">
        <v>120357</v>
      </c>
      <c r="AP80" s="44">
        <v>120358</v>
      </c>
      <c r="AQ80" s="44">
        <v>120359</v>
      </c>
    </row>
    <row r="81" spans="1:43" ht="32.1" customHeight="1">
      <c r="A81" s="98"/>
      <c r="B81" s="79" t="str">
        <f>VLOOKUP(878,Sprachindex!$A:$Z,Info!$O$7,FALSE)</f>
        <v>Stk.</v>
      </c>
      <c r="C81" s="81"/>
      <c r="D81" s="78">
        <f t="shared" si="13"/>
        <v>0</v>
      </c>
      <c r="E81" s="561" t="str">
        <f>VLOOKUP(794,Sprachindex!$A:$Z,Info!$O$7,FALSE)</f>
        <v>Eiskralle</v>
      </c>
      <c r="F81" s="562"/>
      <c r="G81" s="562"/>
      <c r="H81" s="562"/>
      <c r="I81" s="562"/>
      <c r="J81" s="562"/>
      <c r="K81" s="563"/>
      <c r="L81" s="79" t="str">
        <f t="shared" si="8"/>
        <v/>
      </c>
      <c r="M81" s="433" t="str">
        <f t="shared" si="0"/>
        <v>Stk.</v>
      </c>
      <c r="N81" s="80"/>
      <c r="O81" s="202" t="str">
        <f t="shared" si="9"/>
        <v/>
      </c>
      <c r="R81" s="200">
        <v>4.6399999999999997</v>
      </c>
      <c r="S81" s="195">
        <v>6.01</v>
      </c>
      <c r="AD81" s="149">
        <f>ROUNDUP($A81/100,0)*100</f>
        <v>0</v>
      </c>
      <c r="AE81" s="149">
        <f t="shared" ref="AE81:AE90" si="14">ROUNDUP($A81,0)</f>
        <v>0</v>
      </c>
      <c r="AH81" s="44">
        <v>120700</v>
      </c>
      <c r="AI81" s="44">
        <v>120701</v>
      </c>
      <c r="AJ81" s="44">
        <v>120702</v>
      </c>
      <c r="AK81" s="44">
        <v>120703</v>
      </c>
      <c r="AL81" s="44">
        <v>120704</v>
      </c>
      <c r="AM81" s="44">
        <v>120705</v>
      </c>
      <c r="AN81" s="44">
        <v>120706</v>
      </c>
      <c r="AO81" s="44">
        <v>120707</v>
      </c>
      <c r="AP81" s="44">
        <v>120708</v>
      </c>
      <c r="AQ81" s="44">
        <v>120709</v>
      </c>
    </row>
    <row r="82" spans="1:43" ht="32.1" customHeight="1">
      <c r="A82" s="98"/>
      <c r="B82" s="79" t="str">
        <f>VLOOKUP(878,Sprachindex!$A:$Z,Info!$O$7,FALSE)</f>
        <v>Stk.</v>
      </c>
      <c r="C82" s="81"/>
      <c r="D82" s="78">
        <f t="shared" si="13"/>
        <v>0</v>
      </c>
      <c r="E82" s="561" t="str">
        <f>VLOOKUP(791,Sprachindex!$A:$Z,Info!$O$7,FALSE)</f>
        <v>Abschluss für Schneerechensystem</v>
      </c>
      <c r="F82" s="562"/>
      <c r="G82" s="562"/>
      <c r="H82" s="562"/>
      <c r="I82" s="562"/>
      <c r="J82" s="562"/>
      <c r="K82" s="563"/>
      <c r="L82" s="79" t="str">
        <f t="shared" si="8"/>
        <v/>
      </c>
      <c r="M82" s="433" t="str">
        <f t="shared" si="0"/>
        <v>Stk.</v>
      </c>
      <c r="N82" s="80"/>
      <c r="O82" s="202" t="str">
        <f t="shared" si="9"/>
        <v/>
      </c>
      <c r="R82" s="200">
        <v>6.33</v>
      </c>
      <c r="S82" s="195">
        <v>6.8</v>
      </c>
      <c r="AD82" s="149">
        <f>ROUNDUP($A82/2,0)*2</f>
        <v>0</v>
      </c>
      <c r="AE82" s="149">
        <f t="shared" si="14"/>
        <v>0</v>
      </c>
      <c r="AH82" s="44">
        <v>120390</v>
      </c>
      <c r="AI82" s="44">
        <v>120391</v>
      </c>
      <c r="AJ82" s="44">
        <v>120392</v>
      </c>
      <c r="AK82" s="44">
        <v>120393</v>
      </c>
      <c r="AL82" s="44">
        <v>120394</v>
      </c>
      <c r="AM82" s="44">
        <v>120395</v>
      </c>
      <c r="AN82" s="44">
        <v>120396</v>
      </c>
      <c r="AO82" s="44">
        <v>120397</v>
      </c>
      <c r="AP82" s="44">
        <v>120398</v>
      </c>
      <c r="AQ82" s="44">
        <v>120399</v>
      </c>
    </row>
    <row r="83" spans="1:43" ht="32.1" customHeight="1">
      <c r="A83" s="98"/>
      <c r="B83" s="79" t="str">
        <f>VLOOKUP(878,Sprachindex!$A:$Z,Info!$O$7,FALSE)</f>
        <v>Stk.</v>
      </c>
      <c r="C83" s="81"/>
      <c r="D83" s="78">
        <v>515395</v>
      </c>
      <c r="E83" s="561" t="str">
        <f>VLOOKUP(2192,Sprachindex!$A:$Z,Info!$O$7,FALSE)</f>
        <v>Abschluss für Schneerechensystem XL</v>
      </c>
      <c r="F83" s="562"/>
      <c r="G83" s="562"/>
      <c r="H83" s="562"/>
      <c r="I83" s="562"/>
      <c r="J83" s="562"/>
      <c r="K83" s="563"/>
      <c r="L83" s="79" t="str">
        <f t="shared" si="8"/>
        <v/>
      </c>
      <c r="M83" s="433" t="str">
        <f t="shared" si="0"/>
        <v>Stk.</v>
      </c>
      <c r="N83" s="80"/>
      <c r="O83" s="202" t="str">
        <f t="shared" si="9"/>
        <v/>
      </c>
      <c r="R83" s="200">
        <v>8.3000000000000007</v>
      </c>
      <c r="S83" s="195">
        <v>53.06</v>
      </c>
      <c r="AD83" s="149">
        <f>ROUNDUP($A83/18,0)*18</f>
        <v>0</v>
      </c>
      <c r="AE83" s="149">
        <f t="shared" si="14"/>
        <v>0</v>
      </c>
      <c r="AF83" s="145"/>
      <c r="AH83" s="44"/>
      <c r="AI83" s="44"/>
      <c r="AJ83" s="44"/>
      <c r="AK83" s="44"/>
      <c r="AL83" s="44"/>
      <c r="AM83" s="44"/>
      <c r="AN83" s="44"/>
      <c r="AO83" s="44"/>
      <c r="AP83" s="44"/>
      <c r="AQ83" s="44"/>
    </row>
    <row r="84" spans="1:43" ht="32.1" customHeight="1">
      <c r="A84" s="98"/>
      <c r="B84" s="79" t="str">
        <f>VLOOKUP(878,Sprachindex!$A:$Z,Info!$O$7,FALSE)</f>
        <v>Stk.</v>
      </c>
      <c r="C84" s="81"/>
      <c r="D84" s="78">
        <f t="shared" si="13"/>
        <v>0</v>
      </c>
      <c r="E84" s="561" t="str">
        <f>VLOOKUP(424,Sprachindex!$A:$Z,Info!$O$7,FALSE)</f>
        <v>Gebirgsschneefangstütze</v>
      </c>
      <c r="F84" s="562"/>
      <c r="G84" s="562"/>
      <c r="H84" s="562"/>
      <c r="I84" s="562"/>
      <c r="J84" s="562"/>
      <c r="K84" s="563"/>
      <c r="L84" s="79" t="str">
        <f t="shared" si="8"/>
        <v/>
      </c>
      <c r="M84" s="433" t="str">
        <f t="shared" si="0"/>
        <v>Stk.</v>
      </c>
      <c r="N84" s="80"/>
      <c r="O84" s="202" t="str">
        <f t="shared" si="9"/>
        <v/>
      </c>
      <c r="R84" s="200">
        <v>55.82</v>
      </c>
      <c r="S84" s="195">
        <v>124.1</v>
      </c>
      <c r="AD84" s="149">
        <f>ROUNDUP($A84/2,0)*2</f>
        <v>0</v>
      </c>
      <c r="AE84" s="149">
        <f t="shared" si="14"/>
        <v>0</v>
      </c>
      <c r="AH84" s="44">
        <v>120150</v>
      </c>
      <c r="AI84" s="44">
        <v>120151</v>
      </c>
      <c r="AJ84" s="44">
        <v>120152</v>
      </c>
      <c r="AK84" s="44">
        <v>120153</v>
      </c>
      <c r="AL84" s="44">
        <v>120154</v>
      </c>
      <c r="AM84" s="44">
        <v>120155</v>
      </c>
      <c r="AN84" s="44">
        <v>120156</v>
      </c>
      <c r="AO84" s="44">
        <v>120157</v>
      </c>
      <c r="AP84" s="44">
        <v>120158</v>
      </c>
      <c r="AQ84" s="44">
        <v>120159</v>
      </c>
    </row>
    <row r="85" spans="1:43" ht="32.1" customHeight="1">
      <c r="A85" s="98"/>
      <c r="B85" s="79" t="str">
        <f>VLOOKUP(878,Sprachindex!$A:$Z,Info!$O$7,FALSE)</f>
        <v>Stk.</v>
      </c>
      <c r="C85" s="81"/>
      <c r="D85" s="78">
        <f t="shared" si="13"/>
        <v>0</v>
      </c>
      <c r="E85" s="561" t="str">
        <f>VLOOKUP(510,Sprachindex!$A:$Z,Info!$O$7,FALSE)</f>
        <v>Kaminhut (700 × 700 mm)</v>
      </c>
      <c r="F85" s="562"/>
      <c r="G85" s="562"/>
      <c r="H85" s="562"/>
      <c r="I85" s="562"/>
      <c r="J85" s="562"/>
      <c r="K85" s="563"/>
      <c r="L85" s="79" t="str">
        <f t="shared" si="8"/>
        <v/>
      </c>
      <c r="M85" s="433" t="str">
        <f t="shared" si="0"/>
        <v>Stk.</v>
      </c>
      <c r="N85" s="80"/>
      <c r="O85" s="202" t="str">
        <f t="shared" si="9"/>
        <v/>
      </c>
      <c r="R85" s="200">
        <v>152.69999999999999</v>
      </c>
      <c r="S85" s="195">
        <v>133.69999999999999</v>
      </c>
      <c r="AD85" s="149">
        <f>ROUNDUP($A85,0)</f>
        <v>0</v>
      </c>
      <c r="AE85" s="149">
        <f t="shared" si="14"/>
        <v>0</v>
      </c>
      <c r="AH85" s="44">
        <v>110420</v>
      </c>
      <c r="AI85" s="44">
        <v>110421</v>
      </c>
      <c r="AJ85" s="44">
        <v>110422</v>
      </c>
      <c r="AK85" s="44">
        <v>110423</v>
      </c>
      <c r="AL85" s="44">
        <v>110424</v>
      </c>
      <c r="AM85" s="44">
        <v>110425</v>
      </c>
      <c r="AN85" s="44">
        <v>110426</v>
      </c>
      <c r="AO85" s="44">
        <v>110427</v>
      </c>
      <c r="AP85" s="44">
        <v>110428</v>
      </c>
      <c r="AQ85" s="44">
        <v>110429</v>
      </c>
    </row>
    <row r="86" spans="1:43" ht="32.1" customHeight="1">
      <c r="A86" s="98"/>
      <c r="B86" s="79" t="str">
        <f>VLOOKUP(878,Sprachindex!$A:$Z,Info!$O$7,FALSE)</f>
        <v>Stk.</v>
      </c>
      <c r="C86" s="81"/>
      <c r="D86" s="78">
        <f t="shared" si="13"/>
        <v>0</v>
      </c>
      <c r="E86" s="561" t="str">
        <f>VLOOKUP(511,Sprachindex!$A:$Z,Info!$O$7,FALSE)</f>
        <v>Kaminhut (800 × 800 mm)</v>
      </c>
      <c r="F86" s="562"/>
      <c r="G86" s="562"/>
      <c r="H86" s="562"/>
      <c r="I86" s="562"/>
      <c r="J86" s="562"/>
      <c r="K86" s="563"/>
      <c r="L86" s="79" t="str">
        <f t="shared" si="8"/>
        <v/>
      </c>
      <c r="M86" s="433" t="str">
        <f t="shared" si="0"/>
        <v>Stk.</v>
      </c>
      <c r="N86" s="80"/>
      <c r="O86" s="202" t="str">
        <f t="shared" si="9"/>
        <v/>
      </c>
      <c r="R86" s="200">
        <v>165</v>
      </c>
      <c r="S86" s="195">
        <v>144.1</v>
      </c>
      <c r="AD86" s="149">
        <f>ROUNDUP($A86,0)</f>
        <v>0</v>
      </c>
      <c r="AE86" s="149">
        <f t="shared" si="14"/>
        <v>0</v>
      </c>
      <c r="AH86" s="44">
        <v>110430</v>
      </c>
      <c r="AI86" s="44">
        <v>110431</v>
      </c>
      <c r="AJ86" s="44">
        <v>110432</v>
      </c>
      <c r="AK86" s="44">
        <v>110433</v>
      </c>
      <c r="AL86" s="44">
        <v>110434</v>
      </c>
      <c r="AM86" s="44">
        <v>110435</v>
      </c>
      <c r="AN86" s="44">
        <v>110436</v>
      </c>
      <c r="AO86" s="44">
        <v>110437</v>
      </c>
      <c r="AP86" s="44">
        <v>110438</v>
      </c>
      <c r="AQ86" s="44">
        <v>110439</v>
      </c>
    </row>
    <row r="87" spans="1:43" ht="32.1" customHeight="1">
      <c r="A87" s="98"/>
      <c r="B87" s="79" t="str">
        <f>VLOOKUP(878,Sprachindex!$A:$Z,Info!$O$7,FALSE)</f>
        <v>Stk.</v>
      </c>
      <c r="C87" s="81"/>
      <c r="D87" s="78">
        <f t="shared" si="13"/>
        <v>0</v>
      </c>
      <c r="E87" s="561" t="str">
        <f>VLOOKUP(507,Sprachindex!$A:$Z,Info!$O$7,FALSE)</f>
        <v>Kaminhut (1.000 × 700 mm)</v>
      </c>
      <c r="F87" s="562"/>
      <c r="G87" s="562"/>
      <c r="H87" s="562"/>
      <c r="I87" s="562"/>
      <c r="J87" s="562"/>
      <c r="K87" s="563"/>
      <c r="L87" s="79" t="str">
        <f t="shared" si="8"/>
        <v/>
      </c>
      <c r="M87" s="433" t="str">
        <f t="shared" si="0"/>
        <v>Stk.</v>
      </c>
      <c r="N87" s="80"/>
      <c r="O87" s="202" t="str">
        <f t="shared" si="9"/>
        <v/>
      </c>
      <c r="R87" s="200">
        <v>165.6</v>
      </c>
      <c r="S87" s="195">
        <v>160.5</v>
      </c>
      <c r="AD87" s="149">
        <f>ROUNDUP($A87,0)</f>
        <v>0</v>
      </c>
      <c r="AE87" s="149">
        <f t="shared" si="14"/>
        <v>0</v>
      </c>
      <c r="AH87" s="44">
        <v>110440</v>
      </c>
      <c r="AI87" s="44">
        <v>110441</v>
      </c>
      <c r="AJ87" s="44">
        <v>110442</v>
      </c>
      <c r="AK87" s="44">
        <v>110443</v>
      </c>
      <c r="AL87" s="44">
        <v>110444</v>
      </c>
      <c r="AM87" s="44">
        <v>110445</v>
      </c>
      <c r="AN87" s="44">
        <v>110446</v>
      </c>
      <c r="AO87" s="44">
        <v>110447</v>
      </c>
      <c r="AP87" s="44">
        <v>110448</v>
      </c>
      <c r="AQ87" s="44">
        <v>110449</v>
      </c>
    </row>
    <row r="88" spans="1:43" ht="32.1" customHeight="1">
      <c r="A88" s="98"/>
      <c r="B88" s="79" t="str">
        <f>VLOOKUP(878,Sprachindex!$A:$Z,Info!$O$7,FALSE)</f>
        <v>Stk.</v>
      </c>
      <c r="C88" s="81"/>
      <c r="D88" s="78">
        <f t="shared" si="13"/>
        <v>0</v>
      </c>
      <c r="E88" s="561" t="str">
        <f>VLOOKUP(508,Sprachindex!$A:$Z,Info!$O$7,FALSE)</f>
        <v>Kaminhut (1.100 × 800 mm)</v>
      </c>
      <c r="F88" s="562"/>
      <c r="G88" s="562"/>
      <c r="H88" s="562"/>
      <c r="I88" s="562"/>
      <c r="J88" s="562"/>
      <c r="K88" s="563"/>
      <c r="L88" s="79" t="str">
        <f t="shared" si="8"/>
        <v/>
      </c>
      <c r="M88" s="433" t="str">
        <f t="shared" si="0"/>
        <v>Stk.</v>
      </c>
      <c r="N88" s="80"/>
      <c r="O88" s="202" t="str">
        <f t="shared" si="9"/>
        <v/>
      </c>
      <c r="R88" s="200">
        <v>198.5</v>
      </c>
      <c r="S88" s="195">
        <v>220.6</v>
      </c>
      <c r="AD88" s="149">
        <f>ROUNDUP($A88,0)</f>
        <v>0</v>
      </c>
      <c r="AE88" s="149">
        <f t="shared" si="14"/>
        <v>0</v>
      </c>
      <c r="AH88" s="44">
        <v>110450</v>
      </c>
      <c r="AI88" s="44">
        <v>110451</v>
      </c>
      <c r="AJ88" s="44">
        <v>110452</v>
      </c>
      <c r="AK88" s="44">
        <v>110453</v>
      </c>
      <c r="AL88" s="44">
        <v>110454</v>
      </c>
      <c r="AM88" s="44">
        <v>110455</v>
      </c>
      <c r="AN88" s="44">
        <v>110456</v>
      </c>
      <c r="AO88" s="44">
        <v>110457</v>
      </c>
      <c r="AP88" s="44">
        <v>110458</v>
      </c>
      <c r="AQ88" s="44">
        <v>110459</v>
      </c>
    </row>
    <row r="89" spans="1:43" ht="32.1" customHeight="1">
      <c r="A89" s="98"/>
      <c r="B89" s="79" t="str">
        <f>VLOOKUP(878,Sprachindex!$A:$Z,Info!$O$7,FALSE)</f>
        <v>Stk.</v>
      </c>
      <c r="C89" s="81"/>
      <c r="D89" s="78">
        <f t="shared" si="13"/>
        <v>0</v>
      </c>
      <c r="E89" s="561" t="str">
        <f>VLOOKUP(509,Sprachindex!$A:$Z,Info!$O$7,FALSE)</f>
        <v>Kaminhut (1.500 × 800 mm)</v>
      </c>
      <c r="F89" s="562"/>
      <c r="G89" s="562"/>
      <c r="H89" s="562"/>
      <c r="I89" s="562"/>
      <c r="J89" s="562"/>
      <c r="K89" s="563"/>
      <c r="L89" s="79" t="str">
        <f t="shared" si="8"/>
        <v/>
      </c>
      <c r="M89" s="433" t="str">
        <f t="shared" si="0"/>
        <v>Stk.</v>
      </c>
      <c r="N89" s="80"/>
      <c r="O89" s="202" t="str">
        <f t="shared" si="9"/>
        <v/>
      </c>
      <c r="R89" s="200">
        <v>271.39999999999998</v>
      </c>
      <c r="S89" s="195">
        <v>11.79</v>
      </c>
      <c r="AD89" s="149">
        <f>ROUNDUP($A89,0)</f>
        <v>0</v>
      </c>
      <c r="AE89" s="149">
        <f t="shared" si="14"/>
        <v>0</v>
      </c>
      <c r="AH89" s="44">
        <v>110460</v>
      </c>
      <c r="AI89" s="44">
        <v>110461</v>
      </c>
      <c r="AJ89" s="44">
        <v>110462</v>
      </c>
      <c r="AK89" s="44">
        <v>110463</v>
      </c>
      <c r="AL89" s="44">
        <v>110464</v>
      </c>
      <c r="AM89" s="44">
        <v>110465</v>
      </c>
      <c r="AN89" s="44">
        <v>110466</v>
      </c>
      <c r="AO89" s="44">
        <v>110467</v>
      </c>
      <c r="AP89" s="44">
        <v>110468</v>
      </c>
      <c r="AQ89" s="44">
        <v>110469</v>
      </c>
    </row>
    <row r="90" spans="1:43" ht="32.1" customHeight="1">
      <c r="A90" s="98"/>
      <c r="B90" s="79" t="str">
        <f>VLOOKUP(878,Sprachindex!$A:$Z,Info!$O$7,FALSE)</f>
        <v>Stk.</v>
      </c>
      <c r="C90" s="81"/>
      <c r="D90" s="78">
        <f t="shared" si="13"/>
        <v>0</v>
      </c>
      <c r="E90" s="561" t="str">
        <f>VLOOKUP(512,Sprachindex!$A:$Z,Info!$O$7,FALSE)</f>
        <v>Kaminstrebe gebogen</v>
      </c>
      <c r="F90" s="562"/>
      <c r="G90" s="562"/>
      <c r="H90" s="562"/>
      <c r="I90" s="562"/>
      <c r="J90" s="562"/>
      <c r="K90" s="563"/>
      <c r="L90" s="79" t="str">
        <f t="shared" si="8"/>
        <v/>
      </c>
      <c r="M90" s="433" t="str">
        <f t="shared" si="0"/>
        <v>Stk.</v>
      </c>
      <c r="N90" s="80"/>
      <c r="O90" s="202" t="str">
        <f t="shared" si="9"/>
        <v/>
      </c>
      <c r="R90" s="200">
        <v>16.77</v>
      </c>
      <c r="S90" s="195">
        <v>8.19</v>
      </c>
      <c r="AD90" s="149">
        <f>ROUNDUP($A90/10,0)*10</f>
        <v>0</v>
      </c>
      <c r="AE90" s="149">
        <f t="shared" si="14"/>
        <v>0</v>
      </c>
      <c r="AH90" s="44">
        <v>110410</v>
      </c>
      <c r="AI90" s="44">
        <v>110411</v>
      </c>
      <c r="AJ90" s="44">
        <v>110412</v>
      </c>
      <c r="AK90" s="44">
        <v>110413</v>
      </c>
      <c r="AL90" s="44">
        <v>110414</v>
      </c>
      <c r="AM90" s="44">
        <v>110415</v>
      </c>
      <c r="AN90" s="44">
        <v>110416</v>
      </c>
      <c r="AO90" s="44">
        <v>110417</v>
      </c>
      <c r="AP90" s="44">
        <v>110418</v>
      </c>
      <c r="AQ90" s="44">
        <v>110419</v>
      </c>
    </row>
    <row r="91" spans="1:43" ht="32.1" customHeight="1">
      <c r="A91" s="98"/>
      <c r="B91" s="79" t="str">
        <f>VLOOKUP(1512,Sprachindex!$A:$Z,Info!$O$7,FALSE)</f>
        <v>lfm</v>
      </c>
      <c r="C91" s="81"/>
      <c r="D91" s="78">
        <f t="shared" si="13"/>
        <v>0</v>
      </c>
      <c r="E91" s="561" t="str">
        <f>VLOOKUP(402,Sprachindex!$A:$Z,Info!$O$7,FALSE)</f>
        <v>Flachprofil (35 × 7 × 3.000 mm)</v>
      </c>
      <c r="F91" s="562"/>
      <c r="G91" s="562"/>
      <c r="H91" s="562"/>
      <c r="I91" s="562"/>
      <c r="J91" s="562"/>
      <c r="K91" s="563"/>
      <c r="L91" s="79" t="str">
        <f t="shared" si="8"/>
        <v/>
      </c>
      <c r="M91" s="433" t="str">
        <f t="shared" si="0"/>
        <v>lfm</v>
      </c>
      <c r="N91" s="80"/>
      <c r="O91" s="202" t="str">
        <f t="shared" si="9"/>
        <v/>
      </c>
      <c r="R91" s="200">
        <v>11.32</v>
      </c>
      <c r="S91" s="195"/>
      <c r="AD91" s="149">
        <f>ROUNDUP($A91/3,0)*3</f>
        <v>0</v>
      </c>
      <c r="AE91" s="149">
        <f>ROUNDUP($A91/3,0)*3</f>
        <v>0</v>
      </c>
      <c r="AH91" s="44">
        <v>110400</v>
      </c>
      <c r="AI91" s="44">
        <v>110401</v>
      </c>
      <c r="AJ91" s="44">
        <v>110402</v>
      </c>
      <c r="AK91" s="44">
        <v>110403</v>
      </c>
      <c r="AL91" s="44">
        <v>110404</v>
      </c>
      <c r="AM91" s="44">
        <v>110405</v>
      </c>
      <c r="AN91" s="44">
        <v>110406</v>
      </c>
      <c r="AO91" s="44">
        <v>110407</v>
      </c>
      <c r="AP91" s="44">
        <v>110408</v>
      </c>
      <c r="AQ91" s="117" t="s">
        <v>74</v>
      </c>
    </row>
    <row r="92" spans="1:43" ht="32.1" customHeight="1">
      <c r="A92" s="98"/>
      <c r="B92" s="79" t="str">
        <f>VLOOKUP(878,Sprachindex!$A:$Z,Info!$O$7,FALSE)</f>
        <v>Stk.</v>
      </c>
      <c r="C92" s="81"/>
      <c r="D92" s="78">
        <f t="shared" si="13"/>
        <v>0</v>
      </c>
      <c r="E92" s="561" t="str">
        <f>VLOOKUP(459,Sprachindex!$A:$Z,Info!$O$7,FALSE)</f>
        <v>Hauerbuckel; zum Abdecken von Befestigungsmitteln</v>
      </c>
      <c r="F92" s="562"/>
      <c r="G92" s="562"/>
      <c r="H92" s="562"/>
      <c r="I92" s="562"/>
      <c r="J92" s="562"/>
      <c r="K92" s="563"/>
      <c r="L92" s="79" t="str">
        <f t="shared" si="8"/>
        <v/>
      </c>
      <c r="M92" s="433" t="str">
        <f t="shared" si="0"/>
        <v>Stk.</v>
      </c>
      <c r="N92" s="80"/>
      <c r="O92" s="202" t="str">
        <f t="shared" si="9"/>
        <v/>
      </c>
      <c r="R92" s="200">
        <v>2.06</v>
      </c>
      <c r="S92" s="195"/>
      <c r="AD92" s="149">
        <f>ROUNDUP($A92,0)</f>
        <v>0</v>
      </c>
      <c r="AE92" s="149">
        <f>ROUNDUP($A92,0)</f>
        <v>0</v>
      </c>
      <c r="AH92" s="44">
        <v>112401</v>
      </c>
      <c r="AI92" s="44">
        <v>112402</v>
      </c>
      <c r="AJ92" s="44">
        <v>112403</v>
      </c>
      <c r="AK92" s="44">
        <v>112404</v>
      </c>
      <c r="AL92" s="44">
        <v>112405</v>
      </c>
      <c r="AM92" s="44">
        <v>112406</v>
      </c>
      <c r="AN92" s="44">
        <v>112407</v>
      </c>
      <c r="AO92" s="44">
        <v>112408</v>
      </c>
      <c r="AP92" s="44">
        <v>112409</v>
      </c>
      <c r="AQ92" s="44">
        <v>112410</v>
      </c>
    </row>
    <row r="93" spans="1:43" ht="32.1" customHeight="1">
      <c r="A93" s="98"/>
      <c r="B93" s="79" t="str">
        <f>VLOOKUP(878,Sprachindex!$A:$Z,Info!$O$7,FALSE)</f>
        <v>Stk.</v>
      </c>
      <c r="C93" s="81"/>
      <c r="D93" s="78">
        <v>340404</v>
      </c>
      <c r="E93" s="561" t="str">
        <f>VLOOKUP(1422,Sprachindex!$A:$Z,Info!$O$7,FALSE)</f>
        <v>Dachleitungshalter für Blitzschutzdraht</v>
      </c>
      <c r="F93" s="562"/>
      <c r="G93" s="562"/>
      <c r="H93" s="562"/>
      <c r="I93" s="562"/>
      <c r="J93" s="562"/>
      <c r="K93" s="563"/>
      <c r="L93" s="79" t="str">
        <f t="shared" si="8"/>
        <v/>
      </c>
      <c r="M93" s="433" t="str">
        <f t="shared" si="0"/>
        <v>Stk.</v>
      </c>
      <c r="N93" s="80"/>
      <c r="O93" s="202" t="str">
        <f t="shared" si="9"/>
        <v/>
      </c>
      <c r="R93" s="200">
        <v>7.16</v>
      </c>
      <c r="S93" s="195"/>
      <c r="AD93" s="149">
        <f>ROUNDUP($A93/50,0)*50</f>
        <v>0</v>
      </c>
      <c r="AE93" s="149">
        <f t="shared" ref="AE93:AE101" si="15">ROUNDUP($A93,0)</f>
        <v>0</v>
      </c>
    </row>
    <row r="94" spans="1:43" ht="32.1" customHeight="1">
      <c r="A94" s="98"/>
      <c r="B94" s="79" t="str">
        <f>VLOOKUP(878,Sprachindex!$A:$Z,Info!$O$7,FALSE)</f>
        <v>Stk.</v>
      </c>
      <c r="C94" s="78"/>
      <c r="D94" s="78">
        <v>420501</v>
      </c>
      <c r="E94" s="581" t="str">
        <f>VLOOKUP(851,Sprachindex!$A:$Z,Info!$O$7,FALSE)</f>
        <v>Spezialkleber</v>
      </c>
      <c r="F94" s="582"/>
      <c r="G94" s="582"/>
      <c r="H94" s="582"/>
      <c r="I94" s="582"/>
      <c r="J94" s="582"/>
      <c r="K94" s="583"/>
      <c r="L94" s="79" t="str">
        <f t="shared" si="8"/>
        <v/>
      </c>
      <c r="M94" s="433" t="str">
        <f t="shared" si="0"/>
        <v>Stk.</v>
      </c>
      <c r="N94" s="80"/>
      <c r="O94" s="202" t="str">
        <f t="shared" si="9"/>
        <v/>
      </c>
      <c r="R94" s="200">
        <v>39.130000000000003</v>
      </c>
      <c r="S94" s="195"/>
      <c r="AD94" s="149">
        <f>ROUNDUP($A94/24,0)*24</f>
        <v>0</v>
      </c>
      <c r="AE94" s="149">
        <f t="shared" si="15"/>
        <v>0</v>
      </c>
    </row>
    <row r="95" spans="1:43" ht="32.1" customHeight="1">
      <c r="A95" s="98"/>
      <c r="B95" s="79" t="str">
        <f>VLOOKUP(821,Sprachindex!$A:$Z,Info!$O$7,FALSE)</f>
        <v>Set</v>
      </c>
      <c r="C95" s="81"/>
      <c r="D95" s="78">
        <v>420500</v>
      </c>
      <c r="E95" s="561" t="str">
        <f>VLOOKUP(852,Sprachindex!$A:$Z,Info!$O$7,FALSE)</f>
        <v>Spezialkleberset</v>
      </c>
      <c r="F95" s="562"/>
      <c r="G95" s="562"/>
      <c r="H95" s="562"/>
      <c r="I95" s="562"/>
      <c r="J95" s="562"/>
      <c r="K95" s="563"/>
      <c r="L95" s="79" t="str">
        <f t="shared" si="8"/>
        <v/>
      </c>
      <c r="M95" s="433" t="str">
        <f t="shared" si="0"/>
        <v>Set</v>
      </c>
      <c r="N95" s="80"/>
      <c r="O95" s="202" t="str">
        <f t="shared" si="9"/>
        <v/>
      </c>
      <c r="R95" s="200">
        <v>53.57</v>
      </c>
      <c r="S95" s="195"/>
      <c r="AD95" s="149">
        <f>ROUNDUP($A95,0)</f>
        <v>0</v>
      </c>
      <c r="AE95" s="149">
        <f t="shared" si="15"/>
        <v>0</v>
      </c>
    </row>
    <row r="96" spans="1:43" ht="32.1" customHeight="1">
      <c r="A96" s="98"/>
      <c r="B96" s="79" t="str">
        <f>VLOOKUP(878,Sprachindex!$A:$Z,Info!$O$7,FALSE)</f>
        <v>Stk.</v>
      </c>
      <c r="C96" s="78"/>
      <c r="D96" s="78">
        <v>340415</v>
      </c>
      <c r="E96" s="599" t="str">
        <f>VLOOKUP(184,Sprachindex!$A:$Z,Info!$O$7,FALSE)</f>
        <v>Aufsparrenschraubenpaket</v>
      </c>
      <c r="F96" s="599"/>
      <c r="G96" s="599"/>
      <c r="H96" s="599"/>
      <c r="I96" s="599"/>
      <c r="J96" s="599"/>
      <c r="K96" s="599"/>
      <c r="L96" s="79" t="str">
        <f>IF($A96=0,"",IF($P$11=1,AD96,AE96))</f>
        <v/>
      </c>
      <c r="M96" s="433" t="str">
        <f t="shared" ref="M96:M101" si="16">B96</f>
        <v>Stk.</v>
      </c>
      <c r="N96" s="80"/>
      <c r="O96" s="202" t="str">
        <f t="shared" si="9"/>
        <v/>
      </c>
      <c r="R96" s="200">
        <v>26.02</v>
      </c>
      <c r="S96" s="195"/>
      <c r="AD96" s="149">
        <f>ROUNDUP($A96,0)</f>
        <v>0</v>
      </c>
      <c r="AE96" s="149">
        <f t="shared" si="15"/>
        <v>0</v>
      </c>
    </row>
    <row r="97" spans="1:53" ht="32.1" customHeight="1">
      <c r="A97" s="98"/>
      <c r="B97" s="79" t="str">
        <f>VLOOKUP(878,Sprachindex!$A:$Z,Info!$O$7,FALSE)</f>
        <v>Stk.</v>
      </c>
      <c r="C97" s="78"/>
      <c r="D97" s="78">
        <v>340416</v>
      </c>
      <c r="E97" s="599" t="str">
        <f>VLOOKUP(183,Sprachindex!$A:$Z,Info!$O$7,FALSE)</f>
        <v>Aufsparrenmontagepaket</v>
      </c>
      <c r="F97" s="599"/>
      <c r="G97" s="599"/>
      <c r="H97" s="599"/>
      <c r="I97" s="599"/>
      <c r="J97" s="599"/>
      <c r="K97" s="599"/>
      <c r="L97" s="79" t="str">
        <f>IF($A97=0,"",IF($P$11=1,AD97,AE97))</f>
        <v/>
      </c>
      <c r="M97" s="433" t="str">
        <f t="shared" si="16"/>
        <v>Stk.</v>
      </c>
      <c r="N97" s="80"/>
      <c r="O97" s="202" t="str">
        <f t="shared" si="9"/>
        <v/>
      </c>
      <c r="R97" s="200">
        <v>43.62</v>
      </c>
      <c r="S97" s="195"/>
      <c r="AD97" s="149">
        <f>ROUNDUP($A97,0)</f>
        <v>0</v>
      </c>
      <c r="AE97" s="149">
        <f t="shared" si="15"/>
        <v>0</v>
      </c>
      <c r="AF97" s="8"/>
    </row>
    <row r="98" spans="1:53" ht="32.1" customHeight="1">
      <c r="A98" s="98"/>
      <c r="B98" s="79" t="str">
        <f>VLOOKUP(878,Sprachindex!$A:$Z,Info!$O$7,FALSE)</f>
        <v>Stk.</v>
      </c>
      <c r="C98" s="81"/>
      <c r="D98" s="78">
        <v>119008</v>
      </c>
      <c r="E98" s="561" t="str">
        <f>VLOOKUP(2237,Sprachindex!$A:$Z,Info!$O$7,FALSE)</f>
        <v>Taurus-BEF-10 auf Fußteilen</v>
      </c>
      <c r="F98" s="562"/>
      <c r="G98" s="562"/>
      <c r="H98" s="562"/>
      <c r="I98" s="562"/>
      <c r="J98" s="562"/>
      <c r="K98" s="563"/>
      <c r="L98" s="79" t="str">
        <f>IF($A98=0,"",IF($P$11=1,AD98,AE98))</f>
        <v/>
      </c>
      <c r="M98" s="171" t="str">
        <f>VLOOKUP(878,Sprachindex!$A:$Z,Info!$O$7,FALSE)</f>
        <v>Stk.</v>
      </c>
      <c r="N98" s="439"/>
      <c r="O98" s="202" t="str">
        <f t="shared" si="9"/>
        <v/>
      </c>
      <c r="R98" s="200">
        <v>138.6</v>
      </c>
      <c r="S98" s="195"/>
      <c r="T98" s="195"/>
      <c r="U98" s="195"/>
      <c r="V98" s="195"/>
      <c r="W98" s="195"/>
      <c r="X98" s="195"/>
      <c r="Y98" s="195"/>
      <c r="Z98" s="195"/>
      <c r="AA98" s="195"/>
      <c r="AB98" s="195"/>
      <c r="AC98" s="135"/>
      <c r="AD98" s="149">
        <f t="shared" ref="AD98:AD99" si="17">ROUNDUP($A98,0)</f>
        <v>0</v>
      </c>
      <c r="AE98" s="149">
        <f t="shared" si="15"/>
        <v>0</v>
      </c>
      <c r="AF98" s="145"/>
    </row>
    <row r="99" spans="1:53" ht="32.1" customHeight="1">
      <c r="A99" s="98"/>
      <c r="B99" s="79" t="str">
        <f>VLOOKUP(878,Sprachindex!$A:$Z,Info!$O$7,FALSE)</f>
        <v>Stk.</v>
      </c>
      <c r="C99" s="81"/>
      <c r="D99" s="78">
        <v>120268</v>
      </c>
      <c r="E99" s="561" t="str">
        <f>VLOOKUP(2238,Sprachindex!$A:$Z,Info!$O$7,FALSE)</f>
        <v>Einzelanschlagspunkt auf Fußteilen</v>
      </c>
      <c r="F99" s="562"/>
      <c r="G99" s="562"/>
      <c r="H99" s="562"/>
      <c r="I99" s="562"/>
      <c r="J99" s="562"/>
      <c r="K99" s="563"/>
      <c r="L99" s="79" t="str">
        <f>IF($A99=0,"",IF($P$11=1,AD99,AE99))</f>
        <v/>
      </c>
      <c r="M99" s="171" t="str">
        <f>VLOOKUP(878,Sprachindex!$A:$Z,Info!$O$7,FALSE)</f>
        <v>Stk.</v>
      </c>
      <c r="N99" s="439"/>
      <c r="O99" s="202" t="str">
        <f t="shared" si="9"/>
        <v/>
      </c>
      <c r="R99" s="200">
        <v>135.6</v>
      </c>
      <c r="S99" s="195"/>
      <c r="T99" s="195"/>
      <c r="U99" s="195"/>
      <c r="V99" s="195"/>
      <c r="W99" s="195"/>
      <c r="X99" s="195"/>
      <c r="Y99" s="195"/>
      <c r="Z99" s="195"/>
      <c r="AA99" s="195"/>
      <c r="AB99" s="195"/>
      <c r="AC99" s="135"/>
      <c r="AD99" s="149">
        <f t="shared" si="17"/>
        <v>0</v>
      </c>
      <c r="AE99" s="149">
        <f t="shared" si="15"/>
        <v>0</v>
      </c>
      <c r="AF99" s="145"/>
    </row>
    <row r="100" spans="1:53" ht="31.95" customHeight="1">
      <c r="A100" s="98"/>
      <c r="B100" s="79" t="str">
        <f>VLOOKUP(531,Sprachindex!$A:$Z,Info!$O$7,FALSE)</f>
        <v>kg</v>
      </c>
      <c r="C100" s="78"/>
      <c r="D100" s="78">
        <f>IF(I100=Formeln!A107,AL100,IF(I100=Formeln!A108,AH100,IF(I100=Formeln!A109,AI100,IF(I100=Formeln!A110,AJ100,IF(I100=Formeln!A111,AK100,0)))))</f>
        <v>0</v>
      </c>
      <c r="E100" s="599" t="str">
        <f>VLOOKUP(583,Sprachindex!$A:$Z,Info!$O$7,FALSE)</f>
        <v>Lochblech (⌀ 5 mm) ca. 24 kg/Rolle (0,7 × 1.000 mm)</v>
      </c>
      <c r="F100" s="599"/>
      <c r="G100" s="599"/>
      <c r="H100" s="599"/>
      <c r="I100" s="606"/>
      <c r="J100" s="606"/>
      <c r="K100" s="606"/>
      <c r="L100" s="79" t="str">
        <f>IF($A100=0,"",IF($I100=Formeln!$A$106," ",IF($P$11=1,AD100,AE100)))</f>
        <v/>
      </c>
      <c r="M100" s="433" t="str">
        <f t="shared" si="16"/>
        <v>kg</v>
      </c>
      <c r="N100" s="80"/>
      <c r="O100" s="202" t="str">
        <f t="shared" si="9"/>
        <v/>
      </c>
      <c r="R100" s="200"/>
      <c r="S100" s="195"/>
      <c r="AD100" s="149">
        <f>ROUNDUP($A100/24,0)*24</f>
        <v>0</v>
      </c>
      <c r="AE100" s="149">
        <f t="shared" si="15"/>
        <v>0</v>
      </c>
      <c r="AF100" s="151" t="str">
        <f>IF(A100&gt;24, Formeln!$A$119, Formeln!$A$118)</f>
        <v>Rolle</v>
      </c>
      <c r="AH100" s="44">
        <v>507202</v>
      </c>
      <c r="AI100" s="44">
        <v>507203</v>
      </c>
      <c r="AJ100" s="44"/>
      <c r="AK100" s="44">
        <v>507205</v>
      </c>
      <c r="AL100" s="44">
        <v>507206</v>
      </c>
    </row>
    <row r="101" spans="1:53" ht="49.95" customHeight="1">
      <c r="A101" s="98"/>
      <c r="B101" s="79" t="str">
        <f>VLOOKUP(531,Sprachindex!$A:$Z,Info!$O$7,FALSE)</f>
        <v>kg</v>
      </c>
      <c r="C101" s="81"/>
      <c r="D101" s="505">
        <f>IF(AND(I101=Formeln!A24,K101=Formeln!A129),AH101,IF(AND(I101=Formeln!A24,K101=Formeln!A132),AI101,IF(AND(I101=Formeln!A24,K101=Formeln!A134),AJ101,IF(AND(I101=Formeln!A24,K101=Formeln!A128),AK101,IF(AND(I101=Formeln!A24,K101=Formeln!A137),AL101,IF(AND(I101=Formeln!A24,K101=Formeln!A131),AM101,IF(AND(I101=Formeln!A24,K101=Formeln!A135),AN101,IF(AND(I101=Formeln!A24,K101=Formeln!A133),AO101,IF(AND(I101=Formeln!A24,K101=Formeln!A130),AP101,IF(AND(I101=Formeln!A24,K101=Formeln!A136),AQ101,IF(AND(I101=Formeln!A25,K101=Formeln!A129),AR101,IF(AND(I101=Formeln!A25,K101=Formeln!A132),AS101,IF(AND(I101=Formeln!A25,K101=Formeln!A134),AT101,IF(AND(I101=Formeln!A25,K101=Formeln!A128),AU101,IF(AND(I101=Formeln!A25,K101=Formeln!A137),AV101,IF(AND(I101=Formeln!A25,K101=Formeln!A131),AW101,IF(AND(I101=Formeln!A25,K101=Formeln!A135),AX101,IF(AND(I101=Formeln!A25,K101=Formeln!A133),AY101,IF(AND(I101=Formeln!A25,K101=Formeln!A130),AZ101,IF(AND(I101=Formeln!A25,K101=Formeln!A136),BA101,0))))))))))))))))))))</f>
        <v>0</v>
      </c>
      <c r="E101" s="561" t="str">
        <f>VLOOKUP(669,Sprachindex!$A:$Z,Info!$O$7,FALSE)</f>
        <v>PREFALZ Ergänzungsband; 0,7 × 1.000 mm (für Zusatzverblechungen)</v>
      </c>
      <c r="F101" s="562"/>
      <c r="G101" s="562"/>
      <c r="H101" s="85" t="str">
        <f>VLOOKUP(638,Sprachindex!$A:$Z,Info!$O$7,FALSE)</f>
        <v>Oberfläche:</v>
      </c>
      <c r="I101" s="86"/>
      <c r="J101" s="84" t="str">
        <f>VLOOKUP(385,Sprachindex!$A:$Z,Info!$O$7,FALSE)</f>
        <v>Farbe:</v>
      </c>
      <c r="K101" s="86"/>
      <c r="L101" s="79" t="str">
        <f>IF($A101=0,"",IF(OR($I101=Formeln!$A$23,$K101=Formeln!$A$127)," ",IF($P$11=1,AD101,AE101)))</f>
        <v/>
      </c>
      <c r="M101" s="433" t="str">
        <f t="shared" si="16"/>
        <v>kg</v>
      </c>
      <c r="N101" s="80"/>
      <c r="O101" s="202" t="str">
        <f t="shared" si="9"/>
        <v/>
      </c>
      <c r="R101" s="200"/>
      <c r="AD101" s="161">
        <f>ROUNDUP($A101/30,0)*30</f>
        <v>0</v>
      </c>
      <c r="AE101" s="161">
        <f t="shared" si="15"/>
        <v>0</v>
      </c>
      <c r="AF101" s="151" t="str">
        <f>IF(A101&gt;60, Formeln!$A$119, Formeln!$A$118)</f>
        <v>Rolle</v>
      </c>
      <c r="AH101" s="117" t="s">
        <v>76</v>
      </c>
      <c r="AI101" s="117" t="s">
        <v>77</v>
      </c>
      <c r="AJ101" s="117" t="s">
        <v>78</v>
      </c>
      <c r="AK101" s="117" t="s">
        <v>99</v>
      </c>
      <c r="AL101" s="117" t="s">
        <v>79</v>
      </c>
      <c r="AM101" s="117" t="s">
        <v>80</v>
      </c>
      <c r="AN101" s="117" t="s">
        <v>81</v>
      </c>
      <c r="AO101" s="117" t="s">
        <v>82</v>
      </c>
      <c r="AP101" s="117" t="s">
        <v>83</v>
      </c>
      <c r="AQ101" s="499" t="s">
        <v>84</v>
      </c>
      <c r="AR101" s="501" t="s">
        <v>85</v>
      </c>
      <c r="AS101" s="117" t="s">
        <v>86</v>
      </c>
      <c r="AT101" s="117" t="s">
        <v>87</v>
      </c>
      <c r="AU101" s="117" t="s">
        <v>88</v>
      </c>
      <c r="AV101" s="117" t="s">
        <v>89</v>
      </c>
      <c r="AW101" s="117" t="s">
        <v>90</v>
      </c>
      <c r="AX101" s="117" t="s">
        <v>91</v>
      </c>
      <c r="AY101" s="117" t="s">
        <v>92</v>
      </c>
      <c r="AZ101" s="117" t="s">
        <v>93</v>
      </c>
      <c r="BA101" s="117" t="s">
        <v>94</v>
      </c>
    </row>
    <row r="102" spans="1:53" ht="32.1" customHeight="1">
      <c r="A102" s="98"/>
      <c r="B102" s="104"/>
      <c r="C102" s="104"/>
      <c r="D102" s="104"/>
      <c r="E102" s="605"/>
      <c r="F102" s="605"/>
      <c r="G102" s="605"/>
      <c r="H102" s="605"/>
      <c r="I102" s="605"/>
      <c r="J102" s="605"/>
      <c r="K102" s="605"/>
      <c r="L102" s="104"/>
      <c r="M102" s="433"/>
      <c r="N102" s="80"/>
      <c r="O102" s="202"/>
      <c r="AD102" s="8"/>
      <c r="AE102" s="8"/>
      <c r="AH102" s="47" t="s">
        <v>33</v>
      </c>
      <c r="AI102" s="47" t="s">
        <v>34</v>
      </c>
      <c r="AJ102" s="47" t="s">
        <v>35</v>
      </c>
      <c r="AK102" s="47" t="s">
        <v>36</v>
      </c>
      <c r="AL102" s="47" t="s">
        <v>37</v>
      </c>
      <c r="AM102" s="47" t="s">
        <v>38</v>
      </c>
      <c r="AN102" s="47" t="s">
        <v>39</v>
      </c>
      <c r="AO102" s="47" t="s">
        <v>40</v>
      </c>
      <c r="AP102" s="47" t="s">
        <v>41</v>
      </c>
      <c r="AQ102" s="500" t="s">
        <v>42</v>
      </c>
      <c r="AR102" s="502" t="s">
        <v>33</v>
      </c>
      <c r="AS102" s="47" t="s">
        <v>34</v>
      </c>
      <c r="AT102" s="47" t="s">
        <v>35</v>
      </c>
      <c r="AU102" s="47" t="s">
        <v>36</v>
      </c>
      <c r="AV102" s="47" t="s">
        <v>37</v>
      </c>
      <c r="AW102" s="47" t="s">
        <v>38</v>
      </c>
      <c r="AX102" s="47" t="s">
        <v>39</v>
      </c>
      <c r="AY102" s="47" t="s">
        <v>40</v>
      </c>
      <c r="AZ102" s="47" t="s">
        <v>41</v>
      </c>
      <c r="BA102" s="47" t="s">
        <v>42</v>
      </c>
    </row>
    <row r="103" spans="1:53" ht="32.1" customHeight="1">
      <c r="A103" s="98"/>
      <c r="B103" s="104"/>
      <c r="C103" s="104"/>
      <c r="D103" s="104"/>
      <c r="E103" s="605"/>
      <c r="F103" s="605"/>
      <c r="G103" s="605"/>
      <c r="H103" s="605"/>
      <c r="I103" s="605"/>
      <c r="J103" s="605"/>
      <c r="K103" s="605"/>
      <c r="L103" s="104"/>
      <c r="M103" s="433"/>
      <c r="N103" s="80"/>
      <c r="AD103" s="8"/>
      <c r="AE103" s="8"/>
    </row>
    <row r="104" spans="1:53" ht="32.1" customHeight="1" thickBot="1">
      <c r="A104" s="153"/>
      <c r="B104" s="154"/>
      <c r="C104" s="154"/>
      <c r="D104" s="154"/>
      <c r="E104" s="578"/>
      <c r="F104" s="579"/>
      <c r="G104" s="579"/>
      <c r="H104" s="579"/>
      <c r="I104" s="579"/>
      <c r="J104" s="579"/>
      <c r="K104" s="580"/>
      <c r="L104" s="154"/>
      <c r="M104" s="434"/>
      <c r="N104" s="155"/>
    </row>
    <row r="105" spans="1:53" ht="17.399999999999999">
      <c r="A105" s="70"/>
      <c r="B105" s="70"/>
      <c r="C105" s="70"/>
      <c r="D105" s="564"/>
      <c r="E105" s="564"/>
      <c r="F105" s="564"/>
      <c r="G105" s="564"/>
      <c r="H105" s="564"/>
      <c r="I105" s="564"/>
      <c r="J105" s="564"/>
      <c r="K105" s="564"/>
      <c r="L105" s="564"/>
      <c r="M105" s="564"/>
      <c r="N105" s="564"/>
    </row>
    <row r="106" spans="1:53" ht="17.399999999999999">
      <c r="A106" s="70"/>
      <c r="B106" s="70"/>
      <c r="C106" s="89" t="str">
        <f>VLOOKUP(1035,Sprachindex!$A:$Z,Info!$O$7,FALSE)</f>
        <v>Zusatzvermerk:</v>
      </c>
      <c r="D106" s="565"/>
      <c r="E106" s="565"/>
      <c r="F106" s="565"/>
      <c r="G106" s="565"/>
      <c r="H106" s="565"/>
      <c r="I106" s="565"/>
      <c r="J106" s="565"/>
      <c r="K106" s="565"/>
      <c r="L106" s="565"/>
      <c r="M106" s="565"/>
      <c r="N106" s="565"/>
      <c r="O106" s="196">
        <f>SUM(O31:O104)</f>
        <v>0</v>
      </c>
    </row>
    <row r="107" spans="1:53" ht="17.399999999999999">
      <c r="A107" s="70"/>
      <c r="B107" s="70"/>
      <c r="C107" s="70"/>
      <c r="D107" s="566"/>
      <c r="E107" s="566"/>
      <c r="F107" s="566"/>
      <c r="G107" s="566"/>
      <c r="H107" s="566"/>
      <c r="I107" s="566"/>
      <c r="J107" s="566"/>
      <c r="K107" s="566"/>
      <c r="L107" s="566"/>
      <c r="M107" s="566"/>
      <c r="N107" s="566"/>
    </row>
    <row r="108" spans="1:53" ht="17.399999999999999">
      <c r="A108" s="70"/>
      <c r="B108" s="70"/>
      <c r="C108" s="70"/>
      <c r="D108" s="565"/>
      <c r="E108" s="565"/>
      <c r="F108" s="565"/>
      <c r="G108" s="565"/>
      <c r="H108" s="565"/>
      <c r="I108" s="565"/>
      <c r="J108" s="565"/>
      <c r="K108" s="565"/>
      <c r="L108" s="565"/>
      <c r="M108" s="565"/>
      <c r="N108" s="565"/>
    </row>
    <row r="109" spans="1:53" ht="17.399999999999999">
      <c r="A109" s="70"/>
      <c r="B109" s="70"/>
      <c r="C109" s="70"/>
      <c r="D109" s="566"/>
      <c r="E109" s="566"/>
      <c r="F109" s="566"/>
      <c r="G109" s="566"/>
      <c r="H109" s="566"/>
      <c r="I109" s="566"/>
      <c r="J109" s="566"/>
      <c r="K109" s="566"/>
      <c r="L109" s="566"/>
      <c r="M109" s="566"/>
      <c r="N109" s="566"/>
    </row>
    <row r="110" spans="1:53" ht="17.399999999999999">
      <c r="A110" s="70"/>
      <c r="B110" s="70"/>
      <c r="C110" s="70"/>
      <c r="D110" s="565"/>
      <c r="E110" s="565"/>
      <c r="F110" s="565"/>
      <c r="G110" s="565"/>
      <c r="H110" s="565"/>
      <c r="I110" s="565"/>
      <c r="J110" s="565"/>
      <c r="K110" s="565"/>
      <c r="L110" s="565"/>
      <c r="M110" s="565"/>
      <c r="N110" s="565"/>
    </row>
    <row r="111" spans="1:53" ht="13.8"/>
    <row r="112" spans="1:53" ht="13.8"/>
    <row r="113" spans="1:14" ht="17.399999999999999">
      <c r="A113" s="90" t="str">
        <f>VLOOKUP(2097,Sprachindex!$A:$Z,Info!$O$7,FALSE)</f>
        <v>Produkttechnik</v>
      </c>
      <c r="B113" s="91"/>
      <c r="C113" s="91"/>
      <c r="D113" s="569"/>
      <c r="E113" s="569"/>
      <c r="F113" s="569"/>
      <c r="G113" s="569"/>
      <c r="H113" s="569"/>
      <c r="I113" s="569"/>
      <c r="J113" s="569"/>
      <c r="K113" s="92" t="str">
        <f>VLOOKUP(856,Sprachindex!$A:$Z,Info!$O$7,FALSE)</f>
        <v>Stand:</v>
      </c>
      <c r="L113" s="567">
        <f>Info!M59</f>
        <v>45511</v>
      </c>
      <c r="M113" s="567"/>
      <c r="N113" s="568"/>
    </row>
    <row r="114" spans="1:14" ht="13.8"/>
    <row r="115" spans="1:14" ht="13.8" hidden="1"/>
    <row r="116" spans="1:14" ht="13.8" hidden="1"/>
    <row r="117" spans="1:14" ht="13.8" hidden="1"/>
    <row r="118" spans="1:14" ht="13.8" hidden="1"/>
    <row r="119" spans="1:14" ht="13.8" hidden="1"/>
    <row r="120" spans="1:14" ht="13.8" hidden="1"/>
    <row r="121" spans="1:14" ht="13.8" hidden="1"/>
    <row r="122" spans="1:14" ht="14.25" hidden="1" customHeight="1"/>
    <row r="123" spans="1:14" ht="14.25" hidden="1" customHeight="1"/>
  </sheetData>
  <sheetProtection algorithmName="SHA-512" hashValue="2ujfq0AJIQ+2BPPXHvw1mMg7GRHMfOLzNoK8CPqvhLtLYtsDstr8NVh2aOUxa59ogxngt+folFhtSnRMyGvVgg==" saltValue="2+KX5jzzh5u2wkDkJMcpjw==" spinCount="100000" sheet="1" objects="1" selectLockedCells="1" autoFilter="0"/>
  <protectedRanges>
    <protectedRange password="DEBF" sqref="AF97" name="darf vom Benutzer nicht verändert werden_1_12"/>
    <protectedRange password="DEBF" sqref="AD102:AE103" name="darf vom Benutzer nicht verändert werden_1_5_10"/>
    <protectedRange password="DEBF" sqref="AD31:AE31" name="darf vom Benutzer nicht verändert werden_1_5_2_2_2_1"/>
    <protectedRange password="DEBF" sqref="AD32" name="darf vom Benutzer nicht verändert werden_1_5_2_7"/>
    <protectedRange password="DEBF" sqref="AE32" name="darf vom Benutzer nicht verändert werden_1_3"/>
    <protectedRange password="DEBF" sqref="AE33" name="darf vom Benutzer nicht verändert werden_1_1_2"/>
    <protectedRange password="DEBF" sqref="AD33" name="darf vom Benutzer nicht verändert werden_1_4_3"/>
    <protectedRange password="DEBF" sqref="AE36" name="darf vom Benutzer nicht verändert werden_1_2_2"/>
    <protectedRange password="DEBF" sqref="AD36 AD37:AE47" name="darf vom Benutzer nicht verändert werden_1_5_11"/>
    <protectedRange password="DEBF" sqref="AD48:AE48" name="darf vom Benutzer nicht verändert werden_1_5_12"/>
    <protectedRange password="DEBF" sqref="AD52:AE68" name="darf vom Benutzer nicht verändert werden_1_5_13"/>
    <protectedRange password="DEBF" sqref="AD69:AE69" name="darf vom Benutzer nicht verändert werden_1_5_14"/>
    <protectedRange password="DEBF" sqref="AD70:AE70" name="darf vom Benutzer nicht verändert werden_1_5_15"/>
    <protectedRange password="DEBF" sqref="AD71:AE78 AD80:AE82 AD84:AE94" name="darf vom Benutzer nicht verändert werden_1_5_16"/>
    <protectedRange password="DEBF" sqref="AD96:AE97 AD100:AE101" name="darf vom Benutzer nicht verändert werden_1_5_17"/>
    <protectedRange password="DEBF" sqref="AF101" name="darf vom Benutzer nicht verändert werden_1_12_2"/>
    <protectedRange password="DEBF" sqref="AF100" name="darf vom Benutzer nicht verändert werden_1_12_3"/>
    <protectedRange password="DEBF" sqref="AD95:AE95" name="darf vom Benutzer nicht verändert werden_1_5"/>
    <protectedRange password="DEBF" sqref="AD35:AE35" name="darf vom Benutzer nicht verändert werden_1_5_1"/>
    <protectedRange password="DEBF" sqref="AD49:AE51" name="darf vom Benutzer nicht verändert werden_1_5_14_1"/>
    <protectedRange password="DEBF" sqref="AD79:AE79" name="darf vom Benutzer nicht verändert werden_1_5_2"/>
    <protectedRange password="DEBF" sqref="AD83:AE83" name="darf vom Benutzer nicht verändert werden_1_5_3"/>
    <protectedRange password="DEBF" sqref="AE34" name="darf vom Benutzer nicht verändert werden_1_2"/>
    <protectedRange password="DEBF" sqref="AD34" name="darf vom Benutzer nicht verändert werden_1_5_2_5"/>
    <protectedRange password="DEBF" sqref="AD98:AE99" name="darf vom Benutzer nicht verändert werden_1_5_4"/>
  </protectedRanges>
  <autoFilter ref="A29:A104" xr:uid="{00000000-0009-0000-0000-000004000000}"/>
  <mergeCells count="106">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36:G36"/>
    <mergeCell ref="H36:K36"/>
    <mergeCell ref="E48:K48"/>
    <mergeCell ref="E53:H53"/>
    <mergeCell ref="J53:K53"/>
    <mergeCell ref="E43:K43"/>
    <mergeCell ref="E44:K44"/>
    <mergeCell ref="H46:K46"/>
    <mergeCell ref="E45:K45"/>
    <mergeCell ref="E97:K97"/>
    <mergeCell ref="D113:J113"/>
    <mergeCell ref="E102:K102"/>
    <mergeCell ref="E103:K103"/>
    <mergeCell ref="E104:K104"/>
    <mergeCell ref="E101:G101"/>
    <mergeCell ref="E100:H100"/>
    <mergeCell ref="I100:K100"/>
    <mergeCell ref="E98:K98"/>
    <mergeCell ref="E99:K99"/>
    <mergeCell ref="D105:N106"/>
    <mergeCell ref="D107:N108"/>
    <mergeCell ref="D109:N110"/>
    <mergeCell ref="L113:N113"/>
    <mergeCell ref="E96:K96"/>
    <mergeCell ref="E92:K92"/>
    <mergeCell ref="E80:K80"/>
    <mergeCell ref="E71:K71"/>
    <mergeCell ref="E72:K72"/>
    <mergeCell ref="E73:K73"/>
    <mergeCell ref="E74:K74"/>
    <mergeCell ref="E75:K75"/>
    <mergeCell ref="E76:K76"/>
    <mergeCell ref="E77:K77"/>
    <mergeCell ref="E90:K90"/>
    <mergeCell ref="E93:K93"/>
    <mergeCell ref="E86:K86"/>
    <mergeCell ref="E87:K87"/>
    <mergeCell ref="E88:K88"/>
    <mergeCell ref="E89:K89"/>
    <mergeCell ref="E91:K91"/>
    <mergeCell ref="E79:K79"/>
    <mergeCell ref="E83:K83"/>
    <mergeCell ref="E95:K95"/>
    <mergeCell ref="E78:K78"/>
    <mergeCell ref="E52:K52"/>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1:K31"/>
    <mergeCell ref="E32:K32"/>
    <mergeCell ref="E47:G47"/>
    <mergeCell ref="H47:K47"/>
    <mergeCell ref="E69:K69"/>
    <mergeCell ref="E54:H54"/>
    <mergeCell ref="J54:K54"/>
    <mergeCell ref="E56:K56"/>
    <mergeCell ref="E57:K57"/>
    <mergeCell ref="E59:K59"/>
    <mergeCell ref="E66:K66"/>
    <mergeCell ref="E94:K94"/>
    <mergeCell ref="E81:K81"/>
    <mergeCell ref="E82:K82"/>
    <mergeCell ref="E84:K84"/>
    <mergeCell ref="E85:K85"/>
    <mergeCell ref="E55:H55"/>
    <mergeCell ref="J55:K55"/>
    <mergeCell ref="E50:K50"/>
    <mergeCell ref="E51:K51"/>
    <mergeCell ref="B24:B27"/>
    <mergeCell ref="C24:E24"/>
    <mergeCell ref="C25:E25"/>
    <mergeCell ref="C26:E26"/>
    <mergeCell ref="C27:E27"/>
    <mergeCell ref="C15:E15"/>
    <mergeCell ref="C21:E21"/>
    <mergeCell ref="C20:E20"/>
    <mergeCell ref="C19:E19"/>
  </mergeCells>
  <conditionalFormatting sqref="A31:A104">
    <cfRule type="cellIs" dxfId="1488" priority="20" operator="equal">
      <formula>""</formula>
    </cfRule>
  </conditionalFormatting>
  <conditionalFormatting sqref="B102:E104">
    <cfRule type="cellIs" dxfId="1487" priority="269" operator="equal">
      <formula>""</formula>
    </cfRule>
  </conditionalFormatting>
  <conditionalFormatting sqref="C9:C11 C13:C15 C18:C21">
    <cfRule type="cellIs" dxfId="1485" priority="792" operator="equal">
      <formula>""</formula>
    </cfRule>
  </conditionalFormatting>
  <conditionalFormatting sqref="C24:E27">
    <cfRule type="cellIs" dxfId="1484" priority="278" operator="equal">
      <formula>""</formula>
    </cfRule>
  </conditionalFormatting>
  <conditionalFormatting sqref="D65">
    <cfRule type="duplicateValues" dxfId="1483" priority="292"/>
  </conditionalFormatting>
  <conditionalFormatting sqref="D66">
    <cfRule type="duplicateValues" dxfId="1482" priority="293"/>
  </conditionalFormatting>
  <conditionalFormatting sqref="D67">
    <cfRule type="duplicateValues" dxfId="1481" priority="483"/>
  </conditionalFormatting>
  <conditionalFormatting sqref="D75">
    <cfRule type="duplicateValues" dxfId="1480" priority="526"/>
  </conditionalFormatting>
  <conditionalFormatting sqref="H34:K34">
    <cfRule type="cellIs" dxfId="1478" priority="28" operator="equal">
      <formula>""</formula>
    </cfRule>
  </conditionalFormatting>
  <conditionalFormatting sqref="I13">
    <cfRule type="expression" dxfId="1474" priority="1983">
      <formula>$P$13=1</formula>
    </cfRule>
    <cfRule type="expression" dxfId="1473" priority="1982">
      <formula>$P$13=2</formula>
    </cfRule>
  </conditionalFormatting>
  <conditionalFormatting sqref="I21:I22 I28">
    <cfRule type="expression" dxfId="1472" priority="1984">
      <formula>$P$21=10</formula>
    </cfRule>
  </conditionalFormatting>
  <conditionalFormatting sqref="I24:I26">
    <cfRule type="cellIs" dxfId="1471" priority="18" operator="equal">
      <formula>""</formula>
    </cfRule>
  </conditionalFormatting>
  <conditionalFormatting sqref="J21:K22 J28:K28">
    <cfRule type="expression" dxfId="1468" priority="1986">
      <formula>$P$21=10</formula>
    </cfRule>
  </conditionalFormatting>
  <conditionalFormatting sqref="L13">
    <cfRule type="expression" dxfId="1465" priority="1989">
      <formula>$P$13=2</formula>
    </cfRule>
    <cfRule type="expression" dxfId="1464" priority="1988">
      <formula>$P$13=1</formula>
    </cfRule>
  </conditionalFormatting>
  <conditionalFormatting sqref="L102:N104">
    <cfRule type="cellIs" dxfId="1463" priority="270" operator="equal">
      <formula>""</formula>
    </cfRule>
  </conditionalFormatting>
  <conditionalFormatting sqref="AH45">
    <cfRule type="duplicateValues" dxfId="1460" priority="223"/>
  </conditionalFormatting>
  <conditionalFormatting sqref="AH46">
    <cfRule type="duplicateValues" dxfId="1459" priority="249"/>
  </conditionalFormatting>
  <conditionalFormatting sqref="AH47">
    <cfRule type="duplicateValues" dxfId="1458" priority="242"/>
  </conditionalFormatting>
  <conditionalFormatting sqref="AH48 AH50:AH51">
    <cfRule type="duplicateValues" dxfId="1457" priority="235"/>
  </conditionalFormatting>
  <conditionalFormatting sqref="AH84">
    <cfRule type="duplicateValues" dxfId="1456" priority="68"/>
  </conditionalFormatting>
  <conditionalFormatting sqref="AH100:AL100">
    <cfRule type="duplicateValues" dxfId="1455" priority="493"/>
  </conditionalFormatting>
  <conditionalFormatting sqref="AH49:AP49">
    <cfRule type="duplicateValues" dxfId="1454" priority="36"/>
  </conditionalFormatting>
  <conditionalFormatting sqref="AH53:AP53">
    <cfRule type="duplicateValues" dxfId="1453" priority="206"/>
  </conditionalFormatting>
  <conditionalFormatting sqref="AH54:AP54 AR54:AZ54">
    <cfRule type="duplicateValues" dxfId="1452" priority="167"/>
  </conditionalFormatting>
  <conditionalFormatting sqref="AH55:AP55 AR55:BA55">
    <cfRule type="duplicateValues" dxfId="1451" priority="123"/>
  </conditionalFormatting>
  <conditionalFormatting sqref="AH60:AP60">
    <cfRule type="duplicateValues" dxfId="1450" priority="138"/>
  </conditionalFormatting>
  <conditionalFormatting sqref="AH61:AP61">
    <cfRule type="duplicateValues" dxfId="1449" priority="136"/>
  </conditionalFormatting>
  <conditionalFormatting sqref="AH62:AP62">
    <cfRule type="duplicateValues" dxfId="1448" priority="131"/>
  </conditionalFormatting>
  <conditionalFormatting sqref="AH63:AP63">
    <cfRule type="duplicateValues" dxfId="1447" priority="129"/>
  </conditionalFormatting>
  <conditionalFormatting sqref="AH64:AP64">
    <cfRule type="duplicateValues" dxfId="1446" priority="134"/>
  </conditionalFormatting>
  <conditionalFormatting sqref="AH68:AP68">
    <cfRule type="duplicateValues" dxfId="1445" priority="527"/>
  </conditionalFormatting>
  <conditionalFormatting sqref="AH73:AP73">
    <cfRule type="duplicateValues" dxfId="1444" priority="86"/>
  </conditionalFormatting>
  <conditionalFormatting sqref="AH74:AP74">
    <cfRule type="duplicateValues" dxfId="1443" priority="83"/>
  </conditionalFormatting>
  <conditionalFormatting sqref="AH77:AP77">
    <cfRule type="duplicateValues" dxfId="1442" priority="476"/>
  </conditionalFormatting>
  <conditionalFormatting sqref="AH78:AP78">
    <cfRule type="duplicateValues" dxfId="1441" priority="72"/>
  </conditionalFormatting>
  <conditionalFormatting sqref="AH80:AP80">
    <cfRule type="duplicateValues" dxfId="1440" priority="76"/>
  </conditionalFormatting>
  <conditionalFormatting sqref="AH81:AP81">
    <cfRule type="duplicateValues" dxfId="1439" priority="71"/>
  </conditionalFormatting>
  <conditionalFormatting sqref="AH82:AP82">
    <cfRule type="duplicateValues" dxfId="1438" priority="70"/>
  </conditionalFormatting>
  <conditionalFormatting sqref="AH85:AP85">
    <cfRule type="duplicateValues" dxfId="1437" priority="67"/>
  </conditionalFormatting>
  <conditionalFormatting sqref="AH86:AP86">
    <cfRule type="duplicateValues" dxfId="1436" priority="66"/>
  </conditionalFormatting>
  <conditionalFormatting sqref="AH87:AP87">
    <cfRule type="duplicateValues" dxfId="1435" priority="65"/>
  </conditionalFormatting>
  <conditionalFormatting sqref="AH88:AP88">
    <cfRule type="duplicateValues" dxfId="1434" priority="64"/>
  </conditionalFormatting>
  <conditionalFormatting sqref="AH89:AP89">
    <cfRule type="duplicateValues" dxfId="1433" priority="63"/>
  </conditionalFormatting>
  <conditionalFormatting sqref="AH90:AP90">
    <cfRule type="duplicateValues" dxfId="1432" priority="77"/>
  </conditionalFormatting>
  <conditionalFormatting sqref="AH91:AP91">
    <cfRule type="duplicateValues" dxfId="1431" priority="62"/>
  </conditionalFormatting>
  <conditionalFormatting sqref="AH92:AP92">
    <cfRule type="duplicateValues" dxfId="1430" priority="61"/>
  </conditionalFormatting>
  <conditionalFormatting sqref="AH101:AP101">
    <cfRule type="duplicateValues" dxfId="1429" priority="44"/>
  </conditionalFormatting>
  <conditionalFormatting sqref="AH56:AQ56">
    <cfRule type="duplicateValues" dxfId="1428" priority="141"/>
  </conditionalFormatting>
  <conditionalFormatting sqref="AH57:AQ57">
    <cfRule type="duplicateValues" dxfId="1427" priority="132"/>
  </conditionalFormatting>
  <conditionalFormatting sqref="AH58:AQ58">
    <cfRule type="duplicateValues" dxfId="1426" priority="140"/>
  </conditionalFormatting>
  <conditionalFormatting sqref="AH59:AQ59 AQ60:AQ62">
    <cfRule type="duplicateValues" dxfId="1425" priority="139"/>
  </conditionalFormatting>
  <conditionalFormatting sqref="AH69:AQ69">
    <cfRule type="duplicateValues" dxfId="1424" priority="5"/>
  </conditionalFormatting>
  <conditionalFormatting sqref="AH71:AQ71">
    <cfRule type="duplicateValues" dxfId="1423" priority="88"/>
  </conditionalFormatting>
  <conditionalFormatting sqref="AH72:AQ72">
    <cfRule type="duplicateValues" dxfId="1422" priority="87"/>
  </conditionalFormatting>
  <conditionalFormatting sqref="AH79:AQ79">
    <cfRule type="duplicateValues" dxfId="1421" priority="27"/>
  </conditionalFormatting>
  <conditionalFormatting sqref="AH83:AQ83">
    <cfRule type="duplicateValues" dxfId="1420" priority="30"/>
  </conditionalFormatting>
  <conditionalFormatting sqref="AH31:AU31">
    <cfRule type="duplicateValues" dxfId="1419" priority="17"/>
  </conditionalFormatting>
  <conditionalFormatting sqref="AH38:AU44">
    <cfRule type="duplicateValues" dxfId="1418" priority="15"/>
  </conditionalFormatting>
  <conditionalFormatting sqref="AH52:AU52">
    <cfRule type="duplicateValues" dxfId="1417" priority="13"/>
  </conditionalFormatting>
  <conditionalFormatting sqref="AH70:AU70">
    <cfRule type="duplicateValues" dxfId="1416" priority="4"/>
  </conditionalFormatting>
  <conditionalFormatting sqref="AH76:AU76">
    <cfRule type="duplicateValues" dxfId="1415" priority="11"/>
  </conditionalFormatting>
  <conditionalFormatting sqref="AI45">
    <cfRule type="duplicateValues" dxfId="1414" priority="220"/>
  </conditionalFormatting>
  <conditionalFormatting sqref="AI46">
    <cfRule type="duplicateValues" dxfId="1413" priority="246"/>
  </conditionalFormatting>
  <conditionalFormatting sqref="AI47">
    <cfRule type="duplicateValues" dxfId="1412" priority="239"/>
  </conditionalFormatting>
  <conditionalFormatting sqref="AI48 AI50:AI51">
    <cfRule type="duplicateValues" dxfId="1411" priority="234"/>
  </conditionalFormatting>
  <conditionalFormatting sqref="AI84:AP84">
    <cfRule type="duplicateValues" dxfId="1410" priority="69"/>
  </conditionalFormatting>
  <conditionalFormatting sqref="AJ45">
    <cfRule type="duplicateValues" dxfId="1409" priority="221"/>
  </conditionalFormatting>
  <conditionalFormatting sqref="AJ46">
    <cfRule type="duplicateValues" dxfId="1408" priority="247"/>
  </conditionalFormatting>
  <conditionalFormatting sqref="AJ47">
    <cfRule type="duplicateValues" dxfId="1407" priority="240"/>
  </conditionalFormatting>
  <conditionalFormatting sqref="AJ48 AJ50:AJ51">
    <cfRule type="duplicateValues" dxfId="1406" priority="233"/>
  </conditionalFormatting>
  <conditionalFormatting sqref="AK45">
    <cfRule type="duplicateValues" dxfId="1405" priority="217"/>
  </conditionalFormatting>
  <conditionalFormatting sqref="AK46">
    <cfRule type="duplicateValues" dxfId="1404" priority="243"/>
  </conditionalFormatting>
  <conditionalFormatting sqref="AK47">
    <cfRule type="duplicateValues" dxfId="1403" priority="241"/>
  </conditionalFormatting>
  <conditionalFormatting sqref="AK48 AK50:AK51">
    <cfRule type="duplicateValues" dxfId="1402" priority="232"/>
  </conditionalFormatting>
  <conditionalFormatting sqref="AL45">
    <cfRule type="duplicateValues" dxfId="1401" priority="216"/>
  </conditionalFormatting>
  <conditionalFormatting sqref="AL48 AL50:AL51">
    <cfRule type="duplicateValues" dxfId="1400" priority="231"/>
  </conditionalFormatting>
  <conditionalFormatting sqref="AM45">
    <cfRule type="duplicateValues" dxfId="1399" priority="222"/>
  </conditionalFormatting>
  <conditionalFormatting sqref="AM46">
    <cfRule type="duplicateValues" dxfId="1398" priority="248"/>
  </conditionalFormatting>
  <conditionalFormatting sqref="AM47">
    <cfRule type="duplicateValues" dxfId="1397" priority="238"/>
  </conditionalFormatting>
  <conditionalFormatting sqref="AM48 AM50:AM51">
    <cfRule type="duplicateValues" dxfId="1396" priority="230"/>
  </conditionalFormatting>
  <conditionalFormatting sqref="AM35:AQ35 AH35:AK35">
    <cfRule type="duplicateValues" dxfId="1395" priority="38"/>
  </conditionalFormatting>
  <conditionalFormatting sqref="AN45">
    <cfRule type="duplicateValues" dxfId="1394" priority="218"/>
  </conditionalFormatting>
  <conditionalFormatting sqref="AN46">
    <cfRule type="duplicateValues" dxfId="1393" priority="244"/>
  </conditionalFormatting>
  <conditionalFormatting sqref="AN47">
    <cfRule type="duplicateValues" dxfId="1392" priority="236"/>
  </conditionalFormatting>
  <conditionalFormatting sqref="AN48 AN50:AN51">
    <cfRule type="duplicateValues" dxfId="1391" priority="229"/>
  </conditionalFormatting>
  <conditionalFormatting sqref="AO45">
    <cfRule type="duplicateValues" dxfId="1390" priority="219"/>
  </conditionalFormatting>
  <conditionalFormatting sqref="AO46">
    <cfRule type="duplicateValues" dxfId="1389" priority="245"/>
  </conditionalFormatting>
  <conditionalFormatting sqref="AO47">
    <cfRule type="duplicateValues" dxfId="1388" priority="237"/>
  </conditionalFormatting>
  <conditionalFormatting sqref="AO48 AO50:AO51">
    <cfRule type="duplicateValues" dxfId="1387" priority="228"/>
  </conditionalFormatting>
  <conditionalFormatting sqref="AP45">
    <cfRule type="duplicateValues" dxfId="1386" priority="215"/>
  </conditionalFormatting>
  <conditionalFormatting sqref="AP46">
    <cfRule type="duplicateValues" dxfId="1385" priority="214"/>
  </conditionalFormatting>
  <conditionalFormatting sqref="AP47">
    <cfRule type="duplicateValues" dxfId="1384" priority="213"/>
  </conditionalFormatting>
  <conditionalFormatting sqref="AP48 AP50:AP51">
    <cfRule type="duplicateValues" dxfId="1383" priority="227"/>
  </conditionalFormatting>
  <conditionalFormatting sqref="AQ45">
    <cfRule type="duplicateValues" dxfId="1382" priority="209"/>
  </conditionalFormatting>
  <conditionalFormatting sqref="AQ46">
    <cfRule type="duplicateValues" dxfId="1381" priority="211"/>
  </conditionalFormatting>
  <conditionalFormatting sqref="AQ47">
    <cfRule type="duplicateValues" dxfId="1380" priority="210"/>
  </conditionalFormatting>
  <conditionalFormatting sqref="AQ48 AQ50:AQ51">
    <cfRule type="duplicateValues" dxfId="1379" priority="212"/>
  </conditionalFormatting>
  <conditionalFormatting sqref="AQ60">
    <cfRule type="duplicateValues" dxfId="1378" priority="137"/>
  </conditionalFormatting>
  <conditionalFormatting sqref="AQ61">
    <cfRule type="duplicateValues" dxfId="1377" priority="135"/>
  </conditionalFormatting>
  <conditionalFormatting sqref="AQ62">
    <cfRule type="duplicateValues" dxfId="1376" priority="130"/>
  </conditionalFormatting>
  <conditionalFormatting sqref="AQ63">
    <cfRule type="duplicateValues" dxfId="1375" priority="128"/>
  </conditionalFormatting>
  <conditionalFormatting sqref="AQ64">
    <cfRule type="duplicateValues" dxfId="1374" priority="133"/>
  </conditionalFormatting>
  <conditionalFormatting sqref="AQ68">
    <cfRule type="duplicateValues" dxfId="1373" priority="89"/>
  </conditionalFormatting>
  <conditionalFormatting sqref="AQ73">
    <cfRule type="duplicateValues" dxfId="1372" priority="85"/>
  </conditionalFormatting>
  <conditionalFormatting sqref="AQ74">
    <cfRule type="duplicateValues" dxfId="1371" priority="84"/>
  </conditionalFormatting>
  <conditionalFormatting sqref="AQ77">
    <cfRule type="duplicateValues" dxfId="1370" priority="78"/>
  </conditionalFormatting>
  <conditionalFormatting sqref="AQ78">
    <cfRule type="duplicateValues" dxfId="1369" priority="57"/>
  </conditionalFormatting>
  <conditionalFormatting sqref="AQ80">
    <cfRule type="duplicateValues" dxfId="1368" priority="54"/>
  </conditionalFormatting>
  <conditionalFormatting sqref="AQ81">
    <cfRule type="duplicateValues" dxfId="1367" priority="56"/>
  </conditionalFormatting>
  <conditionalFormatting sqref="AQ82">
    <cfRule type="duplicateValues" dxfId="1366" priority="55"/>
  </conditionalFormatting>
  <conditionalFormatting sqref="AQ84">
    <cfRule type="duplicateValues" dxfId="1365" priority="52"/>
  </conditionalFormatting>
  <conditionalFormatting sqref="AQ85">
    <cfRule type="duplicateValues" dxfId="1364" priority="51"/>
  </conditionalFormatting>
  <conditionalFormatting sqref="AQ86">
    <cfRule type="duplicateValues" dxfId="1363" priority="50"/>
  </conditionalFormatting>
  <conditionalFormatting sqref="AQ87">
    <cfRule type="duplicateValues" dxfId="1362" priority="49"/>
  </conditionalFormatting>
  <conditionalFormatting sqref="AQ88">
    <cfRule type="duplicateValues" dxfId="1361" priority="48"/>
  </conditionalFormatting>
  <conditionalFormatting sqref="AQ89">
    <cfRule type="duplicateValues" dxfId="1360" priority="47"/>
  </conditionalFormatting>
  <conditionalFormatting sqref="AQ90">
    <cfRule type="duplicateValues" dxfId="1359" priority="53"/>
  </conditionalFormatting>
  <conditionalFormatting sqref="AQ91">
    <cfRule type="duplicateValues" dxfId="1358" priority="46"/>
  </conditionalFormatting>
  <conditionalFormatting sqref="AQ92">
    <cfRule type="duplicateValues" dxfId="1357" priority="45"/>
  </conditionalFormatting>
  <conditionalFormatting sqref="AQ101">
    <cfRule type="duplicateValues" dxfId="1356" priority="40"/>
  </conditionalFormatting>
  <conditionalFormatting sqref="AR69:AU69">
    <cfRule type="duplicateValues" dxfId="1355" priority="7"/>
  </conditionalFormatting>
  <conditionalFormatting sqref="AR101:AU101">
    <cfRule type="duplicateValues" dxfId="1354" priority="43"/>
  </conditionalFormatting>
  <conditionalFormatting sqref="AR49:AZ49">
    <cfRule type="duplicateValues" dxfId="1353" priority="35"/>
  </conditionalFormatting>
  <conditionalFormatting sqref="AR53:BA53">
    <cfRule type="duplicateValues" dxfId="1352" priority="205"/>
  </conditionalFormatting>
  <conditionalFormatting sqref="AV101:AZ101">
    <cfRule type="duplicateValues" dxfId="1351" priority="42"/>
  </conditionalFormatting>
  <conditionalFormatting sqref="AV31:BA31">
    <cfRule type="duplicateValues" dxfId="1350" priority="16"/>
  </conditionalFormatting>
  <conditionalFormatting sqref="AV38:BA44">
    <cfRule type="duplicateValues" dxfId="1349" priority="14"/>
  </conditionalFormatting>
  <conditionalFormatting sqref="AV52:BA52">
    <cfRule type="duplicateValues" dxfId="1348" priority="12"/>
  </conditionalFormatting>
  <conditionalFormatting sqref="AV69:BA69">
    <cfRule type="duplicateValues" dxfId="1347" priority="6"/>
  </conditionalFormatting>
  <conditionalFormatting sqref="AV70:BA70">
    <cfRule type="duplicateValues" dxfId="1346" priority="3"/>
  </conditionalFormatting>
  <conditionalFormatting sqref="AV76:BA76">
    <cfRule type="duplicateValues" dxfId="1345" priority="10"/>
  </conditionalFormatting>
  <conditionalFormatting sqref="BA49">
    <cfRule type="duplicateValues" dxfId="1344" priority="34"/>
  </conditionalFormatting>
  <conditionalFormatting sqref="BA54">
    <cfRule type="duplicateValues" dxfId="1343" priority="115"/>
  </conditionalFormatting>
  <conditionalFormatting sqref="BA101">
    <cfRule type="duplicateValues" dxfId="1342" priority="41"/>
  </conditionalFormatting>
  <conditionalFormatting sqref="BC53:BK53">
    <cfRule type="duplicateValues" dxfId="1341" priority="204"/>
  </conditionalFormatting>
  <conditionalFormatting sqref="BC54:BK54 BM54:BU54">
    <cfRule type="duplicateValues" dxfId="1340" priority="147"/>
  </conditionalFormatting>
  <conditionalFormatting sqref="BC55:BK55 BM55:BV55">
    <cfRule type="duplicateValues" dxfId="1339" priority="122"/>
  </conditionalFormatting>
  <conditionalFormatting sqref="BM53:BU53">
    <cfRule type="duplicateValues" dxfId="1338" priority="203"/>
  </conditionalFormatting>
  <conditionalFormatting sqref="BV53">
    <cfRule type="duplicateValues" dxfId="1337" priority="114"/>
  </conditionalFormatting>
  <conditionalFormatting sqref="BV54">
    <cfRule type="duplicateValues" dxfId="1336" priority="113"/>
  </conditionalFormatting>
  <conditionalFormatting sqref="BX53">
    <cfRule type="duplicateValues" dxfId="1335" priority="166"/>
  </conditionalFormatting>
  <conditionalFormatting sqref="BX54:CF54 CH54:CP54">
    <cfRule type="duplicateValues" dxfId="1334" priority="146"/>
  </conditionalFormatting>
  <conditionalFormatting sqref="BX55:CF55 CH55:CQ55">
    <cfRule type="duplicateValues" dxfId="1333" priority="121"/>
  </conditionalFormatting>
  <conditionalFormatting sqref="BY53:CF53">
    <cfRule type="duplicateValues" dxfId="1332" priority="202"/>
  </conditionalFormatting>
  <conditionalFormatting sqref="CH53:CQ53">
    <cfRule type="duplicateValues" dxfId="1331" priority="201"/>
  </conditionalFormatting>
  <conditionalFormatting sqref="CQ54">
    <cfRule type="duplicateValues" dxfId="1330" priority="112"/>
  </conditionalFormatting>
  <conditionalFormatting sqref="CS53">
    <cfRule type="duplicateValues" dxfId="1329" priority="165"/>
  </conditionalFormatting>
  <conditionalFormatting sqref="CS54:DA54 DX54:EF54">
    <cfRule type="duplicateValues" dxfId="1328" priority="145"/>
  </conditionalFormatting>
  <conditionalFormatting sqref="CS55:DA55 DX55:EG55">
    <cfRule type="duplicateValues" dxfId="1327" priority="120"/>
  </conditionalFormatting>
  <conditionalFormatting sqref="CT53:DA53">
    <cfRule type="duplicateValues" dxfId="1326" priority="207"/>
  </conditionalFormatting>
  <conditionalFormatting sqref="DC53:DK53">
    <cfRule type="duplicateValues" dxfId="1325" priority="208"/>
  </conditionalFormatting>
  <conditionalFormatting sqref="DC54:DK54">
    <cfRule type="duplicateValues" dxfId="1324" priority="124"/>
  </conditionalFormatting>
  <conditionalFormatting sqref="DC55:DL55">
    <cfRule type="duplicateValues" dxfId="1323" priority="118"/>
  </conditionalFormatting>
  <conditionalFormatting sqref="DL53">
    <cfRule type="duplicateValues" dxfId="1322" priority="111"/>
  </conditionalFormatting>
  <conditionalFormatting sqref="DL54">
    <cfRule type="duplicateValues" dxfId="1321" priority="110"/>
  </conditionalFormatting>
  <conditionalFormatting sqref="DN53">
    <cfRule type="duplicateValues" dxfId="1320" priority="164"/>
  </conditionalFormatting>
  <conditionalFormatting sqref="DO53:DV53">
    <cfRule type="duplicateValues" dxfId="1319" priority="199"/>
  </conditionalFormatting>
  <conditionalFormatting sqref="DX53:EF53">
    <cfRule type="duplicateValues" dxfId="1318" priority="200"/>
  </conditionalFormatting>
  <conditionalFormatting sqref="EG53">
    <cfRule type="duplicateValues" dxfId="1317" priority="109"/>
  </conditionalFormatting>
  <conditionalFormatting sqref="EG54">
    <cfRule type="duplicateValues" dxfId="1316" priority="108"/>
  </conditionalFormatting>
  <conditionalFormatting sqref="EI53">
    <cfRule type="duplicateValues" dxfId="1315" priority="163"/>
  </conditionalFormatting>
  <conditionalFormatting sqref="EI54:EQ54 ES54:FA54">
    <cfRule type="duplicateValues" dxfId="1314" priority="144"/>
  </conditionalFormatting>
  <conditionalFormatting sqref="EI55:EQ55 ES55:FB55">
    <cfRule type="duplicateValues" dxfId="1313" priority="119"/>
  </conditionalFormatting>
  <conditionalFormatting sqref="EJ53:EQ53">
    <cfRule type="duplicateValues" dxfId="1312" priority="198"/>
  </conditionalFormatting>
  <conditionalFormatting sqref="ES53:FA53">
    <cfRule type="duplicateValues" dxfId="1311" priority="125"/>
  </conditionalFormatting>
  <conditionalFormatting sqref="FB53">
    <cfRule type="duplicateValues" dxfId="1310" priority="107"/>
  </conditionalFormatting>
  <conditionalFormatting sqref="FB54">
    <cfRule type="duplicateValues" dxfId="1309" priority="106"/>
  </conditionalFormatting>
  <conditionalFormatting sqref="FD53">
    <cfRule type="duplicateValues" dxfId="1308" priority="162"/>
  </conditionalFormatting>
  <conditionalFormatting sqref="FD54:FL54 FN54:FV54">
    <cfRule type="duplicateValues" dxfId="1307" priority="143"/>
  </conditionalFormatting>
  <conditionalFormatting sqref="FE53:FL53">
    <cfRule type="duplicateValues" dxfId="1306" priority="197"/>
  </conditionalFormatting>
  <conditionalFormatting sqref="FN53:FV53">
    <cfRule type="duplicateValues" dxfId="1305" priority="196"/>
  </conditionalFormatting>
  <conditionalFormatting sqref="FW53">
    <cfRule type="duplicateValues" dxfId="1304" priority="105"/>
  </conditionalFormatting>
  <conditionalFormatting sqref="FW54">
    <cfRule type="duplicateValues" dxfId="1303" priority="104"/>
  </conditionalFormatting>
  <conditionalFormatting sqref="FY53">
    <cfRule type="duplicateValues" dxfId="1302" priority="161"/>
  </conditionalFormatting>
  <conditionalFormatting sqref="FY54:GG54 GI54:GQ54">
    <cfRule type="duplicateValues" dxfId="1301" priority="142"/>
  </conditionalFormatting>
  <conditionalFormatting sqref="FZ53:GG53">
    <cfRule type="duplicateValues" dxfId="1300" priority="195"/>
  </conditionalFormatting>
  <conditionalFormatting sqref="GI53:GQ53">
    <cfRule type="duplicateValues" dxfId="1299" priority="194"/>
  </conditionalFormatting>
  <conditionalFormatting sqref="GR53">
    <cfRule type="duplicateValues" dxfId="1298" priority="103"/>
  </conditionalFormatting>
  <conditionalFormatting sqref="GR54">
    <cfRule type="duplicateValues" dxfId="1297" priority="102"/>
  </conditionalFormatting>
  <conditionalFormatting sqref="GT53">
    <cfRule type="duplicateValues" dxfId="1296" priority="160"/>
  </conditionalFormatting>
  <conditionalFormatting sqref="GU53:HB53">
    <cfRule type="duplicateValues" dxfId="1295" priority="193"/>
  </conditionalFormatting>
  <conditionalFormatting sqref="HD53:HL53">
    <cfRule type="duplicateValues" dxfId="1294" priority="192"/>
  </conditionalFormatting>
  <conditionalFormatting sqref="HM53">
    <cfRule type="duplicateValues" dxfId="1293" priority="90"/>
  </conditionalFormatting>
  <conditionalFormatting sqref="HO53">
    <cfRule type="duplicateValues" dxfId="1292" priority="159"/>
  </conditionalFormatting>
  <conditionalFormatting sqref="HP53:HW53">
    <cfRule type="duplicateValues" dxfId="1291" priority="191"/>
  </conditionalFormatting>
  <conditionalFormatting sqref="HY53:IG53">
    <cfRule type="duplicateValues" dxfId="1290" priority="190"/>
  </conditionalFormatting>
  <conditionalFormatting sqref="IH53">
    <cfRule type="duplicateValues" dxfId="1289" priority="91"/>
  </conditionalFormatting>
  <conditionalFormatting sqref="IJ53">
    <cfRule type="duplicateValues" dxfId="1288" priority="158"/>
  </conditionalFormatting>
  <conditionalFormatting sqref="IK53:IR53">
    <cfRule type="duplicateValues" dxfId="1287" priority="189"/>
  </conditionalFormatting>
  <conditionalFormatting sqref="IT53:JB53">
    <cfRule type="duplicateValues" dxfId="1286" priority="188"/>
  </conditionalFormatting>
  <conditionalFormatting sqref="JC53">
    <cfRule type="duplicateValues" dxfId="1285" priority="92"/>
  </conditionalFormatting>
  <conditionalFormatting sqref="JE53">
    <cfRule type="duplicateValues" dxfId="1284" priority="157"/>
  </conditionalFormatting>
  <conditionalFormatting sqref="JF53:JM53">
    <cfRule type="duplicateValues" dxfId="1283" priority="187"/>
  </conditionalFormatting>
  <conditionalFormatting sqref="JO53:JW53">
    <cfRule type="duplicateValues" dxfId="1282" priority="186"/>
  </conditionalFormatting>
  <conditionalFormatting sqref="JX53">
    <cfRule type="duplicateValues" dxfId="1281" priority="93"/>
  </conditionalFormatting>
  <conditionalFormatting sqref="JZ53">
    <cfRule type="duplicateValues" dxfId="1280" priority="156"/>
  </conditionalFormatting>
  <conditionalFormatting sqref="KA53:KH53">
    <cfRule type="duplicateValues" dxfId="1279" priority="185"/>
  </conditionalFormatting>
  <conditionalFormatting sqref="KJ53:KR53">
    <cfRule type="duplicateValues" dxfId="1278" priority="184"/>
  </conditionalFormatting>
  <conditionalFormatting sqref="KS53">
    <cfRule type="duplicateValues" dxfId="1277" priority="94"/>
  </conditionalFormatting>
  <conditionalFormatting sqref="KU53">
    <cfRule type="duplicateValues" dxfId="1276" priority="155"/>
  </conditionalFormatting>
  <conditionalFormatting sqref="KV53:LC53">
    <cfRule type="duplicateValues" dxfId="1275" priority="183"/>
  </conditionalFormatting>
  <conditionalFormatting sqref="LE53:LM53">
    <cfRule type="duplicateValues" dxfId="1274" priority="182"/>
  </conditionalFormatting>
  <conditionalFormatting sqref="LN53">
    <cfRule type="duplicateValues" dxfId="1273" priority="95"/>
  </conditionalFormatting>
  <conditionalFormatting sqref="LP53">
    <cfRule type="duplicateValues" dxfId="1272" priority="154"/>
  </conditionalFormatting>
  <conditionalFormatting sqref="LQ53:LX53">
    <cfRule type="duplicateValues" dxfId="1271" priority="180"/>
  </conditionalFormatting>
  <conditionalFormatting sqref="LZ53:MH53">
    <cfRule type="duplicateValues" dxfId="1270" priority="181"/>
  </conditionalFormatting>
  <conditionalFormatting sqref="MI53">
    <cfRule type="duplicateValues" dxfId="1269" priority="96"/>
  </conditionalFormatting>
  <conditionalFormatting sqref="MK53">
    <cfRule type="duplicateValues" dxfId="1268" priority="153"/>
  </conditionalFormatting>
  <conditionalFormatting sqref="ML53:MS53">
    <cfRule type="duplicateValues" dxfId="1267" priority="179"/>
  </conditionalFormatting>
  <conditionalFormatting sqref="MU53:NC53">
    <cfRule type="duplicateValues" dxfId="1266" priority="178"/>
  </conditionalFormatting>
  <conditionalFormatting sqref="ND53">
    <cfRule type="duplicateValues" dxfId="1265" priority="97"/>
  </conditionalFormatting>
  <conditionalFormatting sqref="NF53">
    <cfRule type="duplicateValues" dxfId="1264" priority="152"/>
  </conditionalFormatting>
  <conditionalFormatting sqref="NG53:NN53">
    <cfRule type="duplicateValues" dxfId="1263" priority="177"/>
  </conditionalFormatting>
  <conditionalFormatting sqref="NP53:NX53">
    <cfRule type="duplicateValues" dxfId="1262" priority="176"/>
  </conditionalFormatting>
  <conditionalFormatting sqref="NY53">
    <cfRule type="duplicateValues" dxfId="1261" priority="98"/>
  </conditionalFormatting>
  <conditionalFormatting sqref="OA53">
    <cfRule type="duplicateValues" dxfId="1260" priority="151"/>
  </conditionalFormatting>
  <conditionalFormatting sqref="OB53:OI53">
    <cfRule type="duplicateValues" dxfId="1259" priority="175"/>
  </conditionalFormatting>
  <conditionalFormatting sqref="OK53:OS53">
    <cfRule type="duplicateValues" dxfId="1258" priority="174"/>
  </conditionalFormatting>
  <conditionalFormatting sqref="OT53">
    <cfRule type="duplicateValues" dxfId="1257" priority="99"/>
  </conditionalFormatting>
  <conditionalFormatting sqref="OV53">
    <cfRule type="duplicateValues" dxfId="1256" priority="150"/>
  </conditionalFormatting>
  <conditionalFormatting sqref="OW53:PD53">
    <cfRule type="duplicateValues" dxfId="1255" priority="173"/>
  </conditionalFormatting>
  <conditionalFormatting sqref="PF53:PN53">
    <cfRule type="duplicateValues" dxfId="1254" priority="172"/>
  </conditionalFormatting>
  <conditionalFormatting sqref="PO53">
    <cfRule type="duplicateValues" dxfId="1253" priority="100"/>
  </conditionalFormatting>
  <conditionalFormatting sqref="PQ53">
    <cfRule type="duplicateValues" dxfId="1252" priority="149"/>
  </conditionalFormatting>
  <conditionalFormatting sqref="PR53:PY53">
    <cfRule type="duplicateValues" dxfId="1251" priority="171"/>
  </conditionalFormatting>
  <conditionalFormatting sqref="QA53:QI53">
    <cfRule type="duplicateValues" dxfId="1250" priority="170"/>
  </conditionalFormatting>
  <conditionalFormatting sqref="QJ53">
    <cfRule type="duplicateValues" dxfId="1249" priority="101"/>
  </conditionalFormatting>
  <conditionalFormatting sqref="QL53">
    <cfRule type="duplicateValues" dxfId="1248" priority="148"/>
  </conditionalFormatting>
  <conditionalFormatting sqref="QM53:QT53">
    <cfRule type="duplicateValues" dxfId="1247" priority="169"/>
  </conditionalFormatting>
  <conditionalFormatting sqref="QV53:RE53">
    <cfRule type="duplicateValues" dxfId="1246" priority="168"/>
  </conditionalFormatting>
  <pageMargins left="0.39370078740157483" right="0.19685039370078741" top="0.31496062992125984" bottom="0.31496062992125984" header="0.31496062992125984" footer="0.31496062992125984"/>
  <pageSetup paperSize="9" scale="61"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388" r:id="rId5">
          <objectPr defaultSize="0" autoPict="0" r:id="rId6">
            <anchor moveWithCells="1" sizeWithCells="1">
              <from>
                <xdr:col>2</xdr:col>
                <xdr:colOff>198120</xdr:colOff>
                <xdr:row>68</xdr:row>
                <xdr:rowOff>68580</xdr:rowOff>
              </from>
              <to>
                <xdr:col>2</xdr:col>
                <xdr:colOff>609600</xdr:colOff>
                <xdr:row>68</xdr:row>
                <xdr:rowOff>373380</xdr:rowOff>
              </to>
            </anchor>
          </objectPr>
        </oleObject>
      </mc:Choice>
      <mc:Fallback>
        <oleObject progId="CorelDraw.Graphic.15" shapeId="15388"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363" r:id="rId8" name="Group Box 3">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15369" r:id="rId9" name="Option Button 9">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15370" r:id="rId10" name="Option Button 10">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15371" r:id="rId11" name="Option Button 11">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15372" r:id="rId12" name="Option Button 12">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15373" r:id="rId13" name="Option Button 13">
              <controlPr defaultSize="0" autoFill="0" autoLine="0" autoPict="0" altText="">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15374" r:id="rId14" name="Option Button 14">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15375" r:id="rId15" name="Option Button 15">
              <controlPr defaultSize="0" autoFill="0" autoLine="0" autoPict="0" altText="">
                <anchor moveWithCells="1">
                  <from>
                    <xdr:col>8</xdr:col>
                    <xdr:colOff>762000</xdr:colOff>
                    <xdr:row>18</xdr:row>
                    <xdr:rowOff>0</xdr:rowOff>
                  </from>
                  <to>
                    <xdr:col>10</xdr:col>
                    <xdr:colOff>312420</xdr:colOff>
                    <xdr:row>18</xdr:row>
                    <xdr:rowOff>182880</xdr:rowOff>
                  </to>
                </anchor>
              </controlPr>
            </control>
          </mc:Choice>
        </mc:AlternateContent>
        <mc:AlternateContent xmlns:mc="http://schemas.openxmlformats.org/markup-compatibility/2006">
          <mc:Choice Requires="x14">
            <control shapeId="15376" r:id="rId16" name="Option Button 16">
              <controlPr defaultSize="0" autoFill="0" autoLine="0" autoPict="0" altText="">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15377" r:id="rId17" name="Option Button 17">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15378" r:id="rId18"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15384" r:id="rId19"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2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7" r:id="rId21" name="Option Button 27">
              <controlPr defaultSize="0" autoFill="0" autoLine="0" autoPict="0" altText="">
                <anchor moveWithCells="1">
                  <from>
                    <xdr:col>12</xdr:col>
                    <xdr:colOff>106680</xdr:colOff>
                    <xdr:row>14</xdr:row>
                    <xdr:rowOff>121920</xdr:rowOff>
                  </from>
                  <to>
                    <xdr:col>12</xdr:col>
                    <xdr:colOff>152400</xdr:colOff>
                    <xdr:row>14</xdr:row>
                    <xdr:rowOff>182880</xdr:rowOff>
                  </to>
                </anchor>
              </controlPr>
            </control>
          </mc:Choice>
        </mc:AlternateContent>
        <mc:AlternateContent xmlns:mc="http://schemas.openxmlformats.org/markup-compatibility/2006">
          <mc:Choice Requires="x14">
            <control shapeId="15389" r:id="rId22" name="Option Button 29">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15390" r:id="rId23"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4"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5"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15400" r:id="rId26"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7"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9692E1AD-7C56-4479-8F2B-ADC5E1B8D52D}">
            <xm:f>Info!$V$7=2</xm:f>
            <x14:dxf>
              <font>
                <color theme="0" tint="-4.9989318521683403E-2"/>
              </font>
              <border>
                <vertical/>
                <horizontal/>
              </border>
            </x14:dxf>
          </x14:cfRule>
          <xm:sqref>B98:N98</xm:sqref>
        </x14:conditionalFormatting>
        <x14:conditionalFormatting xmlns:xm="http://schemas.microsoft.com/office/excel/2006/main">
          <x14:cfRule type="expression" priority="666" id="{C6B04C39-62C4-44E1-A8A3-6E8A8EF01400}">
            <xm:f>$H$33=Formeln!$A$1</xm:f>
            <x14:dxf>
              <fill>
                <patternFill>
                  <bgColor theme="0" tint="-0.14996795556505021"/>
                </patternFill>
              </fill>
            </x14:dxf>
          </x14:cfRule>
          <xm:sqref>H33:K33</xm:sqref>
        </x14:conditionalFormatting>
        <x14:conditionalFormatting xmlns:xm="http://schemas.microsoft.com/office/excel/2006/main">
          <x14:cfRule type="expression" priority="665" id="{811D8A53-6EB1-48C6-9C9B-2D6956F3D007}">
            <xm:f>$H$36=Formeln!$A$1</xm:f>
            <x14:dxf>
              <fill>
                <patternFill>
                  <bgColor theme="0" tint="-0.14996795556505021"/>
                </patternFill>
              </fill>
            </x14:dxf>
          </x14:cfRule>
          <xm:sqref>H36:K36</xm:sqref>
        </x14:conditionalFormatting>
        <x14:conditionalFormatting xmlns:xm="http://schemas.microsoft.com/office/excel/2006/main">
          <x14:cfRule type="expression" priority="424" id="{0E9375E0-C38C-4628-92C4-C8559B1DB1B5}">
            <xm:f>$H46=Formeln!$A$17</xm:f>
            <x14:dxf>
              <fill>
                <patternFill>
                  <bgColor theme="0" tint="-0.14996795556505021"/>
                </patternFill>
              </fill>
            </x14:dxf>
          </x14:cfRule>
          <xm:sqref>H46:K46</xm:sqref>
        </x14:conditionalFormatting>
        <x14:conditionalFormatting xmlns:xm="http://schemas.microsoft.com/office/excel/2006/main">
          <x14:cfRule type="expression" priority="423" id="{D1A8A41D-9147-4A8B-AA69-3DFEE9610853}">
            <xm:f>$H47=Formeln!$A$20</xm:f>
            <x14:dxf>
              <fill>
                <patternFill>
                  <bgColor theme="0" tint="-0.14996795556505021"/>
                </patternFill>
              </fill>
            </x14:dxf>
          </x14:cfRule>
          <xm:sqref>H47:K47</xm:sqref>
        </x14:conditionalFormatting>
        <x14:conditionalFormatting xmlns:xm="http://schemas.microsoft.com/office/excel/2006/main">
          <x14:cfRule type="expression" priority="656" id="{7A947124-C563-4556-A6A1-5DB723CF24FE}">
            <xm:f>$I$101=Formeln!$A$1</xm:f>
            <x14:dxf>
              <fill>
                <patternFill>
                  <bgColor theme="0" tint="-0.14996795556505021"/>
                </patternFill>
              </fill>
            </x14:dxf>
          </x14:cfRule>
          <xm:sqref>I101</xm:sqref>
        </x14:conditionalFormatting>
        <x14:conditionalFormatting xmlns:xm="http://schemas.microsoft.com/office/excel/2006/main">
          <x14:cfRule type="expression" priority="657" id="{C7E13350-BAC6-4E0F-906B-E28FCD2A7223}">
            <xm:f>$I$100=Formeln!$A$1</xm:f>
            <x14:dxf>
              <fill>
                <patternFill>
                  <bgColor theme="0" tint="-0.14996795556505021"/>
                </patternFill>
              </fill>
            </x14:dxf>
          </x14:cfRule>
          <xm:sqref>I100:K100</xm:sqref>
        </x14:conditionalFormatting>
        <x14:conditionalFormatting xmlns:xm="http://schemas.microsoft.com/office/excel/2006/main">
          <x14:cfRule type="expression" priority="266" id="{489C952F-67E5-4CE4-9824-F4562B27CF6E}">
            <xm:f>$J53=Formeln!$A$1</xm:f>
            <x14:dxf>
              <fill>
                <patternFill>
                  <bgColor theme="0" tint="-0.14996795556505021"/>
                </patternFill>
              </fill>
            </x14:dxf>
          </x14:cfRule>
          <xm:sqref>J53:K55</xm:sqref>
        </x14:conditionalFormatting>
        <x14:conditionalFormatting xmlns:xm="http://schemas.microsoft.com/office/excel/2006/main">
          <x14:cfRule type="expression" priority="655" id="{31435A1C-A1A7-47E1-8CDF-E7DA03BF965D}">
            <xm:f>$K$101=Formeln!$A$1</xm:f>
            <x14:dxf>
              <fill>
                <patternFill>
                  <bgColor theme="0" tint="-0.14996795556505021"/>
                </patternFill>
              </fill>
            </x14:dxf>
          </x14:cfRule>
          <xm:sqref>K101</xm:sqref>
        </x14:conditionalFormatting>
        <x14:conditionalFormatting xmlns:xm="http://schemas.microsoft.com/office/excel/2006/main">
          <x14:cfRule type="expression" priority="19" id="{097F22C2-74AC-47B6-B83A-E5F406EB4BA2}">
            <xm:f>Info!$V$7=8</xm:f>
            <x14:dxf>
              <font>
                <color theme="1"/>
              </font>
              <border>
                <left style="thin">
                  <color auto="1"/>
                </left>
                <right style="thin">
                  <color auto="1"/>
                </right>
                <top style="thin">
                  <color auto="1"/>
                </top>
                <bottom style="thin">
                  <color auto="1"/>
                </bottom>
                <vertical/>
                <horizontal/>
              </border>
            </x14:dxf>
          </x14:cfRule>
          <xm:sqref>O30:O102</xm:sqref>
        </x14:conditionalFormatting>
        <x14:conditionalFormatting xmlns:xm="http://schemas.microsoft.com/office/excel/2006/main">
          <x14:cfRule type="expression" priority="23" id="{C129C6DA-445A-4A3C-87CB-BFD6CB6343BB}">
            <xm:f>Info!$V$7=8</xm:f>
            <x14:dxf>
              <font>
                <color theme="1"/>
              </font>
              <border>
                <bottom style="thin">
                  <color auto="1"/>
                </bottom>
              </border>
            </x14:dxf>
          </x14:cfRule>
          <xm:sqref>O106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Formeln!$A$30:$A$51</xm:f>
          </x14:formula1>
          <xm:sqref>J53:K53</xm:sqref>
        </x14:dataValidation>
        <x14:dataValidation type="list" allowBlank="1" showInputMessage="1" showErrorMessage="1" xr:uid="{00000000-0002-0000-0400-000001000000}">
          <x14:formula1>
            <xm:f>Formeln!$A$23:$A$25</xm:f>
          </x14:formula1>
          <xm:sqref>I101</xm:sqref>
        </x14:dataValidation>
        <x14:dataValidation type="list" allowBlank="1" showInputMessage="1" showErrorMessage="1" xr:uid="{00000000-0002-0000-0400-000002000000}">
          <x14:formula1>
            <xm:f>Formeln!$A$20:$A$22</xm:f>
          </x14:formula1>
          <xm:sqref>H47:K47</xm:sqref>
        </x14:dataValidation>
        <x14:dataValidation type="list" allowBlank="1" showInputMessage="1" showErrorMessage="1" xr:uid="{00000000-0002-0000-0400-000003000000}">
          <x14:formula1>
            <xm:f>Formeln!$A$17:$A$19</xm:f>
          </x14:formula1>
          <xm:sqref>H46:K46</xm:sqref>
        </x14:dataValidation>
        <x14:dataValidation type="list" allowBlank="1" showInputMessage="1" showErrorMessage="1" xr:uid="{00000000-0002-0000-0400-000004000000}">
          <x14:formula1>
            <xm:f>Formeln!$A$9:$A$15</xm:f>
          </x14:formula1>
          <xm:sqref>H36:K36</xm:sqref>
        </x14:dataValidation>
        <x14:dataValidation type="list" allowBlank="1" showInputMessage="1" showErrorMessage="1" xr:uid="{00000000-0002-0000-0400-000005000000}">
          <x14:formula1>
            <xm:f>Formeln!$A$5:$A$8</xm:f>
          </x14:formula1>
          <xm:sqref>H34:K34</xm:sqref>
        </x14:dataValidation>
        <x14:dataValidation type="list" allowBlank="1" showInputMessage="1" showErrorMessage="1" xr:uid="{00000000-0002-0000-0400-000006000000}">
          <x14:formula1>
            <xm:f>Formeln!$A$1:$A$4</xm:f>
          </x14:formula1>
          <xm:sqref>H33:K33</xm:sqref>
        </x14:dataValidation>
        <x14:dataValidation type="list" allowBlank="1" showInputMessage="1" showErrorMessage="1" xr:uid="{00000000-0002-0000-0400-000007000000}">
          <x14:formula1>
            <xm:f>Formeln!$A$106:$A$111</xm:f>
          </x14:formula1>
          <xm:sqref>I100:K100</xm:sqref>
        </x14:dataValidation>
        <x14:dataValidation type="list" allowBlank="1" showInputMessage="1" showErrorMessage="1" xr:uid="{00000000-0002-0000-0400-000008000000}">
          <x14:formula1>
            <xm:f>Formeln!$A$52:$A$103</xm:f>
          </x14:formula1>
          <xm:sqref>J54:K54</xm:sqref>
        </x14:dataValidation>
        <x14:dataValidation type="list" allowBlank="1" showInputMessage="1" showErrorMessage="1" xr:uid="{00000000-0002-0000-0400-000009000000}">
          <x14:formula1>
            <xm:f>Formeln!$C$52:$C$111</xm:f>
          </x14:formula1>
          <xm:sqref>J55:K55</xm:sqref>
        </x14:dataValidation>
        <x14:dataValidation type="list" allowBlank="1" showInputMessage="1" showErrorMessage="1" xr:uid="{00000000-0002-0000-0400-00000A000000}">
          <x14:formula1>
            <xm:f>Formeln!$A$127:$A$138</xm:f>
          </x14:formula1>
          <xm:sqref>K101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RF127"/>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26" width="9.6640625" style="1" hidden="1" customWidth="1"/>
    <col min="27" max="27" width="15.5546875" style="5" hidden="1" customWidth="1"/>
    <col min="28" max="28" width="17.6640625" style="9" hidden="1" customWidth="1"/>
    <col min="29" max="29" width="26" style="9" hidden="1" customWidth="1"/>
    <col min="30" max="30" width="26" style="1" hidden="1" customWidth="1"/>
    <col min="31" max="32" width="7.5546875" style="1" hidden="1" customWidth="1"/>
    <col min="33" max="33" width="1.33203125" style="1" hidden="1" customWidth="1"/>
    <col min="34" max="34" width="18.88671875" style="1" hidden="1" customWidth="1"/>
    <col min="35" max="474" width="0" style="1" hidden="1" customWidth="1"/>
    <col min="475" max="16384" width="8.6640625" style="1" hidden="1"/>
  </cols>
  <sheetData>
    <row r="1" spans="1:30" ht="28.2">
      <c r="N1" s="2" t="str">
        <f>VLOOKUP(279,Sprachindex!$A:$Z,Info!$O$7,FALSE)</f>
        <v>Dachsysteme</v>
      </c>
      <c r="O1" s="2"/>
      <c r="P1" s="2"/>
      <c r="Q1" s="2"/>
      <c r="R1" s="2"/>
      <c r="S1" s="2"/>
      <c r="T1" s="2"/>
      <c r="U1" s="2"/>
      <c r="V1" s="2"/>
      <c r="W1" s="2"/>
      <c r="X1" s="2"/>
      <c r="Y1" s="2"/>
      <c r="Z1" s="2"/>
    </row>
    <row r="2" spans="1:30" ht="28.2">
      <c r="D2" s="18"/>
      <c r="N2" s="2" t="str">
        <f>VLOOKUP(268,Sprachindex!$A:$Z,Info!$O$7,FALSE)</f>
        <v>Dachraute 44 × 44</v>
      </c>
      <c r="O2" s="2"/>
      <c r="P2" s="2"/>
      <c r="Q2" s="2"/>
      <c r="R2" s="2"/>
      <c r="S2" s="2"/>
      <c r="T2" s="2"/>
      <c r="U2" s="2"/>
      <c r="V2" s="2"/>
      <c r="W2" s="2"/>
      <c r="X2" s="2"/>
      <c r="Y2" s="2"/>
      <c r="Z2" s="2"/>
    </row>
    <row r="3" spans="1:30" ht="15" customHeight="1"/>
    <row r="4" spans="1:30" ht="17.25" customHeight="1">
      <c r="N4" s="204"/>
      <c r="O4" s="204"/>
      <c r="P4" s="204"/>
      <c r="Q4" s="204"/>
      <c r="R4" s="204"/>
      <c r="S4" s="204"/>
      <c r="T4" s="204"/>
      <c r="U4" s="204"/>
      <c r="V4" s="204"/>
      <c r="W4" s="204"/>
      <c r="X4" s="204"/>
      <c r="Y4" s="204"/>
      <c r="Z4" s="204"/>
      <c r="AD4" s="3"/>
    </row>
    <row r="5" spans="1:30" ht="17.25" customHeight="1">
      <c r="N5" s="204"/>
      <c r="O5" s="204"/>
      <c r="P5" s="5"/>
      <c r="Q5" s="204"/>
      <c r="R5" s="204"/>
      <c r="S5" s="204"/>
      <c r="T5" s="204"/>
      <c r="U5" s="204"/>
      <c r="V5" s="204"/>
      <c r="W5" s="204"/>
      <c r="X5" s="204"/>
      <c r="Y5" s="204"/>
      <c r="Z5" s="204"/>
      <c r="AD5" s="3"/>
    </row>
    <row r="6" spans="1:30" ht="17.25" customHeight="1">
      <c r="N6" s="204"/>
      <c r="O6" s="204"/>
      <c r="P6" s="52">
        <v>0</v>
      </c>
      <c r="Q6" s="204"/>
      <c r="R6" s="204"/>
      <c r="S6" s="204"/>
      <c r="T6" s="204"/>
      <c r="U6" s="204"/>
      <c r="V6" s="204"/>
      <c r="W6" s="204"/>
      <c r="X6" s="204"/>
      <c r="Y6" s="204"/>
      <c r="Z6" s="204"/>
      <c r="AD6" s="3"/>
    </row>
    <row r="7" spans="1:30" ht="17.25" customHeight="1">
      <c r="N7" s="204"/>
      <c r="O7" s="204"/>
      <c r="P7" s="52"/>
      <c r="Q7" s="204"/>
      <c r="R7" s="204"/>
      <c r="S7" s="204"/>
      <c r="T7" s="204"/>
      <c r="U7" s="204"/>
      <c r="V7" s="204"/>
      <c r="W7" s="204"/>
      <c r="X7" s="204"/>
      <c r="Y7" s="204"/>
      <c r="Z7" s="204"/>
      <c r="AD7" s="3"/>
    </row>
    <row r="8" spans="1:30" ht="17.25" customHeight="1">
      <c r="A8" s="88" t="str">
        <f>VLOOKUP(393,Sprachindex!$A:$Z,Info!$O$7,FALSE)</f>
        <v>Firma / Besteller:</v>
      </c>
      <c r="B8" s="70"/>
      <c r="C8" s="70"/>
      <c r="D8" s="70"/>
      <c r="E8" s="70"/>
      <c r="F8" s="70"/>
      <c r="G8" s="70"/>
      <c r="H8" s="70"/>
      <c r="I8" s="70"/>
      <c r="J8" s="70"/>
      <c r="K8" s="70"/>
      <c r="L8" s="70"/>
      <c r="M8" s="70"/>
      <c r="N8" s="70"/>
      <c r="O8" s="70"/>
      <c r="P8" s="5"/>
      <c r="Q8" s="70"/>
      <c r="R8" s="70"/>
      <c r="S8" s="70"/>
      <c r="T8" s="70"/>
      <c r="U8" s="70"/>
      <c r="V8" s="70"/>
      <c r="W8" s="70"/>
      <c r="X8" s="70"/>
      <c r="Y8" s="70"/>
      <c r="Z8" s="70"/>
      <c r="AC8" s="10"/>
    </row>
    <row r="9" spans="1:30" ht="15" customHeight="1">
      <c r="A9" s="70"/>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M9" s="70"/>
      <c r="N9" s="70"/>
      <c r="O9" s="70"/>
      <c r="P9" s="53">
        <v>0</v>
      </c>
      <c r="Q9" s="70"/>
      <c r="R9" s="70"/>
      <c r="S9" s="70"/>
      <c r="T9" s="70"/>
      <c r="U9" s="70"/>
      <c r="V9" s="70"/>
      <c r="W9" s="70"/>
      <c r="X9" s="70"/>
      <c r="Y9" s="70"/>
      <c r="Z9" s="70"/>
      <c r="AB9" s="11"/>
      <c r="AD9" s="4"/>
    </row>
    <row r="10" spans="1:30" ht="15" customHeight="1">
      <c r="A10" s="70"/>
      <c r="B10" s="74" t="str">
        <f>VLOOKUP(884,Sprachindex!$A:$Z,Info!$O$7,FALSE)</f>
        <v>Straße:</v>
      </c>
      <c r="C10" s="585"/>
      <c r="D10" s="586"/>
      <c r="E10" s="587"/>
      <c r="F10" s="70"/>
      <c r="G10" s="70"/>
      <c r="H10" s="70"/>
      <c r="I10" s="70"/>
      <c r="J10" s="71">
        <v>1</v>
      </c>
      <c r="K10" s="70"/>
      <c r="L10" s="70"/>
      <c r="M10" s="70"/>
      <c r="N10" s="70"/>
      <c r="O10" s="70"/>
      <c r="P10" s="5"/>
      <c r="Q10" s="70"/>
      <c r="R10" s="70"/>
      <c r="S10" s="70"/>
      <c r="T10" s="70"/>
      <c r="U10" s="70"/>
      <c r="V10" s="70"/>
      <c r="W10" s="70"/>
      <c r="X10" s="70"/>
      <c r="Y10" s="70"/>
      <c r="Z10" s="70"/>
      <c r="AD10" s="4"/>
    </row>
    <row r="11" spans="1:30"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70"/>
      <c r="P11" s="53">
        <v>0</v>
      </c>
      <c r="Q11" s="70"/>
      <c r="R11" s="70"/>
      <c r="S11" s="70"/>
      <c r="T11" s="70"/>
      <c r="U11" s="70"/>
      <c r="V11" s="70"/>
      <c r="W11" s="70"/>
      <c r="X11" s="70"/>
      <c r="Y11" s="70"/>
      <c r="Z11" s="70"/>
      <c r="AB11" s="11"/>
      <c r="AD11" s="4"/>
    </row>
    <row r="12" spans="1:30" ht="15" customHeight="1">
      <c r="A12" s="70"/>
      <c r="B12" s="70"/>
      <c r="C12" s="70"/>
      <c r="D12" s="70"/>
      <c r="E12" s="70"/>
      <c r="F12" s="70"/>
      <c r="G12" s="70"/>
      <c r="H12" s="70"/>
      <c r="I12" s="74"/>
      <c r="J12" s="71">
        <v>1</v>
      </c>
      <c r="K12" s="70"/>
      <c r="L12" s="70"/>
      <c r="M12" s="70"/>
      <c r="N12" s="70"/>
      <c r="O12" s="70"/>
      <c r="P12" s="5"/>
      <c r="Q12" s="70"/>
      <c r="R12" s="70"/>
      <c r="S12" s="70"/>
      <c r="T12" s="70"/>
      <c r="U12" s="70"/>
      <c r="V12" s="70"/>
      <c r="W12" s="70"/>
      <c r="X12" s="70"/>
      <c r="Y12" s="70"/>
      <c r="Z12" s="70"/>
    </row>
    <row r="13" spans="1:30"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70"/>
      <c r="P13" s="52"/>
      <c r="Q13" s="70"/>
      <c r="R13" s="70"/>
      <c r="S13" s="70"/>
      <c r="T13" s="70"/>
      <c r="U13" s="70"/>
      <c r="V13" s="70"/>
      <c r="W13" s="70"/>
      <c r="X13" s="70"/>
      <c r="Y13" s="70"/>
      <c r="Z13" s="70"/>
      <c r="AB13" s="12"/>
      <c r="AD13" s="4"/>
    </row>
    <row r="14" spans="1:30" ht="15" customHeight="1">
      <c r="A14" s="70"/>
      <c r="B14" s="74" t="str">
        <f>VLOOKUP(901,Sprachindex!$A:$Z,Info!$O$7,FALSE)</f>
        <v>Telefon:</v>
      </c>
      <c r="C14" s="585"/>
      <c r="D14" s="586"/>
      <c r="E14" s="587"/>
      <c r="F14" s="70"/>
      <c r="G14" s="70"/>
      <c r="H14" s="70"/>
      <c r="I14" s="70"/>
      <c r="J14" s="70"/>
      <c r="K14" s="70"/>
      <c r="L14" s="70"/>
      <c r="M14" s="70"/>
      <c r="N14" s="70"/>
      <c r="O14" s="70"/>
      <c r="P14" s="5"/>
      <c r="Q14" s="70"/>
      <c r="R14" s="70"/>
      <c r="S14" s="70"/>
      <c r="T14" s="70"/>
      <c r="U14" s="70"/>
      <c r="V14" s="70"/>
      <c r="W14" s="70"/>
      <c r="X14" s="70"/>
      <c r="Y14" s="70"/>
      <c r="Z14" s="70"/>
      <c r="AD14" s="4"/>
    </row>
    <row r="15" spans="1:30"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0"/>
      <c r="P15" s="5"/>
      <c r="Q15" s="70"/>
      <c r="R15" s="70"/>
      <c r="S15" s="70"/>
      <c r="T15" s="70"/>
      <c r="U15" s="70"/>
      <c r="V15" s="70"/>
      <c r="W15" s="70"/>
      <c r="X15" s="70"/>
      <c r="Y15" s="70"/>
      <c r="Z15" s="70"/>
      <c r="AD15" s="4"/>
    </row>
    <row r="16" spans="1:30" ht="15" customHeight="1">
      <c r="A16" s="70"/>
      <c r="B16" s="70"/>
      <c r="C16" s="70"/>
      <c r="D16" s="70"/>
      <c r="E16" s="70"/>
      <c r="F16" s="70"/>
      <c r="G16" s="70" t="str">
        <f>VLOOKUP(25,Sprachindex!$A:$Z,Info!$O$7,FALSE)</f>
        <v>01 P.10 Braun</v>
      </c>
      <c r="H16" s="70"/>
      <c r="I16" s="70"/>
      <c r="J16" s="69" t="str">
        <f>VLOOKUP(37,Sprachindex!$A:$Z,Info!$O$7,FALSE)</f>
        <v>07 P.10 Hellgrau</v>
      </c>
      <c r="K16" s="70"/>
      <c r="L16" s="70"/>
      <c r="M16" s="70"/>
      <c r="N16" s="70"/>
      <c r="O16" s="70"/>
      <c r="P16" s="5"/>
      <c r="Q16" s="70"/>
      <c r="R16" s="70"/>
      <c r="S16" s="70"/>
      <c r="T16" s="70"/>
      <c r="U16" s="70"/>
      <c r="V16" s="70"/>
      <c r="W16" s="70"/>
      <c r="X16" s="70"/>
      <c r="Y16" s="70"/>
      <c r="Z16" s="70"/>
    </row>
    <row r="17" spans="1:55" ht="15" customHeight="1">
      <c r="A17" s="88" t="str">
        <f>VLOOKUP(580,Sprachindex!$A:$Z,Info!$O$7,FALSE)</f>
        <v>Lieferadresse:</v>
      </c>
      <c r="B17" s="70"/>
      <c r="C17" s="70"/>
      <c r="D17" s="70"/>
      <c r="E17" s="70"/>
      <c r="F17" s="70"/>
      <c r="G17" s="70" t="str">
        <f>VLOOKUP(27,Sprachindex!$A:$Z,Info!$O$7,FALSE)</f>
        <v>02 P.10 Anthrazit</v>
      </c>
      <c r="H17" s="70"/>
      <c r="I17" s="70"/>
      <c r="J17" s="72" t="str">
        <f>VLOOKUP(51,Sprachindex!$A:$Z,Info!$O$7,FALSE)</f>
        <v>11 P.10 Nussbraun</v>
      </c>
      <c r="K17" s="70"/>
      <c r="L17" s="70"/>
      <c r="M17" s="70"/>
      <c r="N17" s="70"/>
      <c r="O17" s="70"/>
      <c r="P17" s="5"/>
      <c r="Q17" s="70"/>
      <c r="R17" s="70"/>
      <c r="S17" s="70"/>
      <c r="T17" s="70"/>
      <c r="U17" s="70"/>
      <c r="V17" s="70"/>
      <c r="W17" s="70"/>
      <c r="X17" s="70"/>
      <c r="Y17" s="70"/>
      <c r="Z17" s="70"/>
      <c r="AC17" s="10"/>
    </row>
    <row r="18" spans="1:55" ht="15" customHeight="1">
      <c r="A18" s="70"/>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M18" s="70"/>
      <c r="N18" s="70"/>
      <c r="O18" s="70"/>
      <c r="P18" s="14"/>
      <c r="Q18" s="70"/>
      <c r="R18" s="70"/>
      <c r="S18" s="70"/>
      <c r="T18" s="70"/>
      <c r="U18" s="70"/>
      <c r="V18" s="70"/>
      <c r="W18" s="70"/>
      <c r="X18" s="70"/>
      <c r="Y18" s="70"/>
      <c r="Z18" s="70"/>
      <c r="AD18" s="4"/>
    </row>
    <row r="19" spans="1:55" ht="15" customHeight="1">
      <c r="A19" s="70"/>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M19" s="70"/>
      <c r="N19" s="70"/>
      <c r="O19" s="70"/>
      <c r="P19" s="5"/>
      <c r="Q19" s="70"/>
      <c r="R19" s="70"/>
      <c r="S19" s="70"/>
      <c r="T19" s="70"/>
      <c r="U19" s="70"/>
      <c r="V19" s="70"/>
      <c r="W19" s="70"/>
      <c r="X19" s="70"/>
      <c r="Y19" s="70"/>
      <c r="Z19" s="70"/>
      <c r="AD19" s="4"/>
    </row>
    <row r="20" spans="1:55" ht="15" customHeight="1">
      <c r="A20" s="70"/>
      <c r="B20" s="74" t="str">
        <f>VLOOKUP(884,Sprachindex!$A:$Z,Info!$O$7,FALSE)</f>
        <v>Straße:</v>
      </c>
      <c r="C20" s="585"/>
      <c r="D20" s="586"/>
      <c r="E20" s="587"/>
      <c r="F20" s="70"/>
      <c r="G20" s="70" t="str">
        <f>VLOOKUP(33,Sprachindex!$A:$Z,Info!$O$7,FALSE)</f>
        <v>05 P.10 Oxydrot</v>
      </c>
      <c r="H20" s="70"/>
      <c r="I20" s="70"/>
      <c r="J20" s="72"/>
      <c r="K20" s="70"/>
      <c r="L20" s="71"/>
      <c r="M20" s="70"/>
      <c r="N20" s="70"/>
      <c r="O20" s="70"/>
      <c r="P20" s="5"/>
      <c r="Q20" s="70"/>
      <c r="R20" s="70"/>
      <c r="S20" s="70"/>
      <c r="T20" s="70"/>
      <c r="U20" s="70"/>
      <c r="V20" s="70"/>
      <c r="W20" s="70"/>
      <c r="X20" s="70"/>
      <c r="Y20" s="70"/>
      <c r="Z20" s="70"/>
      <c r="AD20" s="4"/>
      <c r="AG20" s="35"/>
      <c r="AH20" s="35"/>
    </row>
    <row r="21" spans="1:55" ht="15" customHeight="1">
      <c r="A21" s="70"/>
      <c r="B21" s="74" t="str">
        <f>VLOOKUP(641,Sprachindex!$A:$Z,Info!$O$7,FALSE)</f>
        <v>Ort:</v>
      </c>
      <c r="C21" s="585"/>
      <c r="D21" s="586"/>
      <c r="E21" s="587"/>
      <c r="F21" s="70"/>
      <c r="G21" s="70" t="str">
        <f>VLOOKUP(35,Sprachindex!$A:$Z,Info!$O$7,FALSE)</f>
        <v>06 P.10 Moosgrün</v>
      </c>
      <c r="H21" s="70"/>
      <c r="I21" s="95"/>
      <c r="J21" s="72"/>
      <c r="K21" s="70"/>
      <c r="L21" s="70"/>
      <c r="M21" s="70"/>
      <c r="N21" s="70"/>
      <c r="O21" s="70"/>
      <c r="P21" s="209">
        <v>0</v>
      </c>
      <c r="Q21" s="70"/>
      <c r="R21" s="70"/>
      <c r="S21" s="70"/>
      <c r="T21" s="70"/>
      <c r="U21" s="70"/>
      <c r="V21" s="70"/>
      <c r="W21" s="70"/>
      <c r="X21" s="70"/>
      <c r="Y21" s="70"/>
      <c r="Z21" s="70"/>
      <c r="AD21" s="4"/>
    </row>
    <row r="22" spans="1:55" ht="15" customHeight="1">
      <c r="A22" s="70"/>
      <c r="B22" s="74"/>
      <c r="C22" s="70"/>
      <c r="D22" s="70"/>
      <c r="E22" s="70"/>
      <c r="F22" s="70"/>
      <c r="G22" s="70"/>
      <c r="H22" s="70"/>
      <c r="I22" s="95"/>
      <c r="J22" s="70"/>
      <c r="K22" s="70"/>
      <c r="L22" s="70"/>
      <c r="M22" s="70"/>
      <c r="N22" s="70"/>
      <c r="O22" s="70"/>
      <c r="P22" s="70"/>
      <c r="Q22" s="70"/>
      <c r="R22" s="70"/>
      <c r="S22" s="70"/>
      <c r="T22" s="70"/>
      <c r="U22" s="70"/>
      <c r="V22" s="70"/>
      <c r="W22" s="70"/>
      <c r="X22" s="70"/>
      <c r="Y22" s="70"/>
      <c r="Z22" s="70"/>
      <c r="AA22" s="52"/>
      <c r="AD22" s="4"/>
    </row>
    <row r="23" spans="1:55"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0"/>
      <c r="P23" s="70"/>
      <c r="Q23" s="70"/>
      <c r="R23" s="70"/>
      <c r="S23" s="70"/>
      <c r="T23" s="70"/>
      <c r="U23" s="70"/>
      <c r="V23" s="70"/>
      <c r="W23" s="70"/>
      <c r="X23" s="70"/>
      <c r="Y23" s="70"/>
      <c r="Z23" s="70"/>
      <c r="AA23" s="52"/>
      <c r="AD23" s="4"/>
    </row>
    <row r="24" spans="1:55" ht="15" customHeight="1">
      <c r="B24" s="584" t="str">
        <f>VLOOKUP(1430,Sprachindex!$A:$Z,Info!$O$7,FALSE)</f>
        <v>Beschreibung</v>
      </c>
      <c r="C24" s="585"/>
      <c r="D24" s="586"/>
      <c r="E24" s="587"/>
      <c r="F24" s="70"/>
      <c r="G24" s="88"/>
      <c r="H24" s="74" t="str">
        <f>VLOOKUP(1429,Sprachindex!$A:$Z,Info!$O$7,FALSE)</f>
        <v>Bearbeiter:</v>
      </c>
      <c r="I24" s="450"/>
      <c r="J24" s="70"/>
      <c r="K24" s="70"/>
      <c r="L24" s="70"/>
      <c r="M24" s="70"/>
      <c r="N24" s="70"/>
      <c r="O24" s="70"/>
      <c r="P24" s="70"/>
      <c r="Q24" s="70"/>
      <c r="R24" s="70"/>
      <c r="S24" s="70"/>
      <c r="T24" s="70"/>
      <c r="U24" s="70"/>
      <c r="V24" s="70"/>
      <c r="W24" s="70"/>
      <c r="X24" s="70"/>
      <c r="Y24" s="70"/>
      <c r="Z24" s="70"/>
      <c r="AA24" s="52"/>
      <c r="AD24" s="4"/>
    </row>
    <row r="25" spans="1:55" ht="15" customHeight="1">
      <c r="B25" s="584"/>
      <c r="C25" s="585"/>
      <c r="D25" s="586"/>
      <c r="E25" s="587"/>
      <c r="F25" s="70"/>
      <c r="G25" s="88"/>
      <c r="H25" s="74" t="str">
        <f>VLOOKUP(2243,Sprachindex!$A:$Z,Info!$O$7,FALSE)</f>
        <v>Projekt-ID:</v>
      </c>
      <c r="I25" s="450"/>
      <c r="J25" s="70"/>
      <c r="K25" s="70"/>
      <c r="L25" s="70"/>
      <c r="M25" s="70"/>
      <c r="N25" s="70"/>
      <c r="O25" s="70"/>
      <c r="P25" s="70"/>
      <c r="Q25" s="70"/>
      <c r="R25" s="70"/>
      <c r="S25" s="70"/>
      <c r="T25" s="70"/>
      <c r="U25" s="70"/>
      <c r="V25" s="70"/>
      <c r="W25" s="70"/>
      <c r="X25" s="70"/>
      <c r="Y25" s="70"/>
      <c r="Z25" s="70"/>
      <c r="AA25" s="52"/>
      <c r="AD25" s="4"/>
    </row>
    <row r="26" spans="1:55" ht="15" customHeight="1">
      <c r="B26" s="584"/>
      <c r="C26" s="585"/>
      <c r="D26" s="586"/>
      <c r="E26" s="587"/>
      <c r="F26" s="70"/>
      <c r="G26" s="88"/>
      <c r="H26" s="74" t="str">
        <f>VLOOKUP(286,Sprachindex!$A:$Z,Info!$O$7,FALSE)</f>
        <v>Datum:</v>
      </c>
      <c r="I26" s="550">
        <f ca="1">TODAY()</f>
        <v>45580</v>
      </c>
      <c r="J26" s="70"/>
      <c r="K26" s="70"/>
      <c r="L26" s="70"/>
      <c r="M26" s="70"/>
      <c r="N26" s="70"/>
      <c r="O26" s="70"/>
      <c r="P26" s="70"/>
      <c r="Q26" s="70"/>
      <c r="R26" s="70"/>
      <c r="S26" s="70"/>
      <c r="T26" s="70"/>
      <c r="U26" s="70"/>
      <c r="V26" s="70"/>
      <c r="W26" s="70"/>
      <c r="X26" s="70"/>
      <c r="Y26" s="70"/>
      <c r="Z26" s="70"/>
      <c r="AA26" s="52"/>
      <c r="AD26" s="4"/>
    </row>
    <row r="27" spans="1:55" ht="15" customHeight="1">
      <c r="B27" s="584"/>
      <c r="C27" s="585"/>
      <c r="D27" s="586"/>
      <c r="E27" s="587"/>
      <c r="F27" s="70"/>
      <c r="G27" s="5"/>
      <c r="H27" s="5"/>
      <c r="I27" s="5"/>
      <c r="J27" s="5"/>
      <c r="K27" s="5"/>
      <c r="L27" s="70"/>
      <c r="M27" s="70"/>
      <c r="N27" s="70"/>
      <c r="O27" s="70"/>
      <c r="P27" s="70"/>
      <c r="Q27" s="70"/>
      <c r="R27" s="70"/>
      <c r="S27" s="70"/>
      <c r="T27" s="70"/>
      <c r="U27" s="70"/>
      <c r="V27" s="70"/>
      <c r="W27" s="70"/>
      <c r="X27" s="70"/>
      <c r="Y27" s="70"/>
      <c r="Z27" s="70"/>
      <c r="AA27" s="52"/>
      <c r="AD27" s="4"/>
    </row>
    <row r="28" spans="1:55" ht="15" customHeight="1">
      <c r="A28" s="70"/>
      <c r="B28" s="74"/>
      <c r="C28" s="70"/>
      <c r="D28" s="70"/>
      <c r="E28" s="70"/>
      <c r="F28" s="70"/>
      <c r="G28" s="70"/>
      <c r="H28" s="70"/>
      <c r="I28" s="95"/>
      <c r="J28" s="70"/>
      <c r="K28" s="70"/>
      <c r="L28" s="70"/>
      <c r="M28" s="70"/>
      <c r="N28" s="70"/>
      <c r="O28" s="70"/>
      <c r="P28" s="70"/>
      <c r="Q28" s="70"/>
      <c r="R28" s="70"/>
      <c r="S28" s="70"/>
      <c r="T28" s="70"/>
      <c r="U28" s="70"/>
      <c r="V28" s="70"/>
      <c r="W28" s="70"/>
      <c r="X28" s="70"/>
      <c r="Y28" s="70"/>
      <c r="Z28" s="70"/>
      <c r="AD28" s="4"/>
    </row>
    <row r="29" spans="1:55" ht="15" customHeight="1" thickBot="1">
      <c r="A29" s="100" t="str">
        <f>VLOOKUP(392,Sprachindex!$A:$Z,Info!$O$7,FALSE)</f>
        <v>Filter:</v>
      </c>
      <c r="B29" s="598"/>
      <c r="C29" s="598"/>
      <c r="D29" s="598"/>
      <c r="E29" s="598"/>
      <c r="F29" s="70"/>
      <c r="G29" s="70"/>
      <c r="H29" s="70"/>
      <c r="I29" s="70"/>
      <c r="J29" s="70"/>
      <c r="K29" s="70"/>
      <c r="L29" s="70"/>
      <c r="M29" s="70"/>
      <c r="N29" s="70"/>
      <c r="O29" s="70"/>
      <c r="P29" s="70"/>
      <c r="Q29" s="70"/>
      <c r="R29" s="70"/>
      <c r="S29" s="70"/>
      <c r="T29" s="70"/>
      <c r="U29" s="70"/>
      <c r="V29" s="70"/>
      <c r="W29" s="70"/>
      <c r="X29" s="70"/>
      <c r="Y29" s="70"/>
      <c r="Z29" s="70"/>
      <c r="AC29" s="591" t="s">
        <v>25</v>
      </c>
      <c r="AD29" s="591"/>
      <c r="AH29" s="45" t="s">
        <v>26</v>
      </c>
      <c r="AI29" s="13"/>
      <c r="AJ29" s="13"/>
      <c r="AK29" s="13"/>
      <c r="AL29" s="13"/>
      <c r="AM29" s="13"/>
      <c r="AN29" s="13"/>
      <c r="AO29" s="13"/>
      <c r="AP29" s="13"/>
      <c r="AQ29" s="13"/>
      <c r="AR29" s="45" t="s">
        <v>27</v>
      </c>
      <c r="AS29" s="13"/>
      <c r="AT29" s="13"/>
      <c r="AU29" s="13"/>
      <c r="AV29" s="13"/>
      <c r="AW29" s="13"/>
      <c r="AX29" s="13"/>
      <c r="AY29" s="13"/>
      <c r="AZ29" s="13"/>
      <c r="BA29" s="46"/>
    </row>
    <row r="30" spans="1:55"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P30" s="5"/>
      <c r="Q30" s="5"/>
      <c r="R30" s="78" t="s">
        <v>30</v>
      </c>
      <c r="S30" s="78" t="s">
        <v>30</v>
      </c>
      <c r="T30" s="195"/>
      <c r="U30" s="195"/>
      <c r="V30" s="195"/>
      <c r="W30" s="195"/>
      <c r="X30" s="195"/>
      <c r="Y30" s="195"/>
      <c r="Z30" s="195"/>
      <c r="AA30" s="195"/>
      <c r="AB30" s="1"/>
      <c r="AC30" s="163" t="s">
        <v>31</v>
      </c>
      <c r="AD30" s="163" t="s">
        <v>32</v>
      </c>
      <c r="AH30" s="47" t="s">
        <v>33</v>
      </c>
      <c r="AI30" s="47" t="s">
        <v>34</v>
      </c>
      <c r="AJ30" s="47" t="s">
        <v>35</v>
      </c>
      <c r="AK30" s="47" t="s">
        <v>36</v>
      </c>
      <c r="AL30" s="47" t="s">
        <v>37</v>
      </c>
      <c r="AM30" s="47" t="s">
        <v>38</v>
      </c>
      <c r="AN30" s="47" t="s">
        <v>39</v>
      </c>
      <c r="AO30" s="47" t="s">
        <v>40</v>
      </c>
      <c r="AP30" s="47" t="s">
        <v>41</v>
      </c>
      <c r="AQ30" s="101" t="s">
        <v>42</v>
      </c>
      <c r="AR30" s="47" t="s">
        <v>33</v>
      </c>
      <c r="AS30" s="47" t="s">
        <v>34</v>
      </c>
      <c r="AT30" s="47" t="s">
        <v>35</v>
      </c>
      <c r="AU30" s="47" t="s">
        <v>36</v>
      </c>
      <c r="AV30" s="47" t="s">
        <v>37</v>
      </c>
      <c r="AW30" s="47" t="s">
        <v>38</v>
      </c>
      <c r="AX30" s="47" t="s">
        <v>39</v>
      </c>
      <c r="AY30" s="47" t="s">
        <v>40</v>
      </c>
      <c r="AZ30" s="47" t="s">
        <v>41</v>
      </c>
      <c r="BA30" s="101" t="s">
        <v>42</v>
      </c>
    </row>
    <row r="31" spans="1:55" ht="32.1" customHeight="1">
      <c r="A31" s="102"/>
      <c r="B31" s="77" t="str">
        <f>VLOOKUP(588,Sprachindex!$A:$Z,Info!$O$7,FALSE)</f>
        <v>m²</v>
      </c>
      <c r="C31" s="103"/>
      <c r="D31" s="78">
        <f>IF($P$9=1,BC31,BB31)</f>
        <v>0</v>
      </c>
      <c r="E31" s="600" t="str">
        <f>VLOOKUP(268,Sprachindex!$A:$Z,Info!$O$7,FALSE)</f>
        <v>Dachraute 44 × 44</v>
      </c>
      <c r="F31" s="601"/>
      <c r="G31" s="601"/>
      <c r="H31" s="601"/>
      <c r="I31" s="601"/>
      <c r="J31" s="601"/>
      <c r="K31" s="602"/>
      <c r="L31" s="77" t="str">
        <f>IF(A31=0,"",IF($P$11=1,AC31,AD31))</f>
        <v/>
      </c>
      <c r="M31" s="432" t="str">
        <f>B31</f>
        <v>m²</v>
      </c>
      <c r="N31" s="437"/>
      <c r="O31" s="202" t="str">
        <f>IF(ISNUMBER(A31), IF(P21=7, $L31*S31, $L31*R31), "")</f>
        <v/>
      </c>
      <c r="P31" s="5"/>
      <c r="Q31" s="5"/>
      <c r="R31" s="200">
        <v>39.020000000000003</v>
      </c>
      <c r="S31" s="200">
        <v>40.03</v>
      </c>
      <c r="T31" s="195"/>
      <c r="U31" s="195"/>
      <c r="V31" s="195"/>
      <c r="W31" s="195"/>
      <c r="X31" s="195"/>
      <c r="Y31" s="195"/>
      <c r="Z31" s="195"/>
      <c r="AA31" s="195"/>
      <c r="AB31" s="1"/>
      <c r="AC31" s="149">
        <f>ROUNDUP($A31/8,0)*8</f>
        <v>0</v>
      </c>
      <c r="AD31" s="149">
        <f>ROUNDUP($A31,0)</f>
        <v>0</v>
      </c>
      <c r="AH31" s="470">
        <v>112221</v>
      </c>
      <c r="AI31" s="470">
        <v>112222</v>
      </c>
      <c r="AJ31" s="470">
        <v>112223</v>
      </c>
      <c r="AK31" s="470">
        <v>112224</v>
      </c>
      <c r="AL31" s="470">
        <v>112225</v>
      </c>
      <c r="AM31" s="470">
        <v>112226</v>
      </c>
      <c r="AN31" s="470">
        <v>112228</v>
      </c>
      <c r="AO31" s="470">
        <v>112227</v>
      </c>
      <c r="AP31" s="470">
        <v>112229</v>
      </c>
      <c r="AQ31" s="470"/>
      <c r="AR31" s="469">
        <v>112201</v>
      </c>
      <c r="AS31" s="469">
        <v>112202</v>
      </c>
      <c r="AT31" s="469">
        <v>112203</v>
      </c>
      <c r="AU31" s="469">
        <v>112204</v>
      </c>
      <c r="AV31" s="469">
        <v>112205</v>
      </c>
      <c r="AW31" s="469">
        <v>112206</v>
      </c>
      <c r="AX31" s="469">
        <v>112208</v>
      </c>
      <c r="AY31" s="469">
        <v>112207</v>
      </c>
      <c r="AZ31" s="469">
        <v>112209</v>
      </c>
      <c r="BA31" s="469">
        <v>112210</v>
      </c>
      <c r="BB31" s="468">
        <f>IF($P$21=1,AH31,IF($P$21=4,AI31,IF($P$21=5,AJ31,IF($P$21=11,AK31,IF($P$21=7,AL31,IF($P$21=3,AM31,IF($P$21=6,AN31,IF($P$21=9,AO31,IF($P$21=2,AP31,IF($P$21=8,AQ31,0))))))))))</f>
        <v>0</v>
      </c>
      <c r="BC31" s="468">
        <f>IF($P$21=1,AR31,IF($P$21=4,AS31,IF($P$21=5,AT31,IF($P$21=11,AU31,IF($P$21=7,AV31,IF($P$21=3,AW31,IF($P$21=6,AX31,IF($P$21=9,AY31,IF($P$21=2,AZ31,IF($P$21=8,BA31,0))))))))))</f>
        <v>0</v>
      </c>
    </row>
    <row r="32" spans="1:55" ht="32.1" customHeight="1">
      <c r="A32" s="98"/>
      <c r="B32" s="79" t="str">
        <f>VLOOKUP(878,Sprachindex!$A:$Z,Info!$O$7,FALSE)</f>
        <v>Stk.</v>
      </c>
      <c r="C32" s="78"/>
      <c r="D32" s="78">
        <f t="shared" ref="D32:D33" si="0">IF($P$9=1,BC32,BB32)</f>
        <v>0</v>
      </c>
      <c r="E32" s="561" t="str">
        <f>VLOOKUP(866,Sprachindex!$A:$Z,Info!$O$7,FALSE)</f>
        <v>Startplatte für Dachraute 44 × 44</v>
      </c>
      <c r="F32" s="562"/>
      <c r="G32" s="562"/>
      <c r="H32" s="562"/>
      <c r="I32" s="562"/>
      <c r="J32" s="562"/>
      <c r="K32" s="563"/>
      <c r="L32" s="79" t="str">
        <f>IF(A32=0,"",IF($P$11=1,AC32,AD32))</f>
        <v/>
      </c>
      <c r="M32" s="433" t="str">
        <f>B32</f>
        <v>Stk.</v>
      </c>
      <c r="N32" s="80"/>
      <c r="O32" s="202" t="str">
        <f>IF(ISNUMBER(A32),$L32*R32, "")</f>
        <v/>
      </c>
      <c r="P32" s="5"/>
      <c r="Q32" s="5"/>
      <c r="R32" s="200">
        <v>6.54</v>
      </c>
      <c r="S32" s="195"/>
      <c r="T32" s="195"/>
      <c r="U32" s="195"/>
      <c r="V32" s="195"/>
      <c r="W32" s="195"/>
      <c r="X32" s="195"/>
      <c r="Y32" s="195"/>
      <c r="Z32" s="195"/>
      <c r="AA32" s="195"/>
      <c r="AB32" s="1"/>
      <c r="AC32" s="149">
        <f>ROUNDUP(ROUNDUP($A32/40,0)*40,1)</f>
        <v>0</v>
      </c>
      <c r="AD32" s="149">
        <f>ROUNDUP($A32,0)</f>
        <v>0</v>
      </c>
      <c r="AH32" s="470">
        <v>112261</v>
      </c>
      <c r="AI32" s="470">
        <v>112262</v>
      </c>
      <c r="AJ32" s="470">
        <v>112263</v>
      </c>
      <c r="AK32" s="470">
        <v>112264</v>
      </c>
      <c r="AL32" s="470">
        <v>112265</v>
      </c>
      <c r="AM32" s="470">
        <v>112266</v>
      </c>
      <c r="AN32" s="470">
        <v>112268</v>
      </c>
      <c r="AO32" s="470">
        <v>112267</v>
      </c>
      <c r="AP32" s="470">
        <v>112269</v>
      </c>
      <c r="AQ32" s="470"/>
      <c r="AR32" s="469">
        <v>112241</v>
      </c>
      <c r="AS32" s="469">
        <v>112242</v>
      </c>
      <c r="AT32" s="469">
        <v>112243</v>
      </c>
      <c r="AU32" s="469">
        <v>112244</v>
      </c>
      <c r="AV32" s="469">
        <v>112245</v>
      </c>
      <c r="AW32" s="469">
        <v>112246</v>
      </c>
      <c r="AX32" s="469">
        <v>112248</v>
      </c>
      <c r="AY32" s="469">
        <v>112247</v>
      </c>
      <c r="AZ32" s="469">
        <v>112249</v>
      </c>
      <c r="BA32" s="469">
        <v>112250</v>
      </c>
      <c r="BB32" s="468">
        <f t="shared" ref="BB32:BB33" si="1">IF($P$21=1,AH32,IF($P$21=4,AI32,IF($P$21=5,AJ32,IF($P$21=11,AK32,IF($P$21=7,AL32,IF($P$21=3,AM32,IF($P$21=6,AN32,IF($P$21=9,AO32,IF($P$21=2,AP32,IF($P$21=8,AQ32,0))))))))))</f>
        <v>0</v>
      </c>
      <c r="BC32" s="468">
        <f t="shared" ref="BC32:BC33" si="2">IF($P$21=1,AR32,IF($P$21=4,AS32,IF($P$21=5,AT32,IF($P$21=11,AU32,IF($P$21=7,AV32,IF($P$21=3,AW32,IF($P$21=6,AX32,IF($P$21=9,AY32,IF($P$21=2,AZ32,IF($P$21=8,BA32,0))))))))))</f>
        <v>0</v>
      </c>
    </row>
    <row r="33" spans="1:55" ht="32.1" customHeight="1">
      <c r="A33" s="98"/>
      <c r="B33" s="79" t="str">
        <f>VLOOKUP(878,Sprachindex!$A:$Z,Info!$O$7,FALSE)</f>
        <v>Stk.</v>
      </c>
      <c r="C33" s="78"/>
      <c r="D33" s="78">
        <f t="shared" si="0"/>
        <v>0</v>
      </c>
      <c r="E33" s="561" t="str">
        <f>VLOOKUP(357,Sprachindex!$A:$Z,Info!$O$7,FALSE)</f>
        <v>Endplatte für Dachraute 44 × 44</v>
      </c>
      <c r="F33" s="562"/>
      <c r="G33" s="562"/>
      <c r="H33" s="562"/>
      <c r="I33" s="562"/>
      <c r="J33" s="562"/>
      <c r="K33" s="563"/>
      <c r="L33" s="79" t="str">
        <f>IF(A33=0,"",IF($P$11=1,AC33,AD33))</f>
        <v/>
      </c>
      <c r="M33" s="433" t="str">
        <f t="shared" ref="M33:M96" si="3">B33</f>
        <v>Stk.</v>
      </c>
      <c r="N33" s="80"/>
      <c r="O33" s="202" t="str">
        <f>IF(ISNUMBER(A33),$L33*R33, "")</f>
        <v/>
      </c>
      <c r="P33" s="5"/>
      <c r="Q33" s="5"/>
      <c r="R33" s="200">
        <v>6.54</v>
      </c>
      <c r="S33" s="195"/>
      <c r="T33" s="195"/>
      <c r="U33" s="195"/>
      <c r="V33" s="195"/>
      <c r="W33" s="195"/>
      <c r="X33" s="195"/>
      <c r="Y33" s="195"/>
      <c r="Z33" s="195"/>
      <c r="AA33" s="195"/>
      <c r="AB33" s="1"/>
      <c r="AC33" s="149">
        <f>ROUNDUP(ROUNDUP($A33/40,0)*40,1)</f>
        <v>0</v>
      </c>
      <c r="AD33" s="149">
        <f>ROUNDUP($A33,0)</f>
        <v>0</v>
      </c>
      <c r="AH33" s="470">
        <v>112301</v>
      </c>
      <c r="AI33" s="470">
        <v>112302</v>
      </c>
      <c r="AJ33" s="470">
        <v>112303</v>
      </c>
      <c r="AK33" s="470">
        <v>112304</v>
      </c>
      <c r="AL33" s="470">
        <v>112305</v>
      </c>
      <c r="AM33" s="470">
        <v>112306</v>
      </c>
      <c r="AN33" s="470">
        <v>112308</v>
      </c>
      <c r="AO33" s="470">
        <v>112307</v>
      </c>
      <c r="AP33" s="470">
        <v>112309</v>
      </c>
      <c r="AQ33" s="470"/>
      <c r="AR33" s="469">
        <v>112281</v>
      </c>
      <c r="AS33" s="469">
        <v>112282</v>
      </c>
      <c r="AT33" s="469">
        <v>112283</v>
      </c>
      <c r="AU33" s="469">
        <v>112284</v>
      </c>
      <c r="AV33" s="469">
        <v>112285</v>
      </c>
      <c r="AW33" s="469">
        <v>112286</v>
      </c>
      <c r="AX33" s="469">
        <v>112288</v>
      </c>
      <c r="AY33" s="469">
        <v>112287</v>
      </c>
      <c r="AZ33" s="469">
        <v>112289</v>
      </c>
      <c r="BA33" s="469">
        <v>112290</v>
      </c>
      <c r="BB33" s="468">
        <f t="shared" si="1"/>
        <v>0</v>
      </c>
      <c r="BC33" s="468">
        <f t="shared" si="2"/>
        <v>0</v>
      </c>
    </row>
    <row r="34" spans="1:55" ht="32.1" customHeight="1">
      <c r="A34" s="98"/>
      <c r="B34" s="79" t="str">
        <f>VLOOKUP(1512,Sprachindex!$A:$Z,Info!$O$7,FALSE)</f>
        <v>lfm</v>
      </c>
      <c r="C34" s="78"/>
      <c r="D34" s="82">
        <v>562005</v>
      </c>
      <c r="E34" s="561" t="str">
        <f>VLOOKUP(768,Sprachindex!$A:$Z,Info!$O$7,FALSE)</f>
        <v>Saumstreifen (1.800 × 158 × 1,00 mm)</v>
      </c>
      <c r="F34" s="562"/>
      <c r="G34" s="562"/>
      <c r="H34" s="562"/>
      <c r="I34" s="562"/>
      <c r="J34" s="562"/>
      <c r="K34" s="563"/>
      <c r="L34" s="79" t="str">
        <f>IF(A34=0,"",IF($P$11=1,AC34,AD34))</f>
        <v/>
      </c>
      <c r="M34" s="433" t="str">
        <f t="shared" si="3"/>
        <v>lfm</v>
      </c>
      <c r="N34" s="80"/>
      <c r="O34" s="202" t="str">
        <f>IF(ISNUMBER(A34),$L34*R34, "")</f>
        <v/>
      </c>
      <c r="P34" s="5"/>
      <c r="Q34" s="5"/>
      <c r="R34" s="200">
        <v>5.38</v>
      </c>
      <c r="S34" s="195"/>
      <c r="T34" s="195"/>
      <c r="U34" s="195"/>
      <c r="V34" s="195"/>
      <c r="W34" s="195"/>
      <c r="X34" s="195"/>
      <c r="Y34" s="195"/>
      <c r="Z34" s="195"/>
      <c r="AA34" s="195"/>
      <c r="AB34" s="1"/>
      <c r="AC34" s="149">
        <f>ROUNDUP($A34/1.8,0)*1.8</f>
        <v>0</v>
      </c>
      <c r="AD34" s="149">
        <f>ROUNDUP($A34/1.8,0)*1.8</f>
        <v>0</v>
      </c>
    </row>
    <row r="35" spans="1:55" ht="32.1" customHeight="1">
      <c r="A35" s="98"/>
      <c r="B35" s="79" t="str">
        <f>VLOOKUP(531,Sprachindex!$A:$Z,Info!$O$7,FALSE)</f>
        <v>kg</v>
      </c>
      <c r="C35" s="78"/>
      <c r="D35" s="78" t="str">
        <f>IF(H35=Formeln!A2,340392,IF(H35=Formeln!A3,340394,IF(H35=Formeln!A4,341392,"")))</f>
        <v/>
      </c>
      <c r="E35" s="561" t="str">
        <f>VLOOKUP(707,Sprachindex!$A:$Z,Info!$O$7,FALSE)</f>
        <v>Rillennagel (verzinkt)</v>
      </c>
      <c r="F35" s="562"/>
      <c r="G35" s="562"/>
      <c r="H35" s="572"/>
      <c r="I35" s="573"/>
      <c r="J35" s="573"/>
      <c r="K35" s="574"/>
      <c r="L35" s="79" t="str">
        <f>IF(A35=0,"",IF(H35=Formeln!$A$1,"",IF($P$11=1,AC35,AD35)))</f>
        <v/>
      </c>
      <c r="M35" s="433" t="str">
        <f t="shared" si="3"/>
        <v>kg</v>
      </c>
      <c r="N35" s="80"/>
      <c r="O35" s="202" t="str">
        <f>IF(ISNUMBER(A35),$L35*R35, "")</f>
        <v/>
      </c>
      <c r="P35" s="5"/>
      <c r="Q35" s="5"/>
      <c r="R35" s="200">
        <v>9.35</v>
      </c>
      <c r="S35" s="195"/>
      <c r="T35" s="195"/>
      <c r="U35" s="195"/>
      <c r="V35" s="195"/>
      <c r="W35" s="195"/>
      <c r="X35" s="195"/>
      <c r="Y35" s="195"/>
      <c r="Z35" s="195"/>
      <c r="AA35" s="195"/>
      <c r="AB35" s="1"/>
      <c r="AC35" s="149">
        <f>IF(OR($H35=Formeln!$A$2,$H35=Formeln!$A$3),ROUNDUP($A35/2.5,0)*2.5,ROUNDUP($A35/2,0)*2)</f>
        <v>0</v>
      </c>
      <c r="AD35" s="149">
        <f>ROUNDUP($A35,2)</f>
        <v>0</v>
      </c>
      <c r="AE35" s="6">
        <f>IF(H35=Formeln!A2,570,IF(H35=Formeln!A3,480,IF(H35=Formeln!A4,380,0)))</f>
        <v>0</v>
      </c>
      <c r="AF35" s="6"/>
    </row>
    <row r="36" spans="1:55" ht="32.1" customHeight="1">
      <c r="A36" s="98"/>
      <c r="B36" s="79" t="str">
        <f>VLOOKUP(878,Sprachindex!$A:$Z,Info!$O$7,FALSE)</f>
        <v>Stk.</v>
      </c>
      <c r="C36" s="78"/>
      <c r="D36" s="81" t="str">
        <f>IF(H36=Formeln!A6,341395,IF(H36=Formeln!A7,341396,IF(H36=Formeln!A8,341398,"")))</f>
        <v/>
      </c>
      <c r="E36" s="561" t="str">
        <f>VLOOKUP(2186,Sprachindex!$A:$Z,Info!$O$7,FALSE)</f>
        <v>Rillennägel gebunden</v>
      </c>
      <c r="F36" s="562"/>
      <c r="G36" s="562"/>
      <c r="H36" s="572"/>
      <c r="I36" s="573"/>
      <c r="J36" s="573"/>
      <c r="K36" s="574"/>
      <c r="L36" s="141" t="str">
        <f>IF($A36=0,"",IF($H36=Formeln!$A$5,"",IF($P$11=1,AC36,AD36)))</f>
        <v/>
      </c>
      <c r="M36" s="433" t="str">
        <f t="shared" si="3"/>
        <v>Stk.</v>
      </c>
      <c r="N36" s="80"/>
      <c r="O36" s="202" t="str">
        <f>IF(ISNUMBER(A36), IF(H36=Formeln!A7, $L36*S36/1000,IF(H36=Formeln!A6, $L36*R36/1000,L36*T36/1000)), "")</f>
        <v/>
      </c>
      <c r="P36" s="5"/>
      <c r="Q36" s="5"/>
      <c r="R36" s="200">
        <v>34.4</v>
      </c>
      <c r="S36" s="200">
        <v>51.6</v>
      </c>
      <c r="T36" s="200">
        <v>64.400000000000006</v>
      </c>
      <c r="U36" s="195"/>
      <c r="V36" s="195"/>
      <c r="W36" s="195"/>
      <c r="X36" s="195"/>
      <c r="Y36" s="195"/>
      <c r="Z36" s="195"/>
      <c r="AA36" s="195"/>
      <c r="AB36" s="135"/>
      <c r="AC36" s="148">
        <f>ROUNDUP($A36/$AE36,0)*$AE36</f>
        <v>0</v>
      </c>
      <c r="AD36" s="149">
        <f>ROUNDUP($A36/1000,0)*1000</f>
        <v>0</v>
      </c>
      <c r="AE36" s="150">
        <f>IF($H36=Formeln!$A$7,2400,3200)</f>
        <v>3200</v>
      </c>
      <c r="AF36" s="6"/>
    </row>
    <row r="37" spans="1:55" ht="32.1" customHeight="1">
      <c r="A37" s="98"/>
      <c r="B37" s="79" t="str">
        <f>VLOOKUP(1512,Sprachindex!$A:$Z,Info!$O$7,FALSE)</f>
        <v>lfm</v>
      </c>
      <c r="C37" s="78"/>
      <c r="D37" s="78">
        <f>IF($P$21=1,AH37,IF($P$21=4,AI37,IF($P$21=5,AJ37,IF($P$21=11,AK37,IF($P$21=7,AL37,IF($P$21=3,AM37,IF($P$21=6,AN37,IF($P$21=9,AO37,IF($P$21=2,AP37,IF($P$21=8,AQ37,0))))))))))</f>
        <v>0</v>
      </c>
      <c r="E37" s="561" t="str">
        <f>VLOOKUP(333,Sprachindex!$A:$Z,Info!$O$7,FALSE)</f>
        <v>Einlaufblech</v>
      </c>
      <c r="F37" s="562"/>
      <c r="G37" s="562"/>
      <c r="H37" s="562"/>
      <c r="I37" s="562"/>
      <c r="J37" s="562"/>
      <c r="K37" s="563"/>
      <c r="L37" s="79" t="str">
        <f>IF(A37=0,"",IF($P$11=1,AC37,AD37))</f>
        <v/>
      </c>
      <c r="M37" s="433" t="str">
        <f t="shared" si="3"/>
        <v>lfm</v>
      </c>
      <c r="N37" s="80"/>
      <c r="O37" s="202" t="str">
        <f>IF(ISNUMBER(A37),$L37*R37, "")</f>
        <v/>
      </c>
      <c r="P37" s="5"/>
      <c r="Q37" s="5"/>
      <c r="R37" s="200">
        <v>8.65</v>
      </c>
      <c r="S37" s="207"/>
      <c r="T37" s="207"/>
      <c r="U37" s="195"/>
      <c r="V37" s="195"/>
      <c r="W37" s="195"/>
      <c r="X37" s="195"/>
      <c r="Y37" s="195"/>
      <c r="Z37" s="195"/>
      <c r="AA37" s="195"/>
      <c r="AB37" s="135"/>
      <c r="AC37" s="149">
        <f>ROUNDUP($A37/2,0)*2</f>
        <v>0</v>
      </c>
      <c r="AD37" s="149">
        <f>ROUNDUP($A37/2,0)*2</f>
        <v>0</v>
      </c>
      <c r="AE37" s="145"/>
      <c r="AH37" s="181">
        <v>212100</v>
      </c>
      <c r="AI37" s="181"/>
      <c r="AJ37" s="181">
        <v>212102</v>
      </c>
      <c r="AK37" s="181">
        <v>212101</v>
      </c>
      <c r="AL37" s="181"/>
      <c r="AM37" s="181"/>
      <c r="AN37" s="181">
        <v>212106</v>
      </c>
      <c r="AO37" s="181"/>
      <c r="AP37" s="181">
        <v>212104</v>
      </c>
      <c r="AQ37" s="181">
        <v>212103</v>
      </c>
    </row>
    <row r="38" spans="1:55" ht="32.1" customHeight="1">
      <c r="A38" s="98"/>
      <c r="B38" s="79" t="str">
        <f>VLOOKUP(1512,Sprachindex!$A:$Z,Info!$O$7,FALSE)</f>
        <v>lfm</v>
      </c>
      <c r="C38" s="82"/>
      <c r="D38" s="82" t="str">
        <f>IF(H38=Formeln!A10,507403,IF(H38=Formeln!A11,507404,IF(H38=Formeln!A12,507402,IF(H38=Formeln!A13,507405,IF(H38=Formeln!A14,507412,IF(H38=Formeln!A15,507413,""))))))</f>
        <v/>
      </c>
      <c r="E38" s="561" t="str">
        <f>VLOOKUP(586,Sprachindex!$A:$Z,Info!$O$7,FALSE)</f>
        <v>Lüftungsband</v>
      </c>
      <c r="F38" s="562"/>
      <c r="G38" s="562"/>
      <c r="H38" s="572"/>
      <c r="I38" s="573"/>
      <c r="J38" s="573"/>
      <c r="K38" s="574"/>
      <c r="L38" s="79" t="str">
        <f>IF($H$38=Formeln!$AA$945,"",IF(A38="","",IF($P$11=1,AC38,AD38)))</f>
        <v/>
      </c>
      <c r="M38" s="433" t="str">
        <f t="shared" si="3"/>
        <v>lfm</v>
      </c>
      <c r="N38" s="80"/>
      <c r="O38" s="202" t="str">
        <f>IF(ISNUMBER(A38), IF(H38=Formeln!A12, $L38*S38, $L38*R38), "")</f>
        <v/>
      </c>
      <c r="P38" s="5"/>
      <c r="Q38" s="5"/>
      <c r="R38" s="200">
        <v>13.23</v>
      </c>
      <c r="S38" s="208">
        <v>21.27</v>
      </c>
      <c r="T38" s="195"/>
      <c r="U38" s="195"/>
      <c r="V38" s="195"/>
      <c r="W38" s="195"/>
      <c r="X38" s="195"/>
      <c r="Y38" s="195"/>
      <c r="Z38" s="195"/>
      <c r="AA38" s="195"/>
      <c r="AB38" s="1"/>
      <c r="AC38" s="149">
        <f>ROUNDUP($A38/40,0)*40</f>
        <v>0</v>
      </c>
      <c r="AD38" s="149">
        <f>$A38</f>
        <v>0</v>
      </c>
      <c r="AH38" s="45" t="s">
        <v>26</v>
      </c>
      <c r="AI38" s="13"/>
      <c r="AJ38" s="13"/>
      <c r="AK38" s="13"/>
      <c r="AL38" s="13"/>
      <c r="AM38" s="13"/>
      <c r="AN38" s="13"/>
      <c r="AO38" s="13"/>
      <c r="AP38" s="13"/>
      <c r="AQ38" s="13"/>
      <c r="AR38" s="45" t="s">
        <v>27</v>
      </c>
      <c r="AS38" s="13"/>
      <c r="AT38" s="13"/>
      <c r="AU38" s="13"/>
      <c r="AV38" s="13"/>
      <c r="AW38" s="13"/>
      <c r="AX38" s="13"/>
      <c r="AY38" s="13"/>
      <c r="AZ38" s="13"/>
      <c r="BA38" s="46"/>
    </row>
    <row r="39" spans="1:55" ht="32.1" customHeight="1">
      <c r="A39" s="98"/>
      <c r="B39" s="79" t="str">
        <f>VLOOKUP(1512,Sprachindex!$A:$Z,Info!$O$7,FALSE)</f>
        <v>lfm</v>
      </c>
      <c r="C39" s="78"/>
      <c r="D39" s="78">
        <v>507300</v>
      </c>
      <c r="E39" s="561" t="str">
        <f>VLOOKUP(986,Sprachindex!$A:$Z,Info!$O$7,FALSE)</f>
        <v>Vogelschutzgitter (Braun/Anthrazit; 125 × 2.000 × 0,7 mm)</v>
      </c>
      <c r="F39" s="562"/>
      <c r="G39" s="562"/>
      <c r="H39" s="562"/>
      <c r="I39" s="562"/>
      <c r="J39" s="562"/>
      <c r="K39" s="563"/>
      <c r="L39" s="79" t="str">
        <f t="shared" ref="L39:L47" si="4">IF(A39=0,"",IF($P$11=1,AC39,AD39))</f>
        <v/>
      </c>
      <c r="M39" s="433" t="str">
        <f t="shared" si="3"/>
        <v>lfm</v>
      </c>
      <c r="N39" s="80"/>
      <c r="O39" s="202" t="str">
        <f>IF(ISNUMBER(A39),$L39*R39, "")</f>
        <v/>
      </c>
      <c r="P39" s="5"/>
      <c r="Q39" s="5"/>
      <c r="R39" s="200">
        <v>4.01</v>
      </c>
      <c r="T39" s="195"/>
      <c r="U39" s="195"/>
      <c r="V39" s="195"/>
      <c r="W39" s="195"/>
      <c r="X39" s="195"/>
      <c r="Y39" s="195"/>
      <c r="Z39" s="195"/>
      <c r="AA39" s="195"/>
      <c r="AB39" s="1"/>
      <c r="AC39" s="149">
        <f>ROUNDUP($A39/2,0)*2</f>
        <v>0</v>
      </c>
      <c r="AD39" s="149">
        <f>ROUNDUP($A39/2,0)*2</f>
        <v>0</v>
      </c>
      <c r="AH39" s="47" t="s">
        <v>33</v>
      </c>
      <c r="AI39" s="47" t="s">
        <v>34</v>
      </c>
      <c r="AJ39" s="47" t="s">
        <v>35</v>
      </c>
      <c r="AK39" s="47" t="s">
        <v>36</v>
      </c>
      <c r="AL39" s="47" t="s">
        <v>37</v>
      </c>
      <c r="AM39" s="47" t="s">
        <v>38</v>
      </c>
      <c r="AN39" s="47" t="s">
        <v>39</v>
      </c>
      <c r="AO39" s="47" t="s">
        <v>40</v>
      </c>
      <c r="AP39" s="47" t="s">
        <v>41</v>
      </c>
      <c r="AQ39" s="47" t="s">
        <v>42</v>
      </c>
      <c r="AR39" s="47" t="s">
        <v>33</v>
      </c>
      <c r="AS39" s="47" t="s">
        <v>34</v>
      </c>
      <c r="AT39" s="47" t="s">
        <v>35</v>
      </c>
      <c r="AU39" s="47" t="s">
        <v>36</v>
      </c>
      <c r="AV39" s="47" t="s">
        <v>37</v>
      </c>
      <c r="AW39" s="47" t="s">
        <v>38</v>
      </c>
      <c r="AX39" s="47" t="s">
        <v>39</v>
      </c>
      <c r="AY39" s="47" t="s">
        <v>40</v>
      </c>
      <c r="AZ39" s="47" t="s">
        <v>41</v>
      </c>
      <c r="BA39" s="47" t="s">
        <v>42</v>
      </c>
    </row>
    <row r="40" spans="1:55" ht="32.1" customHeight="1">
      <c r="A40" s="98"/>
      <c r="B40" s="79" t="str">
        <f>VLOOKUP(1512,Sprachindex!$A:$Z,Info!$O$7,FALSE)</f>
        <v>lfm</v>
      </c>
      <c r="C40" s="78"/>
      <c r="D40" s="78">
        <f t="shared" ref="D40:D46" si="5">IF($P$9=1,BC40,BB40)</f>
        <v>0</v>
      </c>
      <c r="E40" s="561" t="str">
        <f>VLOOKUP(647,Sprachindex!$A:$Z,Info!$O$7,FALSE)</f>
        <v>Ortgangstreifen (95 × 2.000 × 0,70 mm)</v>
      </c>
      <c r="F40" s="562"/>
      <c r="G40" s="562"/>
      <c r="H40" s="562"/>
      <c r="I40" s="562"/>
      <c r="J40" s="562"/>
      <c r="K40" s="563"/>
      <c r="L40" s="79" t="str">
        <f t="shared" si="4"/>
        <v/>
      </c>
      <c r="M40" s="433" t="str">
        <f t="shared" si="3"/>
        <v>lfm</v>
      </c>
      <c r="N40" s="80"/>
      <c r="O40" s="202" t="str">
        <f>IF(ISNUMBER(A40),$L40*R40, "")</f>
        <v/>
      </c>
      <c r="P40" s="5"/>
      <c r="Q40" s="5"/>
      <c r="R40" s="200">
        <v>9.57</v>
      </c>
      <c r="S40" s="195"/>
      <c r="T40" s="195"/>
      <c r="U40" s="195"/>
      <c r="V40" s="195"/>
      <c r="W40" s="195"/>
      <c r="X40" s="195"/>
      <c r="Y40" s="195"/>
      <c r="Z40" s="195"/>
      <c r="AA40" s="195"/>
      <c r="AB40" s="1"/>
      <c r="AC40" s="149">
        <f>ROUNDUP($A40/2,0)*2</f>
        <v>0</v>
      </c>
      <c r="AD40" s="149">
        <f>ROUNDUP($A40/2,0)*2</f>
        <v>0</v>
      </c>
      <c r="AH40" s="470">
        <v>110500</v>
      </c>
      <c r="AI40" s="470">
        <v>110501</v>
      </c>
      <c r="AJ40" s="470">
        <v>110502</v>
      </c>
      <c r="AK40" s="470">
        <v>110503</v>
      </c>
      <c r="AL40" s="470">
        <v>110504</v>
      </c>
      <c r="AM40" s="470">
        <v>110505</v>
      </c>
      <c r="AN40" s="470">
        <v>110506</v>
      </c>
      <c r="AO40" s="470">
        <v>110507</v>
      </c>
      <c r="AP40" s="470">
        <v>110508</v>
      </c>
      <c r="AQ40" s="470"/>
      <c r="AR40" s="469">
        <v>110510</v>
      </c>
      <c r="AS40" s="469">
        <v>110511</v>
      </c>
      <c r="AT40" s="469">
        <v>110512</v>
      </c>
      <c r="AU40" s="469">
        <v>110513</v>
      </c>
      <c r="AV40" s="469">
        <v>110514</v>
      </c>
      <c r="AW40" s="469">
        <v>110515</v>
      </c>
      <c r="AX40" s="469">
        <v>110516</v>
      </c>
      <c r="AY40" s="469">
        <v>110517</v>
      </c>
      <c r="AZ40" s="469">
        <v>110518</v>
      </c>
      <c r="BA40" s="469">
        <v>110519</v>
      </c>
      <c r="BB40" s="468">
        <f t="shared" ref="BB40:BB46" si="6">IF($P$21=1,AH40,IF($P$21=4,AI40,IF($P$21=5,AJ40,IF($P$21=11,AK40,IF($P$21=7,AL40,IF($P$21=3,AM40,IF($P$21=6,AN40,IF($P$21=9,AO40,IF($P$21=2,AP40,IF($P$21=8,AQ40,0))))))))))</f>
        <v>0</v>
      </c>
      <c r="BC40" s="468">
        <f t="shared" ref="BC40:BC46" si="7">IF($P$21=1,AR40,IF($P$21=4,AS40,IF($P$21=5,AT40,IF($P$21=11,AU40,IF($P$21=7,AV40,IF($P$21=3,AW40,IF($P$21=6,AX40,IF($P$21=9,AY40,IF($P$21=2,AZ40,IF($P$21=8,BA40,0))))))))))</f>
        <v>0</v>
      </c>
    </row>
    <row r="41" spans="1:55" ht="32.1" customHeight="1">
      <c r="A41" s="98"/>
      <c r="B41" s="79" t="str">
        <f>VLOOKUP(1512,Sprachindex!$A:$Z,Info!$O$7,FALSE)</f>
        <v>lfm</v>
      </c>
      <c r="C41" s="78"/>
      <c r="D41" s="78">
        <f t="shared" si="5"/>
        <v>0</v>
      </c>
      <c r="E41" s="561" t="str">
        <f>VLOOKUP(825,Sprachindex!$A:$Z,Info!$O$7,FALSE)</f>
        <v>Sicherheitskehle (stucco; Länge: 3.000 mm)</v>
      </c>
      <c r="F41" s="562"/>
      <c r="G41" s="562"/>
      <c r="H41" s="562"/>
      <c r="I41" s="562"/>
      <c r="J41" s="562"/>
      <c r="K41" s="563"/>
      <c r="L41" s="79" t="str">
        <f t="shared" si="4"/>
        <v/>
      </c>
      <c r="M41" s="433" t="str">
        <f t="shared" si="3"/>
        <v>lfm</v>
      </c>
      <c r="N41" s="80"/>
      <c r="O41" s="202" t="str">
        <f t="shared" ref="O41:O46" si="8">IF(ISNUMBER(A41),$L41*R41, "")</f>
        <v/>
      </c>
      <c r="P41" s="5"/>
      <c r="Q41" s="5"/>
      <c r="R41" s="200">
        <v>32.14</v>
      </c>
      <c r="S41" s="195"/>
      <c r="T41" s="195"/>
      <c r="U41" s="195"/>
      <c r="V41" s="195"/>
      <c r="W41" s="195"/>
      <c r="X41" s="195"/>
      <c r="Y41" s="195"/>
      <c r="Z41" s="195"/>
      <c r="AA41" s="195"/>
      <c r="AB41" s="1"/>
      <c r="AC41" s="149">
        <f>ROUNDUP($A41/3,0)*3</f>
        <v>0</v>
      </c>
      <c r="AD41" s="149">
        <f>ROUNDUP($A41/3,0)*3</f>
        <v>0</v>
      </c>
      <c r="AH41" s="470">
        <v>110520</v>
      </c>
      <c r="AI41" s="470">
        <v>110521</v>
      </c>
      <c r="AJ41" s="470">
        <v>110522</v>
      </c>
      <c r="AK41" s="470">
        <v>110523</v>
      </c>
      <c r="AL41" s="470">
        <v>110524</v>
      </c>
      <c r="AM41" s="470">
        <v>110525</v>
      </c>
      <c r="AN41" s="470">
        <v>110526</v>
      </c>
      <c r="AO41" s="470">
        <v>110527</v>
      </c>
      <c r="AP41" s="470">
        <v>110528</v>
      </c>
      <c r="AQ41" s="470"/>
      <c r="AR41" s="469">
        <v>110530</v>
      </c>
      <c r="AS41" s="469">
        <v>110531</v>
      </c>
      <c r="AT41" s="469">
        <v>110532</v>
      </c>
      <c r="AU41" s="469">
        <v>110533</v>
      </c>
      <c r="AV41" s="469">
        <v>110534</v>
      </c>
      <c r="AW41" s="469">
        <v>110535</v>
      </c>
      <c r="AX41" s="469">
        <v>110536</v>
      </c>
      <c r="AY41" s="469">
        <v>110537</v>
      </c>
      <c r="AZ41" s="469">
        <v>110538</v>
      </c>
      <c r="BA41" s="469">
        <v>110539</v>
      </c>
      <c r="BB41" s="468">
        <f t="shared" si="6"/>
        <v>0</v>
      </c>
      <c r="BC41" s="468">
        <f t="shared" si="7"/>
        <v>0</v>
      </c>
    </row>
    <row r="42" spans="1:55" ht="32.1" customHeight="1">
      <c r="A42" s="98"/>
      <c r="B42" s="79" t="str">
        <f>VLOOKUP(1512,Sprachindex!$A:$Z,Info!$O$7,FALSE)</f>
        <v>lfm</v>
      </c>
      <c r="C42" s="78"/>
      <c r="D42" s="78">
        <f t="shared" si="5"/>
        <v>0</v>
      </c>
      <c r="E42" s="561" t="str">
        <f>VLOOKUP(440,Sprachindex!$A:$Z,Info!$O$7,FALSE)</f>
        <v>Grat- und Firstreiter (500 × 1,00 mm; stucco) inkl. Niro-Schraube 4,5 × 45 mm und Dichtscheibe</v>
      </c>
      <c r="F42" s="562"/>
      <c r="G42" s="562"/>
      <c r="H42" s="562"/>
      <c r="I42" s="562"/>
      <c r="J42" s="562"/>
      <c r="K42" s="563"/>
      <c r="L42" s="79" t="str">
        <f t="shared" si="4"/>
        <v/>
      </c>
      <c r="M42" s="433" t="str">
        <f t="shared" si="3"/>
        <v>lfm</v>
      </c>
      <c r="N42" s="80"/>
      <c r="O42" s="202" t="str">
        <f t="shared" si="8"/>
        <v/>
      </c>
      <c r="P42" s="5"/>
      <c r="Q42" s="5"/>
      <c r="R42" s="200">
        <v>14.77</v>
      </c>
      <c r="S42" s="195"/>
      <c r="T42" s="195"/>
      <c r="U42" s="195"/>
      <c r="V42" s="195"/>
      <c r="W42" s="195"/>
      <c r="X42" s="195"/>
      <c r="Y42" s="195"/>
      <c r="Z42" s="195"/>
      <c r="AA42" s="195"/>
      <c r="AB42" s="1"/>
      <c r="AC42" s="149">
        <f>ROUNDUP($A42/10,0)*10</f>
        <v>0</v>
      </c>
      <c r="AD42" s="149">
        <f>ROUNDUP($A42/0.5,0)*0.5</f>
        <v>0</v>
      </c>
      <c r="AH42" s="470">
        <v>110340</v>
      </c>
      <c r="AI42" s="470">
        <v>110341</v>
      </c>
      <c r="AJ42" s="470">
        <v>110342</v>
      </c>
      <c r="AK42" s="470">
        <v>110343</v>
      </c>
      <c r="AL42" s="470">
        <v>110344</v>
      </c>
      <c r="AM42" s="470">
        <v>110345</v>
      </c>
      <c r="AN42" s="470">
        <v>110346</v>
      </c>
      <c r="AO42" s="470">
        <v>110347</v>
      </c>
      <c r="AP42" s="470">
        <v>110348</v>
      </c>
      <c r="AQ42" s="470"/>
      <c r="AR42" s="469">
        <v>110350</v>
      </c>
      <c r="AS42" s="469">
        <v>110351</v>
      </c>
      <c r="AT42" s="469">
        <v>110352</v>
      </c>
      <c r="AU42" s="469">
        <v>110353</v>
      </c>
      <c r="AV42" s="469">
        <v>110354</v>
      </c>
      <c r="AW42" s="469">
        <v>110355</v>
      </c>
      <c r="AX42" s="469">
        <v>110356</v>
      </c>
      <c r="AY42" s="469">
        <v>110357</v>
      </c>
      <c r="AZ42" s="469">
        <v>110358</v>
      </c>
      <c r="BA42" s="469">
        <v>110359</v>
      </c>
      <c r="BB42" s="468">
        <f t="shared" si="6"/>
        <v>0</v>
      </c>
      <c r="BC42" s="468">
        <f t="shared" si="7"/>
        <v>0</v>
      </c>
    </row>
    <row r="43" spans="1:55" ht="32.1" customHeight="1">
      <c r="A43" s="98"/>
      <c r="B43" s="79" t="str">
        <f>VLOOKUP(878,Sprachindex!$A:$Z,Info!$O$7,FALSE)</f>
        <v>Stk.</v>
      </c>
      <c r="C43" s="78"/>
      <c r="D43" s="78">
        <f t="shared" si="5"/>
        <v>0</v>
      </c>
      <c r="E43" s="561" t="str">
        <f>VLOOKUP(441,Sprachindex!$A:$Z,Info!$O$7,FALSE)</f>
        <v>Gratreitervorkopf (stucco)</v>
      </c>
      <c r="F43" s="562"/>
      <c r="G43" s="562"/>
      <c r="H43" s="562"/>
      <c r="I43" s="562"/>
      <c r="J43" s="562"/>
      <c r="K43" s="563"/>
      <c r="L43" s="79" t="str">
        <f t="shared" si="4"/>
        <v/>
      </c>
      <c r="M43" s="433" t="str">
        <f t="shared" si="3"/>
        <v>Stk.</v>
      </c>
      <c r="N43" s="80"/>
      <c r="O43" s="202" t="str">
        <f t="shared" si="8"/>
        <v/>
      </c>
      <c r="P43" s="5"/>
      <c r="Q43" s="5"/>
      <c r="R43" s="200">
        <v>8.02</v>
      </c>
      <c r="S43" s="195"/>
      <c r="T43" s="195"/>
      <c r="U43" s="195"/>
      <c r="V43" s="195"/>
      <c r="W43" s="195"/>
      <c r="X43" s="195"/>
      <c r="Y43" s="195"/>
      <c r="Z43" s="195"/>
      <c r="AA43" s="195"/>
      <c r="AB43" s="1"/>
      <c r="AC43" s="149">
        <f>ROUNDUP($A43/10,0)*10</f>
        <v>0</v>
      </c>
      <c r="AD43" s="149">
        <f>ROUNDUP($A43/1,0)*1</f>
        <v>0</v>
      </c>
      <c r="AH43" s="470">
        <v>110320</v>
      </c>
      <c r="AI43" s="470">
        <v>110321</v>
      </c>
      <c r="AJ43" s="470">
        <v>110322</v>
      </c>
      <c r="AK43" s="470">
        <v>110323</v>
      </c>
      <c r="AL43" s="470">
        <v>110324</v>
      </c>
      <c r="AM43" s="470">
        <v>110325</v>
      </c>
      <c r="AN43" s="470">
        <v>110326</v>
      </c>
      <c r="AO43" s="470">
        <v>110327</v>
      </c>
      <c r="AP43" s="470">
        <v>110328</v>
      </c>
      <c r="AQ43" s="470"/>
      <c r="AR43" s="469">
        <v>110330</v>
      </c>
      <c r="AS43" s="469">
        <v>110331</v>
      </c>
      <c r="AT43" s="469">
        <v>110332</v>
      </c>
      <c r="AU43" s="469">
        <v>110333</v>
      </c>
      <c r="AV43" s="469">
        <v>110334</v>
      </c>
      <c r="AW43" s="469">
        <v>110335</v>
      </c>
      <c r="AX43" s="469">
        <v>110336</v>
      </c>
      <c r="AY43" s="469">
        <v>110337</v>
      </c>
      <c r="AZ43" s="469">
        <v>110338</v>
      </c>
      <c r="BA43" s="469">
        <v>110339</v>
      </c>
      <c r="BB43" s="468">
        <f t="shared" si="6"/>
        <v>0</v>
      </c>
      <c r="BC43" s="468">
        <f t="shared" si="7"/>
        <v>0</v>
      </c>
    </row>
    <row r="44" spans="1:55" ht="32.1" customHeight="1">
      <c r="A44" s="98"/>
      <c r="B44" s="79" t="str">
        <f>VLOOKUP(1512,Sprachindex!$A:$Z,Info!$O$7,FALSE)</f>
        <v>lfm</v>
      </c>
      <c r="C44" s="78"/>
      <c r="D44" s="78">
        <f t="shared" si="5"/>
        <v>0</v>
      </c>
      <c r="E44" s="561" t="str">
        <f>VLOOKUP(501,Sprachindex!$A:$Z,Info!$O$7,FALSE)</f>
        <v>Jet-Lüfter (stucco; 1.200 mm); inkl. Niro-Schraube und Dichtscheibe</v>
      </c>
      <c r="F44" s="562"/>
      <c r="G44" s="562"/>
      <c r="H44" s="562"/>
      <c r="I44" s="562"/>
      <c r="J44" s="562"/>
      <c r="K44" s="563"/>
      <c r="L44" s="79" t="str">
        <f t="shared" si="4"/>
        <v/>
      </c>
      <c r="M44" s="433" t="str">
        <f t="shared" si="3"/>
        <v>lfm</v>
      </c>
      <c r="N44" s="80"/>
      <c r="O44" s="202" t="str">
        <f t="shared" si="8"/>
        <v/>
      </c>
      <c r="P44" s="5"/>
      <c r="Q44" s="5"/>
      <c r="R44" s="200">
        <v>67.2</v>
      </c>
      <c r="S44" s="195"/>
      <c r="T44" s="195"/>
      <c r="U44" s="195"/>
      <c r="V44" s="195"/>
      <c r="W44" s="195"/>
      <c r="X44" s="195"/>
      <c r="Y44" s="195"/>
      <c r="Z44" s="195"/>
      <c r="AA44" s="195"/>
      <c r="AB44" s="1"/>
      <c r="AC44" s="149">
        <f>ROUNDUP($A44/1.2,0)*1.2</f>
        <v>0</v>
      </c>
      <c r="AD44" s="149">
        <f>ROUNDUP($A44/1.2,0)*1.2</f>
        <v>0</v>
      </c>
      <c r="AH44" s="470">
        <v>110640</v>
      </c>
      <c r="AI44" s="470">
        <v>110641</v>
      </c>
      <c r="AJ44" s="470">
        <v>110642</v>
      </c>
      <c r="AK44" s="470">
        <v>110643</v>
      </c>
      <c r="AL44" s="470">
        <v>110644</v>
      </c>
      <c r="AM44" s="470">
        <v>110645</v>
      </c>
      <c r="AN44" s="470">
        <v>110646</v>
      </c>
      <c r="AO44" s="470">
        <v>110647</v>
      </c>
      <c r="AP44" s="470">
        <v>110648</v>
      </c>
      <c r="AQ44" s="470"/>
      <c r="AR44" s="469">
        <v>110650</v>
      </c>
      <c r="AS44" s="469">
        <v>110651</v>
      </c>
      <c r="AT44" s="469">
        <v>110652</v>
      </c>
      <c r="AU44" s="469">
        <v>110653</v>
      </c>
      <c r="AV44" s="469">
        <v>110654</v>
      </c>
      <c r="AW44" s="469">
        <v>110655</v>
      </c>
      <c r="AX44" s="469">
        <v>110656</v>
      </c>
      <c r="AY44" s="469">
        <v>110657</v>
      </c>
      <c r="AZ44" s="469">
        <v>110658</v>
      </c>
      <c r="BA44" s="469">
        <v>110659</v>
      </c>
      <c r="BB44" s="468">
        <f t="shared" si="6"/>
        <v>0</v>
      </c>
      <c r="BC44" s="468">
        <f t="shared" si="7"/>
        <v>0</v>
      </c>
    </row>
    <row r="45" spans="1:55" ht="32.1" customHeight="1">
      <c r="A45" s="98"/>
      <c r="B45" s="79" t="str">
        <f>VLOOKUP(1512,Sprachindex!$A:$Z,Info!$O$7,FALSE)</f>
        <v>lfm</v>
      </c>
      <c r="C45" s="78"/>
      <c r="D45" s="78">
        <f t="shared" si="5"/>
        <v>0</v>
      </c>
      <c r="E45" s="561" t="str">
        <f>VLOOKUP(502,Sprachindex!$A:$Z,Info!$O$7,FALSE)</f>
        <v>Jet-Lüfter (stucco; 3.000 mm); inkl. Niro-Schraube und Dichtscheibe</v>
      </c>
      <c r="F45" s="562"/>
      <c r="G45" s="562"/>
      <c r="H45" s="562"/>
      <c r="I45" s="562"/>
      <c r="J45" s="562"/>
      <c r="K45" s="563"/>
      <c r="L45" s="79" t="str">
        <f t="shared" si="4"/>
        <v/>
      </c>
      <c r="M45" s="433" t="str">
        <f t="shared" si="3"/>
        <v>lfm</v>
      </c>
      <c r="N45" s="80"/>
      <c r="O45" s="202" t="str">
        <f t="shared" si="8"/>
        <v/>
      </c>
      <c r="P45" s="5"/>
      <c r="Q45" s="5"/>
      <c r="R45" s="200">
        <v>60.69</v>
      </c>
      <c r="S45" s="195"/>
      <c r="T45" s="195"/>
      <c r="U45" s="195"/>
      <c r="V45" s="195"/>
      <c r="W45" s="195"/>
      <c r="X45" s="195"/>
      <c r="Y45" s="195"/>
      <c r="Z45" s="195"/>
      <c r="AA45" s="195"/>
      <c r="AB45" s="1"/>
      <c r="AC45" s="149">
        <f>ROUNDUP($A45/9,0)*9</f>
        <v>0</v>
      </c>
      <c r="AD45" s="149">
        <f>ROUNDUP($A45/3,0)*3</f>
        <v>0</v>
      </c>
      <c r="AH45" s="470">
        <v>110620</v>
      </c>
      <c r="AI45" s="470">
        <v>110621</v>
      </c>
      <c r="AJ45" s="470">
        <v>110622</v>
      </c>
      <c r="AK45" s="470">
        <v>110623</v>
      </c>
      <c r="AL45" s="470">
        <v>110624</v>
      </c>
      <c r="AM45" s="470">
        <v>110625</v>
      </c>
      <c r="AN45" s="470">
        <v>110626</v>
      </c>
      <c r="AO45" s="470">
        <v>110627</v>
      </c>
      <c r="AP45" s="470">
        <v>110628</v>
      </c>
      <c r="AQ45" s="470"/>
      <c r="AR45" s="469">
        <v>110630</v>
      </c>
      <c r="AS45" s="469">
        <v>110631</v>
      </c>
      <c r="AT45" s="469">
        <v>110632</v>
      </c>
      <c r="AU45" s="469">
        <v>110633</v>
      </c>
      <c r="AV45" s="469">
        <v>110634</v>
      </c>
      <c r="AW45" s="469">
        <v>110635</v>
      </c>
      <c r="AX45" s="469">
        <v>110636</v>
      </c>
      <c r="AY45" s="469">
        <v>110637</v>
      </c>
      <c r="AZ45" s="469">
        <v>110638</v>
      </c>
      <c r="BA45" s="469">
        <v>110639</v>
      </c>
      <c r="BB45" s="468">
        <f t="shared" si="6"/>
        <v>0</v>
      </c>
      <c r="BC45" s="468">
        <f t="shared" si="7"/>
        <v>0</v>
      </c>
    </row>
    <row r="46" spans="1:55" ht="32.1" customHeight="1">
      <c r="A46" s="98"/>
      <c r="B46" s="79" t="str">
        <f>VLOOKUP(878,Sprachindex!$A:$Z,Info!$O$7,FALSE)</f>
        <v>Stk.</v>
      </c>
      <c r="C46" s="78"/>
      <c r="D46" s="78">
        <f t="shared" si="5"/>
        <v>0</v>
      </c>
      <c r="E46" s="561" t="str">
        <f>VLOOKUP(503,Sprachindex!$A:$Z,Info!$O$7,FALSE)</f>
        <v>Jet-Lüfter-Vorkopf (stucco)</v>
      </c>
      <c r="F46" s="562"/>
      <c r="G46" s="562"/>
      <c r="H46" s="562"/>
      <c r="I46" s="562"/>
      <c r="J46" s="562"/>
      <c r="K46" s="563"/>
      <c r="L46" s="79" t="str">
        <f t="shared" si="4"/>
        <v/>
      </c>
      <c r="M46" s="433" t="str">
        <f t="shared" si="3"/>
        <v>Stk.</v>
      </c>
      <c r="N46" s="80"/>
      <c r="O46" s="202" t="str">
        <f t="shared" si="8"/>
        <v/>
      </c>
      <c r="P46" s="5"/>
      <c r="Q46" s="5"/>
      <c r="R46" s="200">
        <v>8.7100000000000009</v>
      </c>
      <c r="S46" s="195"/>
      <c r="T46" s="195"/>
      <c r="U46" s="195"/>
      <c r="V46" s="195"/>
      <c r="W46" s="195"/>
      <c r="X46" s="195"/>
      <c r="Y46" s="195"/>
      <c r="Z46" s="195"/>
      <c r="AA46" s="195"/>
      <c r="AB46" s="1"/>
      <c r="AC46" s="149">
        <f>ROUNDUP($A46/2,0)*2</f>
        <v>0</v>
      </c>
      <c r="AD46" s="149">
        <f>ROUNDUP($A46/1,0)*1</f>
        <v>0</v>
      </c>
      <c r="AH46" s="470">
        <v>110600</v>
      </c>
      <c r="AI46" s="470">
        <v>110601</v>
      </c>
      <c r="AJ46" s="470">
        <v>110602</v>
      </c>
      <c r="AK46" s="470">
        <v>110603</v>
      </c>
      <c r="AL46" s="470">
        <v>110604</v>
      </c>
      <c r="AM46" s="470">
        <v>110605</v>
      </c>
      <c r="AN46" s="470">
        <v>110606</v>
      </c>
      <c r="AO46" s="470">
        <v>110607</v>
      </c>
      <c r="AP46" s="470">
        <v>110608</v>
      </c>
      <c r="AQ46" s="470"/>
      <c r="AR46" s="469">
        <v>110610</v>
      </c>
      <c r="AS46" s="469">
        <v>110611</v>
      </c>
      <c r="AT46" s="469">
        <v>110612</v>
      </c>
      <c r="AU46" s="469">
        <v>110613</v>
      </c>
      <c r="AV46" s="469">
        <v>110614</v>
      </c>
      <c r="AW46" s="469">
        <v>110615</v>
      </c>
      <c r="AX46" s="469">
        <v>110616</v>
      </c>
      <c r="AY46" s="469">
        <v>110617</v>
      </c>
      <c r="AZ46" s="469">
        <v>110618</v>
      </c>
      <c r="BA46" s="469">
        <v>110619</v>
      </c>
      <c r="BB46" s="468">
        <f t="shared" si="6"/>
        <v>0</v>
      </c>
      <c r="BC46" s="468">
        <f t="shared" si="7"/>
        <v>0</v>
      </c>
    </row>
    <row r="47" spans="1:55" ht="32.1" customHeight="1">
      <c r="A47" s="98"/>
      <c r="B47" s="79" t="str">
        <f>VLOOKUP(878,Sprachindex!$A:$Z,Info!$O$7,FALSE)</f>
        <v>Stk.</v>
      </c>
      <c r="C47" s="78"/>
      <c r="D47" s="78">
        <f>IF($P$21=1,AH47,IF($P$21=4,AI47,IF($P$21=5,AJ47,IF($P$21=11,AK47,IF($P$21=7,AL47,IF($P$21=3,AM47,IF($P$21=6,AN47,IF($P$21=9,AO47,IF($P$21=2,AP47,IF($P$21=8,AQ47,0))))))))))</f>
        <v>0</v>
      </c>
      <c r="E47" s="561" t="str">
        <f>VLOOKUP(2187,Sprachindex!$A:$Z,Info!$O$7,FALSE)</f>
        <v>Dichtschraube NIRO, 4,5x25</v>
      </c>
      <c r="F47" s="562"/>
      <c r="G47" s="562"/>
      <c r="H47" s="562"/>
      <c r="I47" s="562"/>
      <c r="J47" s="562"/>
      <c r="K47" s="563"/>
      <c r="L47" s="79" t="str">
        <f t="shared" si="4"/>
        <v/>
      </c>
      <c r="M47" s="433" t="str">
        <f t="shared" si="3"/>
        <v>Stk.</v>
      </c>
      <c r="N47" s="80"/>
      <c r="O47" s="202" t="str">
        <f>IF(ISNUMBER(A47),$L47*R47, "")</f>
        <v/>
      </c>
      <c r="P47" s="5"/>
      <c r="Q47" s="5"/>
      <c r="R47" s="200">
        <v>0.46</v>
      </c>
      <c r="S47" s="195"/>
      <c r="T47" s="195"/>
      <c r="U47" s="195"/>
      <c r="V47" s="195"/>
      <c r="W47" s="195"/>
      <c r="X47" s="195"/>
      <c r="Y47" s="195"/>
      <c r="Z47" s="195"/>
      <c r="AA47" s="195"/>
      <c r="AB47" s="1"/>
      <c r="AC47" s="149">
        <f>ROUNDUP($A47/200,0)*200</f>
        <v>0</v>
      </c>
      <c r="AD47" s="149">
        <f>ROUNDUP($A47,0)</f>
        <v>0</v>
      </c>
      <c r="AH47" s="44">
        <v>340041</v>
      </c>
      <c r="AI47" s="44">
        <v>340042</v>
      </c>
      <c r="AJ47" s="44">
        <v>340043</v>
      </c>
      <c r="AK47" s="44">
        <v>340044</v>
      </c>
      <c r="AL47" s="138"/>
      <c r="AM47" s="44">
        <v>340045</v>
      </c>
      <c r="AN47" s="44">
        <v>340046</v>
      </c>
      <c r="AO47" s="44">
        <v>340047</v>
      </c>
      <c r="AP47" s="44">
        <v>340048</v>
      </c>
      <c r="AQ47" s="44">
        <v>340049</v>
      </c>
      <c r="AR47" s="1" t="s">
        <v>95</v>
      </c>
    </row>
    <row r="48" spans="1:55" ht="32.1" customHeight="1">
      <c r="A48" s="98"/>
      <c r="B48" s="79" t="str">
        <f>VLOOKUP(878,Sprachindex!$A:$Z,Info!$O$7,FALSE)</f>
        <v>Stk.</v>
      </c>
      <c r="C48" s="78"/>
      <c r="D48" s="78" t="str">
        <f>IF(H48=Formeln!A18,IF($P$21=1,AH48,IF($P$21=4,AI48,IF($P$21=5,AJ48,IF($P$21=11,AK48,IF($P$21=7,AL48,IF($P$21=3,AM48,IF($P$21=6,AN48,IF($P$21=9,AO48,IF($P$21=2,AP48,IF($P$21=8,AQ48,0)))))))))),IF(H48=Formeln!A19,AR48,""))</f>
        <v/>
      </c>
      <c r="E48" s="561" t="str">
        <f>VLOOKUP(2188,Sprachindex!$A:$Z,Info!$O$7,FALSE)</f>
        <v>Dichtschraube NIRO 4,5 x 45 mm, für Grat- und Firstreiter</v>
      </c>
      <c r="F48" s="562"/>
      <c r="G48" s="562"/>
      <c r="H48" s="572"/>
      <c r="I48" s="573"/>
      <c r="J48" s="573"/>
      <c r="K48" s="574"/>
      <c r="L48" s="79" t="str">
        <f>IF(A48=0,"",IF(H48=Formeln!$A$17," ",IF($P$11=1,AC48,AD48)))</f>
        <v/>
      </c>
      <c r="M48" s="433" t="str">
        <f t="shared" si="3"/>
        <v>Stk.</v>
      </c>
      <c r="N48" s="80"/>
      <c r="O48" s="202" t="str">
        <f>IF(ISNUMBER(A48),IF(H48=Formeln!A19,S48*L48,R48*L48),"")</f>
        <v/>
      </c>
      <c r="P48" s="5"/>
      <c r="Q48" s="5"/>
      <c r="R48" s="200">
        <v>0.68</v>
      </c>
      <c r="S48" s="195">
        <v>0.6</v>
      </c>
      <c r="T48" s="195"/>
      <c r="U48" s="195"/>
      <c r="V48" s="195"/>
      <c r="W48" s="195"/>
      <c r="X48" s="195"/>
      <c r="Y48" s="195"/>
      <c r="Z48" s="195"/>
      <c r="AA48" s="195"/>
      <c r="AB48" s="1"/>
      <c r="AC48" s="149">
        <f>ROUNDUP($A48/250,0)*250</f>
        <v>0</v>
      </c>
      <c r="AD48" s="149">
        <f>ROUNDUP($A48,0)</f>
        <v>0</v>
      </c>
      <c r="AH48" s="44">
        <v>340001</v>
      </c>
      <c r="AI48" s="44">
        <v>340004</v>
      </c>
      <c r="AJ48" s="44">
        <v>340003</v>
      </c>
      <c r="AK48" s="44">
        <v>340104</v>
      </c>
      <c r="AM48" s="44">
        <v>340002</v>
      </c>
      <c r="AN48" s="44">
        <v>340016</v>
      </c>
      <c r="AO48" s="44">
        <v>340011</v>
      </c>
      <c r="AP48" s="44">
        <v>340014</v>
      </c>
      <c r="AQ48" s="44">
        <v>340013</v>
      </c>
      <c r="AR48" s="1">
        <v>340103</v>
      </c>
    </row>
    <row r="49" spans="1:474" ht="32.1" customHeight="1">
      <c r="A49" s="98"/>
      <c r="B49" s="79" t="str">
        <f>VLOOKUP(878,Sprachindex!$A:$Z,Info!$O$7,FALSE)</f>
        <v>Stk.</v>
      </c>
      <c r="C49" s="78"/>
      <c r="D49" s="78" t="str">
        <f>IF(H49=Formeln!A21,IF($P$21=1,AH49,IF($P$21=4,AI49,IF($P$21=5,AJ49,IF($P$21=11,AK49,IF($P$21=7,AL49,IF($P$21=3,AM49,IF($P$21=6,AN49,IF($P$21=9,AO49,IF($P$21=2,AP49,IF($P$21=8,AQ49,0)))))))))),IF(H49=Formeln!A22,AR49,""))</f>
        <v/>
      </c>
      <c r="E49" s="561" t="str">
        <f>VLOOKUP(2189,Sprachindex!$A:$Z,Info!$O$7,FALSE)</f>
        <v>Dichtschraube NIRO 4,5 x 60 mm, für Jet-Lüfter</v>
      </c>
      <c r="F49" s="562"/>
      <c r="G49" s="562"/>
      <c r="H49" s="572"/>
      <c r="I49" s="573"/>
      <c r="J49" s="573"/>
      <c r="K49" s="574"/>
      <c r="L49" s="79" t="str">
        <f>IF(A49=0,"",IF(H49=Formeln!$A$17," ",IF($P$11=1,AC49,AD49)))</f>
        <v/>
      </c>
      <c r="M49" s="433" t="str">
        <f t="shared" si="3"/>
        <v>Stk.</v>
      </c>
      <c r="N49" s="80"/>
      <c r="O49" s="202" t="str">
        <f>IF(ISNUMBER(A49),IF(H49=Formeln!A22,S49*L49,R49*L49),"")</f>
        <v/>
      </c>
      <c r="P49" s="5"/>
      <c r="Q49" s="5"/>
      <c r="R49" s="200">
        <v>0.86</v>
      </c>
      <c r="S49" s="195">
        <v>0.68</v>
      </c>
      <c r="T49" s="195"/>
      <c r="U49" s="195"/>
      <c r="V49" s="195"/>
      <c r="W49" s="195"/>
      <c r="X49" s="195"/>
      <c r="Y49" s="195"/>
      <c r="Z49" s="195"/>
      <c r="AA49" s="195"/>
      <c r="AB49" s="1"/>
      <c r="AC49" s="149">
        <f>ROUNDUP($A49/100,0)*100</f>
        <v>0</v>
      </c>
      <c r="AD49" s="149">
        <f>ROUNDUP($A49,0)</f>
        <v>0</v>
      </c>
      <c r="AH49" s="44">
        <v>340020</v>
      </c>
      <c r="AI49" s="44">
        <v>340024</v>
      </c>
      <c r="AJ49" s="44">
        <v>340022</v>
      </c>
      <c r="AK49" s="44">
        <v>340021</v>
      </c>
      <c r="AM49" s="44">
        <v>340025</v>
      </c>
      <c r="AN49" s="44">
        <v>340032</v>
      </c>
      <c r="AO49" s="44">
        <v>340027</v>
      </c>
      <c r="AP49" s="44">
        <v>340030</v>
      </c>
      <c r="AQ49" s="44">
        <v>340036</v>
      </c>
      <c r="AR49" s="1">
        <v>340106</v>
      </c>
    </row>
    <row r="50" spans="1:474" ht="32.1" customHeight="1">
      <c r="A50" s="98"/>
      <c r="B50" s="79" t="str">
        <f>VLOOKUP(878,Sprachindex!$A:$Z,Info!$O$7,FALSE)</f>
        <v>Stk.</v>
      </c>
      <c r="C50" s="78"/>
      <c r="D50" s="78">
        <f>IF($P$21=1,AH50,IF($P$21=4,AI50,IF($P$21=5,AJ50,IF($P$21=11,AK50,IF($P$21=7,AL50,IF($P$21=3,AM50,IF($P$21=6,AN50,IF($P$21=9,AO50,IF($P$21=2,AP50,IF($P$21=8,AQ50,0))))))))))</f>
        <v>0</v>
      </c>
      <c r="E50" s="561" t="str">
        <f>VLOOKUP(409,Sprachindex!$A:$Z,Info!$O$7,FALSE)</f>
        <v>Froschmaullukenhaube</v>
      </c>
      <c r="F50" s="562"/>
      <c r="G50" s="562"/>
      <c r="H50" s="562"/>
      <c r="I50" s="562"/>
      <c r="J50" s="562"/>
      <c r="K50" s="563"/>
      <c r="L50" s="79" t="str">
        <f>IF(A50=0,"",IF($P$11=1,AC50,AD50))</f>
        <v/>
      </c>
      <c r="M50" s="433" t="str">
        <f t="shared" si="3"/>
        <v>Stk.</v>
      </c>
      <c r="N50" s="80"/>
      <c r="O50" s="202" t="str">
        <f>IF(ISNUMBER(A50),$L50*R50, "")</f>
        <v/>
      </c>
      <c r="P50" s="5"/>
      <c r="Q50" s="5"/>
      <c r="R50" s="200">
        <v>24.65</v>
      </c>
      <c r="S50" s="195"/>
      <c r="T50" s="195"/>
      <c r="U50" s="195"/>
      <c r="V50" s="195"/>
      <c r="W50" s="195"/>
      <c r="X50" s="195"/>
      <c r="Y50" s="195"/>
      <c r="Z50" s="195"/>
      <c r="AA50" s="195"/>
      <c r="AB50" s="1"/>
      <c r="AC50" s="149">
        <f>ROUNDUP($A50/20,0)*20</f>
        <v>0</v>
      </c>
      <c r="AD50" s="149">
        <f>ROUNDUP($A50,0)</f>
        <v>0</v>
      </c>
      <c r="AH50" s="44">
        <v>110100</v>
      </c>
      <c r="AI50" s="44">
        <v>110101</v>
      </c>
      <c r="AJ50" s="44">
        <v>110102</v>
      </c>
      <c r="AK50" s="44">
        <v>110103</v>
      </c>
      <c r="AL50" s="44">
        <v>110104</v>
      </c>
      <c r="AM50" s="44">
        <v>110105</v>
      </c>
      <c r="AN50" s="44">
        <v>110106</v>
      </c>
      <c r="AO50" s="44">
        <v>110107</v>
      </c>
      <c r="AP50" s="44">
        <v>110108</v>
      </c>
      <c r="AQ50" s="44">
        <v>121005</v>
      </c>
    </row>
    <row r="51" spans="1:474" ht="32.1" customHeight="1">
      <c r="A51" s="98"/>
      <c r="B51" s="79" t="str">
        <f>VLOOKUP(878,Sprachindex!$A:$Z,Info!$O$7,FALSE)</f>
        <v>Stk.</v>
      </c>
      <c r="C51" s="78"/>
      <c r="D51" s="78">
        <f>IF(AND($P$9=2,$P$21=1),AH51,IF(AND($P$9=2,$P$21=4),AI51,IF(AND($P$9=2,$P$21=5),AJ51,IF(AND($P$9=2,$P$21=11),AK51,IF(AND($P$9=2,$P$21=7),AL51,IF(AND($P$9=2,$P$21=3),AM51,IF(AND($P$9=2,$P$21=6),AN51,IF(AND($P$9=2,$P$21=9),AO51,IF(AND($P$9=2,$P$21=2),AP51,IF(AND($P$9=2,$P$21=8),AQ51,IF(AND($P$9=1,$P$21=1),AR51,IF(AND($P$9=1,$P$21=1),AR51,IF(AND($P$9=1,$P$21=4),AS51,IF(AND($P$9=1,$P$21=5),AT51,IF(AND($P$9=1,$P$21=11),AU51,IF(AND($P$9=1,$P$21=7),AV51,IF(AND($P$9=1,$P$21=3),AW51,IF(AND($P$9=1,$P$21=6),AX51,IF(AND($P$9=1,$P$21=9),AY51,IF(AND($P$9=1,$P$21=2),AZ51,IF(AND($P$9=1,$P$21=8),BA51,0)))))))))))))))))))))</f>
        <v>0</v>
      </c>
      <c r="E51" s="561" t="str">
        <f>VLOOKUP(2221,Sprachindex!$A:$Z,Info!$O$7,FALSE)</f>
        <v>Froschmaulluke stucco für DR44x44</v>
      </c>
      <c r="F51" s="562"/>
      <c r="G51" s="562"/>
      <c r="H51" s="562"/>
      <c r="I51" s="562"/>
      <c r="J51" s="562"/>
      <c r="K51" s="563"/>
      <c r="L51" s="79" t="str">
        <f>IF(A51=0,"",IF($P$11=1,AC51,AD51))</f>
        <v/>
      </c>
      <c r="M51" s="433" t="str">
        <f t="shared" si="3"/>
        <v>Stk.</v>
      </c>
      <c r="N51" s="80"/>
      <c r="O51" s="202" t="str">
        <f>IF(ISNUMBER(A51),$L51*R51, "")</f>
        <v/>
      </c>
      <c r="P51" s="5"/>
      <c r="Q51" s="5"/>
      <c r="R51" s="200">
        <v>43.71</v>
      </c>
      <c r="S51" s="195"/>
      <c r="T51" s="195"/>
      <c r="U51" s="195"/>
      <c r="V51" s="195"/>
      <c r="W51" s="195"/>
      <c r="X51" s="195"/>
      <c r="Y51" s="195"/>
      <c r="Z51" s="195"/>
      <c r="AA51" s="195"/>
      <c r="AB51" s="1"/>
      <c r="AC51" s="149">
        <f>ROUNDUP($A51/6,0)*6</f>
        <v>0</v>
      </c>
      <c r="AD51" s="149">
        <f>ROUNDUP($A51,0)</f>
        <v>0</v>
      </c>
      <c r="AH51" s="44"/>
      <c r="AI51" s="44"/>
      <c r="AJ51" s="44"/>
      <c r="AK51" s="44"/>
      <c r="AL51" s="44"/>
      <c r="AM51" s="44"/>
      <c r="AN51" s="44"/>
      <c r="AO51" s="44"/>
      <c r="AP51" s="44"/>
      <c r="AR51" s="44">
        <v>112431</v>
      </c>
      <c r="AS51" s="44">
        <v>112432</v>
      </c>
      <c r="AT51" s="44">
        <v>112433</v>
      </c>
      <c r="AU51" s="44">
        <v>112434</v>
      </c>
      <c r="AV51" s="44">
        <v>112435</v>
      </c>
      <c r="AW51" s="44">
        <v>112436</v>
      </c>
      <c r="AX51" s="44">
        <v>112437</v>
      </c>
      <c r="AY51" s="44">
        <v>112438</v>
      </c>
      <c r="AZ51" s="44">
        <v>112439</v>
      </c>
      <c r="BA51" s="44">
        <v>112440</v>
      </c>
    </row>
    <row r="52" spans="1:474" ht="32.1" customHeight="1">
      <c r="A52" s="98"/>
      <c r="B52" s="79" t="str">
        <f>VLOOKUP(878,Sprachindex!$A:$Z,Info!$O$7,FALSE)</f>
        <v>Stk.</v>
      </c>
      <c r="C52" s="78"/>
      <c r="D52" s="78">
        <v>545106</v>
      </c>
      <c r="E52" s="588" t="str">
        <f>VLOOKUP(1874,Sprachindex!$A:$Z,Info!$O$7,FALSE)</f>
        <v>Einfassung Vario, 120-600 mm, stucco</v>
      </c>
      <c r="F52" s="589"/>
      <c r="G52" s="589"/>
      <c r="H52" s="589"/>
      <c r="I52" s="589"/>
      <c r="J52" s="589"/>
      <c r="K52" s="590"/>
      <c r="L52" s="79" t="str">
        <f>IF(A52=0,"",IF($P$11=1,AC52,AD52))</f>
        <v/>
      </c>
      <c r="M52" s="433" t="str">
        <f t="shared" si="3"/>
        <v>Stk.</v>
      </c>
      <c r="N52" s="80"/>
      <c r="O52" s="202" t="str">
        <f t="shared" ref="O52:O53" si="9">IF(ISNUMBER(A52),$L52*R52, "")</f>
        <v/>
      </c>
      <c r="P52" s="5"/>
      <c r="Q52" s="5"/>
      <c r="R52" s="200">
        <v>0</v>
      </c>
      <c r="S52" s="195"/>
      <c r="T52" s="195"/>
      <c r="U52" s="195"/>
      <c r="V52" s="195"/>
      <c r="W52" s="195"/>
      <c r="X52" s="195"/>
      <c r="Y52" s="195"/>
      <c r="Z52" s="195"/>
      <c r="AA52" s="195"/>
      <c r="AB52" s="1"/>
      <c r="AC52" s="149">
        <f t="shared" ref="AC52:AD54" si="10">ROUNDUP($A52,0)</f>
        <v>0</v>
      </c>
      <c r="AD52" s="149">
        <f t="shared" si="10"/>
        <v>0</v>
      </c>
      <c r="AH52" s="44"/>
      <c r="AI52" s="44"/>
      <c r="AJ52" s="44"/>
      <c r="AK52" s="44"/>
      <c r="AL52" s="44"/>
      <c r="AM52" s="44"/>
      <c r="AN52" s="44"/>
      <c r="AO52" s="44"/>
      <c r="AP52" s="44"/>
      <c r="AQ52" s="44"/>
    </row>
    <row r="53" spans="1:474" ht="32.1" customHeight="1">
      <c r="A53" s="98"/>
      <c r="B53" s="79" t="str">
        <f>VLOOKUP(878,Sprachindex!$A:$Z,Info!$O$7,FALSE)</f>
        <v>Stk.</v>
      </c>
      <c r="C53" s="78"/>
      <c r="D53" s="78">
        <v>545106</v>
      </c>
      <c r="E53" s="588" t="str">
        <f>VLOOKUP(1875,Sprachindex!$A:$Z,Info!$O$7,FALSE)</f>
        <v>Einfassung Vario, 600-1.020 mm, stucco</v>
      </c>
      <c r="F53" s="589"/>
      <c r="G53" s="589"/>
      <c r="H53" s="589"/>
      <c r="I53" s="589"/>
      <c r="J53" s="589"/>
      <c r="K53" s="590"/>
      <c r="L53" s="79" t="str">
        <f>IF(A53=0,"",IF($P$11=1,AC53,AD53))</f>
        <v/>
      </c>
      <c r="M53" s="433" t="str">
        <f t="shared" si="3"/>
        <v>Stk.</v>
      </c>
      <c r="N53" s="80"/>
      <c r="O53" s="202" t="str">
        <f t="shared" si="9"/>
        <v/>
      </c>
      <c r="P53" s="5"/>
      <c r="Q53" s="5"/>
      <c r="R53" s="200">
        <v>0</v>
      </c>
      <c r="S53" s="195"/>
      <c r="T53" s="195"/>
      <c r="U53" s="195"/>
      <c r="V53" s="195"/>
      <c r="W53" s="195"/>
      <c r="X53" s="195"/>
      <c r="Y53" s="195"/>
      <c r="Z53" s="195"/>
      <c r="AA53" s="195"/>
      <c r="AB53" s="1"/>
      <c r="AC53" s="149">
        <f t="shared" si="10"/>
        <v>0</v>
      </c>
      <c r="AD53" s="149">
        <f t="shared" si="10"/>
        <v>0</v>
      </c>
      <c r="AH53" s="44"/>
      <c r="AI53" s="44"/>
      <c r="AJ53" s="44"/>
      <c r="AK53" s="44"/>
      <c r="AL53" s="44"/>
      <c r="AM53" s="44"/>
      <c r="AN53" s="44"/>
      <c r="AO53" s="44"/>
      <c r="AP53" s="44"/>
      <c r="AQ53" s="44"/>
    </row>
    <row r="54" spans="1:474" ht="32.1" customHeight="1">
      <c r="A54" s="98"/>
      <c r="B54" s="79" t="str">
        <f>VLOOKUP(878,Sprachindex!$A:$Z,Info!$O$7,FALSE)</f>
        <v>Stk.</v>
      </c>
      <c r="C54" s="78"/>
      <c r="D54" s="78">
        <f t="shared" ref="D54" si="11">IF($P$9=1,BC54,BB54)</f>
        <v>0</v>
      </c>
      <c r="E54" s="588" t="str">
        <f>VLOOKUP(254,Sprachindex!$A:$Z,Info!$O$7,FALSE)</f>
        <v>Dachluke (600 × 600 mm); komplett mit Holzrahmen</v>
      </c>
      <c r="F54" s="589"/>
      <c r="G54" s="589"/>
      <c r="H54" s="589"/>
      <c r="I54" s="589"/>
      <c r="J54" s="589"/>
      <c r="K54" s="590"/>
      <c r="L54" s="79" t="str">
        <f>IF(A54=0,"",IF($P$11=1,AC54,AD54))</f>
        <v/>
      </c>
      <c r="M54" s="433" t="str">
        <f t="shared" si="3"/>
        <v>Stk.</v>
      </c>
      <c r="N54" s="80"/>
      <c r="O54" s="202" t="str">
        <f>IF(ISNUMBER(A54),$L54*R54, "")</f>
        <v/>
      </c>
      <c r="P54" s="5"/>
      <c r="Q54" s="5"/>
      <c r="R54" s="200">
        <v>247.5</v>
      </c>
      <c r="S54" s="195"/>
      <c r="T54" s="195"/>
      <c r="U54" s="195"/>
      <c r="V54" s="195"/>
      <c r="W54" s="195"/>
      <c r="X54" s="195"/>
      <c r="Y54" s="195"/>
      <c r="Z54" s="195"/>
      <c r="AA54" s="195"/>
      <c r="AB54" s="1"/>
      <c r="AC54" s="149">
        <f t="shared" si="10"/>
        <v>0</v>
      </c>
      <c r="AD54" s="149">
        <f t="shared" ref="AD54:AD81" si="12">ROUNDUP($A54,0)</f>
        <v>0</v>
      </c>
      <c r="AH54" s="470">
        <v>110020</v>
      </c>
      <c r="AI54" s="470">
        <v>110021</v>
      </c>
      <c r="AJ54" s="470">
        <v>110022</v>
      </c>
      <c r="AK54" s="470">
        <v>110023</v>
      </c>
      <c r="AL54" s="470">
        <v>110024</v>
      </c>
      <c r="AM54" s="470">
        <v>110025</v>
      </c>
      <c r="AN54" s="470">
        <v>110026</v>
      </c>
      <c r="AO54" s="470">
        <v>110027</v>
      </c>
      <c r="AP54" s="470">
        <v>110028</v>
      </c>
      <c r="AQ54" s="470"/>
      <c r="AR54" s="469">
        <v>110030</v>
      </c>
      <c r="AS54" s="469">
        <v>110031</v>
      </c>
      <c r="AT54" s="469">
        <v>110032</v>
      </c>
      <c r="AU54" s="469">
        <v>110033</v>
      </c>
      <c r="AV54" s="469">
        <v>110034</v>
      </c>
      <c r="AW54" s="469">
        <v>110035</v>
      </c>
      <c r="AX54" s="469">
        <v>110036</v>
      </c>
      <c r="AY54" s="469">
        <v>110037</v>
      </c>
      <c r="AZ54" s="469">
        <v>110038</v>
      </c>
      <c r="BA54" s="469">
        <v>110039</v>
      </c>
      <c r="BB54" s="468">
        <f t="shared" ref="BB54" si="13">IF($P$21=1,AH54,IF($P$21=4,AI54,IF($P$21=5,AJ54,IF($P$21=11,AK54,IF($P$21=7,AL54,IF($P$21=3,AM54,IF($P$21=6,AN54,IF($P$21=9,AO54,IF($P$21=2,AP54,IF($P$21=8,AQ54,0))))))))))</f>
        <v>0</v>
      </c>
      <c r="BC54" s="468">
        <f t="shared" ref="BC54" si="14">IF($P$21=1,AR54,IF($P$21=4,AS54,IF($P$21=5,AT54,IF($P$21=11,AU54,IF($P$21=7,AV54,IF($P$21=3,AW54,IF($P$21=6,AX54,IF($P$21=9,AY54,IF($P$21=2,AZ54,IF($P$21=8,BA54,0))))))))))</f>
        <v>0</v>
      </c>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98"/>
      <c r="B55" s="79" t="str">
        <f>VLOOKUP(878,Sprachindex!$A:$Z,Info!$O$7,FALSE)</f>
        <v>Stk.</v>
      </c>
      <c r="C55" s="78"/>
      <c r="D55" s="78">
        <f>IF(Info!V7=2,'Velux DE Artikelnummern'!C32,Q55)</f>
        <v>0</v>
      </c>
      <c r="E55" s="561" t="str">
        <f>VLOOKUP(324,Sprachindex!$A:$Z,Info!$O$7,FALSE)</f>
        <v>Einfassung für Velux-Dachflächenfenster (stucco)</v>
      </c>
      <c r="F55" s="562"/>
      <c r="G55" s="562"/>
      <c r="H55" s="562"/>
      <c r="I55" s="84" t="str">
        <f>VLOOKUP(591,Sprachindex!$A:$Z,Info!$O$7,FALSE)</f>
        <v>Maße:</v>
      </c>
      <c r="J55" s="572"/>
      <c r="K55" s="573"/>
      <c r="L55" s="79" t="str">
        <f>IF($A55=0,"",IF($J55=Formeln!$A$30," ",IF($P$11=1,AC55,AD55)))</f>
        <v/>
      </c>
      <c r="M55" s="433" t="str">
        <f t="shared" si="3"/>
        <v>Stk.</v>
      </c>
      <c r="N55" s="80"/>
      <c r="O55" s="202" t="str">
        <f>IF(ISNUMBER(A55),IF(OR(J55=Formeln!A30,J55=Formeln!A31,J55=Formeln!A32),R55,IF(OR(J55=Formeln!A33,J55=Formeln!A34,J55=Formeln!A35),S55,IF(OR(J55=Formeln!A36,J55=Formeln!A37,J55=Formeln!A38),T55,IF(OR(J55=Formeln!A39,J55=Formeln!A40),U55,IF(OR(J55=Formeln!A41,J55=Formeln!A42,J55=Formeln!A43),V55,IF(OR(J55=Formeln!A44),W55,IF(OR(J55=Formeln!A45,J55=Formeln!A46),X55,IF(OR(J55=Formeln!A47),Y55,IF(OR(J55=Formeln!A48,J55=Formeln!A49),Z55,IF(OR(J55=Formeln!A50),AA55,0)))))))))), "")</f>
        <v/>
      </c>
      <c r="P55" s="5"/>
      <c r="Q55" s="1">
        <f>IF(J55=Formeln!$A$31,BB55,IF(J55=Formeln!$A$32,BW55,IF(J55=Formeln!$A$33,CR55,IF(J55=Formeln!$A$34,DM55,IF(J55=Formeln!$A$35,EH55,IF(J55=Formeln!$A$36,FC55,IF(J55=Formeln!$A$37,FX55,IF(J55=Formeln!$A$38,GS55,IF(J55=Formeln!$A$39,HN55,IF(J55=Formeln!$A$40,II55,IF(J55=Formeln!$A$41,JD55,IF(J55=Formeln!$A$42,JY55,IF(J55=Formeln!$A$43,KT55,IF(J55=Formeln!$A$44,LO55,IF(J55=Formeln!$A$45,MJ55,IF(J55=Formeln!$A$46,NE55,IF(J55=Formeln!$A$47,NZ55,IF(J55=Formeln!$A$48,OU55,IF(J55=Formeln!$A$49,PP55,IF(J55=Formeln!$A$50,QK55,IF(J55=Formeln!$A$51,RF55,0)))))))))))))))))))))</f>
        <v>0</v>
      </c>
      <c r="R55" s="200">
        <v>264.7</v>
      </c>
      <c r="S55" s="200">
        <v>271.8</v>
      </c>
      <c r="T55" s="200">
        <v>272.3</v>
      </c>
      <c r="U55" s="200">
        <v>285.8</v>
      </c>
      <c r="V55" s="200">
        <v>328.1</v>
      </c>
      <c r="W55" s="200">
        <v>335.1</v>
      </c>
      <c r="X55" s="200">
        <v>335.1</v>
      </c>
      <c r="Y55" s="200">
        <v>335.1</v>
      </c>
      <c r="Z55" s="200">
        <v>337.4</v>
      </c>
      <c r="AA55" s="200">
        <v>337.4</v>
      </c>
      <c r="AB55" s="1"/>
      <c r="AC55" s="149">
        <f t="shared" ref="AC55:AC63" si="15">ROUNDUP($A55,0)</f>
        <v>0</v>
      </c>
      <c r="AD55" s="149">
        <f t="shared" si="12"/>
        <v>0</v>
      </c>
      <c r="AH55" s="44"/>
      <c r="AI55" s="48"/>
      <c r="AJ55" s="48"/>
      <c r="AK55" s="48"/>
      <c r="AL55" s="48"/>
      <c r="AM55" s="48"/>
      <c r="AN55" s="48"/>
      <c r="AO55" s="48"/>
      <c r="AP55" s="48"/>
      <c r="AR55" s="48">
        <v>111100</v>
      </c>
      <c r="AS55" s="48">
        <v>111101</v>
      </c>
      <c r="AT55" s="48">
        <v>111102</v>
      </c>
      <c r="AU55" s="48">
        <v>111103</v>
      </c>
      <c r="AV55" s="48">
        <v>111104</v>
      </c>
      <c r="AW55" s="48">
        <v>111105</v>
      </c>
      <c r="AX55" s="48">
        <v>111106</v>
      </c>
      <c r="AY55" s="48">
        <v>111107</v>
      </c>
      <c r="AZ55" s="48">
        <v>111108</v>
      </c>
      <c r="BA55" s="174">
        <v>111109</v>
      </c>
      <c r="BB55" s="50">
        <f>IF(AND($P$9=2,$P$21=1),AH55,IF(AND($P$9=2,$P$21=4),AI55,IF(AND($P$9=2,$P$21=5),AJ55,IF(AND($P$9=2,$P$21=11),AK55,IF(AND($P$9=2,$P$21=7),AL55,IF(AND($P$9=2,$P$21=3),AM55,IF(AND($P$9=2,$P$21=6),AN55,IF(AND($P$9=2,$P$21=9),AO55,IF(AND($P$9=2,$P$21=2),AP55,IF(AND($P$9=2,$P$21=8),AQ55,IF(AND($P$9=1,$P$21=1),AR55,IF(AND($P$9=1,$P$21=1),AR55,IF(AND($P$9=1,$P$21=4),AS55,IF(AND($P$9=1,$P$21=5),AT55,IF(AND($P$9=1,$P$21=11),AU55,IF(AND($P$9=1,$P$21=7),AV55,IF(AND($P$9=1,$P$21=3),AW55,IF(AND($P$9=1,$P$21=6),AX55,IF(AND($P$9=1,$P$21=9),AY55,IF(AND($P$9=1,$P$21=2),AZ55,IF(AND($P$9=1,$P$21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74">
        <v>111109</v>
      </c>
      <c r="BW55" s="50">
        <f>IF(AND($P$9=2,$P$21=1),BC55,IF(AND($P$9=2,$P$21=4),BD55,IF(AND($P$9=2,$P$21=5),BE55,IF(AND($P$9=2,$P$21=11),BF55,IF(AND($P$9=2,$P$21=7),BG55,IF(AND($P$9=2,$P$21=3),BH55,IF(AND($P$9=2,$P$21=6),BI55,IF(AND($P$9=2,$P$21=9),BJ55,IF(AND($P$9=2,$P$21=2),BK55,IF(AND($P$9=2,$P$21=8),BL55,IF(AND($P$9=1,$P$21=1),BM55,IF(AND($P$9=1,$P$21=1),BM55,IF(AND($P$9=1,$P$21=4),BN55,IF(AND($P$9=1,$P$21=5),BO55,IF(AND($P$9=1,$P$21=11),BP55,IF(AND($P$9=1,$P$21=7),BQ55,IF(AND($P$9=1,$P$21=3),BR55,IF(AND($P$9=1,$P$21=6),BS55,IF(AND($P$9=1,$P$21=9),BT55,IF(AND($P$9=1,$P$21=2),BU55,IF(AND($P$9=1,$P$21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74">
        <v>111109</v>
      </c>
      <c r="CR55" s="50">
        <f>IF(AND($P$9=2,$P$21=1),BX55,IF(AND($P$9=2,$P$21=4),BY55,IF(AND($P$9=2,$P$21=5),BZ55,IF(AND($P$9=2,$P$21=11),CA55,IF(AND($P$9=2,$P$21=7),CB55,IF(AND($P$9=2,$P$21=3),CC55,IF(AND($P$9=2,$P$21=6),CD55,IF(AND($P$9=2,$P$21=9),CE55,IF(AND($P$9=2,$P$21=2),CF55,IF(AND($P$9=2,$P$21=8),CG55,IF(AND($P$9=1,$P$21=1),CH55,IF(AND($P$9=1,$P$21=1),CH55,IF(AND($P$9=1,$P$21=4),CI55,IF(AND($P$9=1,$P$21=5),CJ55,IF(AND($P$9=1,$P$21=11),CK55,IF(AND($P$9=1,$P$21=7),CL55,IF(AND($P$9=1,$P$21=3),CM55,IF(AND($P$9=1,$P$21=6),CN55,IF(AND($P$9=1,$P$21=9),CO55,IF(AND($P$9=1,$P$21=2),CP55,IF(AND($P$9=1,$P$21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74">
        <v>111129</v>
      </c>
      <c r="DM55" s="50">
        <f>IF(AND($P$9=2,$P$21=1),CS55,IF(AND($P$9=2,$P$21=4),CT55,IF(AND($P$9=2,$P$21=5),CU55,IF(AND($P$9=2,$P$21=11),CV55,IF(AND($P$9=2,$P$21=7),CW55,IF(AND($P$9=2,$P$21=3),CX55,IF(AND($P$9=2,$P$21=6),CY55,IF(AND($P$9=2,$P$21=9),CZ55,IF(AND($P$9=2,$P$21=2),DA55,IF(AND($P$9=2,$P$21=8),DB55,IF(AND($P$9=1,$P$21=1),DC55,IF(AND($P$9=1,$P$21=1),DC55,IF(AND($P$9=1,$P$21=4),DD55,IF(AND($P$9=1,$P$21=5),DE55,IF(AND($P$9=1,$P$21=11),DF55,IF(AND($P$9=1,$P$21=7),DG55,IF(AND($P$9=1,$P$21=3),DH55,IF(AND($P$9=1,$P$21=6),DI55,IF(AND($P$9=1,$P$21=9),DJ55,IF(AND($P$9=1,$P$21=2),DK55,IF(AND($P$9=1,$P$21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74">
        <v>111129</v>
      </c>
      <c r="EH55" s="50">
        <f>IF(AND($P$9=2,$P$21=1),DN55,IF(AND($P$9=2,$P$21=4),DO55,IF(AND($P$9=2,$P$21=5),DP55,IF(AND($P$9=2,$P$21=11),DQ55,IF(AND($P$9=2,$P$21=7),DR55,IF(AND($P$9=2,$P$21=3),DS55,IF(AND($P$9=2,$P$21=6),DT55,IF(AND($P$9=2,$P$21=9),DU55,IF(AND($P$9=2,$P$21=2),DV55,IF(AND($P$9=2,$P$21=8),DW55,IF(AND($P$9=1,$P$21=1),DX55,IF(AND($P$9=1,$P$21=1),DX55,IF(AND($P$9=1,$P$21=4),DY55,IF(AND($P$9=1,$P$21=5),DZ55,IF(AND($P$9=1,$P$21=11),EA55,IF(AND($P$9=1,$P$21=7),EB55,IF(AND($P$9=1,$P$21=3),EC55,IF(AND($P$9=1,$P$21=6),ED55,IF(AND($P$9=1,$P$21=9),EE55,IF(AND($P$9=1,$P$21=2),EF55,IF(AND($P$9=1,$P$21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74">
        <v>111129</v>
      </c>
      <c r="FC55" s="50">
        <f>IF(AND($P$9=2,$P$21=1),EI55,IF(AND($P$9=2,$P$21=4),EJ55,IF(AND($P$9=2,$P$21=5),EK55,IF(AND($P$9=2,$P$21=11),EL55,IF(AND($P$9=2,$P$21=7),EM55,IF(AND($P$9=2,$P$21=3),EN55,IF(AND($P$9=2,$P$21=6),EO55,IF(AND($P$9=2,$P$21=9),EP55,IF(AND($P$9=2,$P$21=2),EQ55,IF(AND($P$9=2,$P$21=8),ER55,IF(AND($P$9=1,$P$21=1),ES55,IF(AND($P$9=1,$P$21=1),ES55,IF(AND($P$9=1,$P$21=4),ET55,IF(AND($P$9=1,$P$21=5),EU55,IF(AND($P$9=1,$P$21=11),EV55,IF(AND($P$9=1,$P$21=7),EW55,IF(AND($P$9=1,$P$21=3),EX55,IF(AND($P$9=1,$P$21=6),EY55,IF(AND($P$9=1,$P$21=9),EZ55,IF(AND($P$9=1,$P$21=2),FA55,IF(AND($P$9=1,$P$21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74">
        <v>111169</v>
      </c>
      <c r="FX55" s="50">
        <f>IF(AND($P$9=2,$P$21=1),FD55,IF(AND($P$9=2,$P$21=4),FE55,IF(AND($P$9=2,$P$21=5),FF55,IF(AND($P$9=2,$P$21=11),FG55,IF(AND($P$9=2,$P$21=7),FH55,IF(AND($P$9=2,$P$21=3),FI55,IF(AND($P$9=2,$P$21=6),FJ55,IF(AND($P$9=2,$P$21=9),FK55,IF(AND($P$9=2,$P$21=2),FL55,IF(AND($P$9=2,$P$21=8),FM55,IF(AND($P$9=1,$P$21=1),FN55,IF(AND($P$9=1,$P$21=1),FN55,IF(AND($P$9=1,$P$21=4),FO55,IF(AND($P$9=1,$P$21=5),FP55,IF(AND($P$9=1,$P$21=11),FQ55,IF(AND($P$9=1,$P$21=7),FR55,IF(AND($P$9=1,$P$21=3),FS55,IF(AND($P$9=1,$P$21=6),FT55,IF(AND($P$9=1,$P$21=9),FU55,IF(AND($P$9=1,$P$21=2),FV55,IF(AND($P$9=1,$P$21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74">
        <v>111169</v>
      </c>
      <c r="GS55" s="50">
        <f>IF(AND($P$9=2,$P$21=1),FY55,IF(AND($P$9=2,$P$21=4),FZ55,IF(AND($P$9=2,$P$21=5),GA55,IF(AND($P$9=2,$P$21=11),GB55,IF(AND($P$9=2,$P$21=7),GC55,IF(AND($P$9=2,$P$21=3),GD55,IF(AND($P$9=2,$P$21=6),GE55,IF(AND($P$9=2,$P$21=9),GF55,IF(AND($P$9=2,$P$21=2),GG55,IF(AND($P$9=2,$P$21=8),GH55,IF(AND($P$9=1,$P$21=1),GI55,IF(AND($P$9=1,$P$21=1),GI55,IF(AND($P$9=1,$P$21=4),GJ55,IF(AND($P$9=1,$P$21=5),GK55,IF(AND($P$9=1,$P$21=11),GL55,IF(AND($P$9=1,$P$21=7),GM55,IF(AND($P$9=1,$P$21=3),GN55,IF(AND($P$9=1,$P$21=6),GO55,IF(AND($P$9=1,$P$21=9),GP55,IF(AND($P$9=1,$P$21=2),GQ55,IF(AND($P$9=1,$P$21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75">
        <v>111169</v>
      </c>
      <c r="HN55" s="50">
        <f>IF(AND($P$9=2,$P$21=1),GT55,IF(AND($P$9=2,$P$21=4),GU55,IF(AND($P$9=2,$P$21=5),GV55,IF(AND($P$9=2,$P$21=11),GW55,IF(AND($P$9=2,$P$21=7),GX55,IF(AND($P$9=2,$P$21=3),GY55,IF(AND($P$9=2,$P$21=6),GZ55,IF(AND($P$9=2,$P$21=9),HA55,IF(AND($P$9=2,$P$21=2),HB55,IF(AND($P$9=2,$P$21=8),HC55,IF(AND($P$9=1,$P$21=1),HD55,IF(AND($P$9=1,$P$21=1),HD55,IF(AND($P$9=1,$P$21=4),HE55,IF(AND($P$9=1,$P$21=5),HF55,IF(AND($P$9=1,$P$21=11),HG55,IF(AND($P$9=1,$P$21=7),HH55,IF(AND($P$9=1,$P$21=3),HI55,IF(AND($P$9=1,$P$21=6),HJ55,IF(AND($P$9=1,$P$21=9),HK55,IF(AND($P$9=1,$P$21=2),HL55,IF(AND($P$9=1,$P$21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75">
        <v>111289</v>
      </c>
      <c r="II55" s="50">
        <f>IF(AND($P$9=2,$P$21=1),HO55,IF(AND($P$9=2,$P$21=4),HP55,IF(AND($P$9=2,$P$21=5),HQ55,IF(AND($P$9=2,$P$21=11),HR55,IF(AND($P$9=2,$P$21=7),HS55,IF(AND($P$9=2,$P$21=3),HT55,IF(AND($P$9=2,$P$21=6),HU55,IF(AND($P$9=2,$P$21=9),HV55,IF(AND($P$9=2,$P$21=2),HW55,IF(AND($P$9=2,$P$21=8),HX55,IF(AND($P$9=1,$P$21=1),HY55,IF(AND($P$9=1,$P$21=1),HY55,IF(AND($P$9=1,$P$21=4),HZ55,IF(AND($P$9=1,$P$21=5),IA55,IF(AND($P$9=1,$P$21=11),IB55,IF(AND($P$9=1,$P$21=7),IC55,IF(AND($P$9=1,$P$21=3),ID55,IF(AND($P$9=1,$P$21=6),IE55,IF(AND($P$9=1,$P$21=9),IF55,IF(AND($P$9=1,$P$21=2),IG55,IF(AND($P$9=1,$P$21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75">
        <v>111289</v>
      </c>
      <c r="JD55" s="50">
        <f>IF(AND($P$9=2,$P$21=1),IJ55,IF(AND($P$9=2,$P$21=4),IK55,IF(AND($P$9=2,$P$21=5),IL55,IF(AND($P$9=2,$P$21=11),IM55,IF(AND($P$9=2,$P$21=7),IN55,IF(AND($P$9=2,$P$21=3),IO55,IF(AND($P$9=2,$P$21=6),IP55,IF(AND($P$9=2,$P$21=9),IQ55,IF(AND($P$9=2,$P$21=2),IR55,IF(AND($P$9=2,$P$21=8),IS55,IF(AND($P$9=1,$P$21=1),IT55,IF(AND($P$9=1,$P$21=1),IT55,IF(AND($P$9=1,$P$21=4),IU55,IF(AND($P$9=1,$P$21=5),IV55,IF(AND($P$9=1,$P$21=11),IW55,IF(AND($P$9=1,$P$21=7),IX55,IF(AND($P$9=1,$P$21=3),IY55,IF(AND($P$9=1,$P$21=6),IZ55,IF(AND($P$9=1,$P$21=9),JA55,IF(AND($P$9=1,$P$21=2),JB55,IF(AND($P$9=1,$P$21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75">
        <v>111189</v>
      </c>
      <c r="JY55" s="50">
        <f>IF(AND($P$9=2,$P$21=1),JE55,IF(AND($P$9=2,$P$21=4),JF55,IF(AND($P$9=2,$P$21=5),JG55,IF(AND($P$9=2,$P$21=11),JH55,IF(AND($P$9=2,$P$21=7),JI55,IF(AND($P$9=2,$P$21=3),JJ55,IF(AND($P$9=2,$P$21=6),JK55,IF(AND($P$9=2,$P$21=9),JL55,IF(AND($P$9=2,$P$21=2),JM55,IF(AND($P$9=2,$P$21=8),JN55,IF(AND($P$9=1,$P$21=1),JO55,IF(AND($P$9=1,$P$21=1),JO55,IF(AND($P$9=1,$P$21=4),JP55,IF(AND($P$9=1,$P$21=5),JQ55,IF(AND($P$9=1,$P$21=11),JR55,IF(AND($P$9=1,$P$21=7),JS55,IF(AND($P$9=1,$P$21=3),JT55,IF(AND($P$9=1,$P$21=6),JU55,IF(AND($P$9=1,$P$21=9),JV55,IF(AND($P$9=1,$P$21=2),JW55,IF(AND($P$9=1,$P$21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75">
        <v>111189</v>
      </c>
      <c r="KT55" s="50">
        <f>IF(AND($P$9=2,$P$21=1),JZ55,IF(AND($P$9=2,$P$21=4),KA55,IF(AND($P$9=2,$P$21=5),KB55,IF(AND($P$9=2,$P$21=11),KC55,IF(AND($P$9=2,$P$21=7),KD55,IF(AND($P$9=2,$P$21=3),KE55,IF(AND($P$9=2,$P$21=6),KF55,IF(AND($P$9=2,$P$21=9),KG55,IF(AND($P$9=2,$P$21=2),KH55,IF(AND($P$9=2,$P$21=8),KI55,IF(AND($P$9=1,$P$21=1),KJ55,IF(AND($P$9=1,$P$21=1),KJ55,IF(AND($P$9=1,$P$21=4),KK55,IF(AND($P$9=1,$P$21=5),KL55,IF(AND($P$9=1,$P$21=11),KM55,IF(AND($P$9=1,$P$21=7),KN55,IF(AND($P$9=1,$P$21=3),KO55,IF(AND($P$9=1,$P$21=6),KP55,IF(AND($P$9=1,$P$21=9),KQ55,IF(AND($P$9=1,$P$21=2),KR55,IF(AND($P$9=1,$P$21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75">
        <v>111189</v>
      </c>
      <c r="LO55" s="50">
        <f>IF(AND($P$9=2,$P$21=1),KU55,IF(AND($P$9=2,$P$21=4),KV55,IF(AND($P$9=2,$P$21=5),KW55,IF(AND($P$9=2,$P$21=11),KX55,IF(AND($P$9=2,$P$21=7),KY55,IF(AND($P$9=2,$P$21=3),KZ55,IF(AND($P$9=2,$P$21=6),LA55,IF(AND($P$9=2,$P$21=9),LB55,IF(AND($P$9=2,$P$21=2),LC55,IF(AND($P$9=2,$P$21=8),LD55,IF(AND($P$9=1,$P$21=1),LE55,IF(AND($P$9=1,$P$21=1),LE55,IF(AND($P$9=1,$P$21=4),LF55,IF(AND($P$9=1,$P$21=5),LG55,IF(AND($P$9=1,$P$21=11),LH55,IF(AND($P$9=1,$P$21=7),LI55,IF(AND($P$9=1,$P$21=3),LJ55,IF(AND($P$9=1,$P$21=6),LK55,IF(AND($P$9=1,$P$21=9),LL55,IF(AND($P$9=1,$P$21=2),LM55,IF(AND($P$9=1,$P$21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75">
        <v>111209</v>
      </c>
      <c r="MJ55" s="50">
        <f>IF(AND($P$9=2,$P$21=1),LP55,IF(AND($P$9=2,$P$21=4),LQ55,IF(AND($P$9=2,$P$21=5),LR55,IF(AND($P$9=2,$P$21=11),LS55,IF(AND($P$9=2,$P$21=7),LT55,IF(AND($P$9=2,$P$21=3),LU55,IF(AND($P$9=2,$P$21=6),LV55,IF(AND($P$9=2,$P$21=9),LW55,IF(AND($P$9=2,$P$21=2),LX55,IF(AND($P$9=2,$P$21=8),LY55,IF(AND($P$9=1,$P$21=1),LZ55,IF(AND($P$9=1,$P$21=1),LZ55,IF(AND($P$9=1,$P$21=4),MA55,IF(AND($P$9=1,$P$21=5),MB55,IF(AND($P$9=1,$P$21=11),MC55,IF(AND($P$9=1,$P$21=7),MD55,IF(AND($P$9=1,$P$21=3),ME55,IF(AND($P$9=1,$P$21=6),MF55,IF(AND($P$9=1,$P$21=9),MG55,IF(AND($P$9=1,$P$21=2),MH55,IF(AND($P$9=1,$P$21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75">
        <v>111229</v>
      </c>
      <c r="NE55" s="50">
        <f>IF(AND($P$9=2,$P$21=1),MK55,IF(AND($P$9=2,$P$21=4),ML55,IF(AND($P$9=2,$P$21=5),MM55,IF(AND($P$9=2,$P$21=11),MN55,IF(AND($P$9=2,$P$21=7),MO55,IF(AND($P$9=2,$P$21=3),MP55,IF(AND($P$9=2,$P$21=6),MQ55,IF(AND($P$9=2,$P$21=9),MR55,IF(AND($P$9=2,$P$21=2),MS55,IF(AND($P$9=2,$P$21=8),MT55,IF(AND($P$9=1,$P$21=1),MU55,IF(AND($P$9=1,$P$21=1),MU55,IF(AND($P$9=1,$P$21=4),MV55,IF(AND($P$9=1,$P$21=5),MW55,IF(AND($P$9=1,$P$21=11),MX55,IF(AND($P$9=1,$P$21=7),MY55,IF(AND($P$9=1,$P$21=3),MZ55,IF(AND($P$9=1,$P$21=6),NA55,IF(AND($P$9=1,$P$21=9),NB55,IF(AND($P$9=1,$P$21=2),NC55,IF(AND($P$9=1,$P$21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75">
        <v>111229</v>
      </c>
      <c r="NZ55" s="50">
        <f>IF(AND($P$9=2,$P$21=1),NF55,IF(AND($P$9=2,$P$21=4),NG55,IF(AND($P$9=2,$P$21=5),NH55,IF(AND($P$9=2,$P$21=11),NI55,IF(AND($P$9=2,$P$21=7),NJ55,IF(AND($P$9=2,$P$21=3),NK55,IF(AND($P$9=2,$P$21=6),NL55,IF(AND($P$9=2,$P$21=9),NM55,IF(AND($P$9=2,$P$21=2),NN55,IF(AND($P$9=2,$P$21=8),NO55,IF(AND($P$9=1,$P$21=1),NP55,IF(AND($P$9=1,$P$21=1),NP55,IF(AND($P$9=1,$P$21=4),NQ55,IF(AND($P$9=1,$P$21=5),NR55,IF(AND($P$9=1,$P$21=11),NS55,IF(AND($P$9=1,$P$21=7),NT55,IF(AND($P$9=1,$P$21=3),NU55,IF(AND($P$9=1,$P$21=6),NV55,IF(AND($P$9=1,$P$21=9),NW55,IF(AND($P$9=1,$P$21=2),NX55,IF(AND($P$9=1,$P$21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75">
        <v>111609</v>
      </c>
      <c r="OU55" s="50">
        <f>IF(AND($P$9=2,$P$21=1),OA55,IF(AND($P$9=2,$P$21=4),OB55,IF(AND($P$9=2,$P$21=5),OC55,IF(AND($P$9=2,$P$21=11),OD55,IF(AND($P$9=2,$P$21=7),OE55,IF(AND($P$9=2,$P$21=3),OF55,IF(AND($P$9=2,$P$21=6),OG55,IF(AND($P$9=2,$P$21=9),OH55,IF(AND($P$9=2,$P$21=2),OI55,IF(AND($P$9=2,$P$21=8),OJ55,IF(AND($P$9=1,$P$21=1),OK55,IF(AND($P$9=1,$P$21=1),OK55,IF(AND($P$9=1,$P$21=4),OL55,IF(AND($P$9=1,$P$21=5),OM55,IF(AND($P$9=1,$P$21=11),ON55,IF(AND($P$9=1,$P$21=7),OO55,IF(AND($P$9=1,$P$21=3),OP55,IF(AND($P$9=1,$P$21=6),OQ55,IF(AND($P$9=1,$P$21=9),OR55,IF(AND($P$9=1,$P$21=2),OS55,IF(AND($P$9=1,$P$21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75">
        <v>111249</v>
      </c>
      <c r="PP55" s="50">
        <f>IF(AND($P$9=2,$P$21=1),OV55,IF(AND($P$9=2,$P$21=4),OW55,IF(AND($P$9=2,$P$21=5),OX55,IF(AND($P$9=2,$P$21=11),OY55,IF(AND($P$9=2,$P$21=7),OZ55,IF(AND($P$9=2,$P$21=3),PA55,IF(AND($P$9=2,$P$21=6),PB55,IF(AND($P$9=2,$P$21=9),PC55,IF(AND($P$9=2,$P$21=2),PD55,IF(AND($P$9=2,$P$21=8),PE55,IF(AND($P$9=1,$P$21=1),PF55,IF(AND($P$9=1,$P$21=1),PF55,IF(AND($P$9=1,$P$21=4),PG55,IF(AND($P$9=1,$P$21=5),PH55,IF(AND($P$9=1,$P$21=11),PI55,IF(AND($P$9=1,$P$21=7),PJ55,IF(AND($P$9=1,$P$21=3),PK55,IF(AND($P$9=1,$P$21=6),PL55,IF(AND($P$9=1,$P$21=9),PM55,IF(AND($P$9=1,$P$21=2),PN55,IF(AND($P$9=1,$P$21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75">
        <v>111249</v>
      </c>
      <c r="QK55" s="50">
        <f>IF(AND($P$9=2,$P$21=1),PQ55,IF(AND($P$9=2,$P$21=4),PR55,IF(AND($P$9=2,$P$21=5),PS55,IF(AND($P$9=2,$P$21=11),PT55,IF(AND($P$9=2,$P$21=7),PU55,IF(AND($P$9=2,$P$21=3),PV55,IF(AND($P$9=2,$P$21=6),PW55,IF(AND($P$9=2,$P$21=9),PX55,IF(AND($P$9=2,$P$21=2),PY55,IF(AND($P$9=2,$P$21=8),PZ55,IF(AND($P$9=1,$P$21=1),QA55,IF(AND($P$9=1,$P$21=1),QA55,IF(AND($P$9=1,$P$21=4),QB55,IF(AND($P$9=1,$P$21=5),QC55,IF(AND($P$9=1,$P$21=11),QD55,IF(AND($P$9=1,$P$21=7),QE55,IF(AND($P$9=1,$P$21=3),QF55,IF(AND($P$9=1,$P$21=6),QG55,IF(AND($P$9=1,$P$21=9),QH55,IF(AND($P$9=1,$P$21=2),QI55,IF(AND($P$9=1,$P$21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75">
        <v>111629</v>
      </c>
      <c r="RF55" s="50">
        <f>IF(AND($P$9=2,$P$21=1),QL55,IF(AND($P$9=2,$P$21=4),QM55,IF(AND($P$9=2,$P$21=5),QN55,IF(AND($P$9=2,$P$21=11),QO55,IF(AND($P$9=2,$P$21=7),QP55,IF(AND($P$9=2,$P$21=3),QQ55,IF(AND($P$9=2,$P$21=6),QR55,IF(AND($P$9=2,$P$21=9),QS55,IF(AND($P$9=2,$P$21=2),QT55,IF(AND($P$9=2,$P$21=8),QU55,IF(AND($P$9=1,$P$21=1),QV55,IF(AND($P$9=1,$P$21=1),QV55,IF(AND($P$9=1,$P$21=4),QW55,IF(AND($P$9=1,$P$21=5),QX55,IF(AND($P$9=1,$P$21=11),QY55,IF(AND($P$9=1,$P$21=7),QZ55,IF(AND($P$9=1,$P$21=3),RA55,IF(AND($P$9=1,$P$21=6),RB55,IF(AND($P$9=1,$P$21=9),RC55,IF(AND($P$9=1,$P$21=2),RD55,IF(AND($P$9=1,$P$21=8),RE55,0)))))))))))))))))))))</f>
        <v>0</v>
      </c>
    </row>
    <row r="56" spans="1:474" ht="32.1" customHeight="1">
      <c r="A56" s="98"/>
      <c r="B56" s="79" t="str">
        <f>VLOOKUP(878,Sprachindex!$A:$Z,Info!$O$7,FALSE)</f>
        <v>Stk.</v>
      </c>
      <c r="C56" s="78"/>
      <c r="D56" s="78">
        <f>IF(OR(J56=Formeln!$A$54,J56=Formeln!$A$55,J56=Formeln!$A$56,J56=Formeln!$A$80,J56=Formeln!$A$81,J56=Formeln!$A$82),BB56,IF(OR(J56=Formeln!$A$57,J56=Formeln!$A$58,J56=Formeln!$A$59,J56=Formeln!$A$83,J56=Formeln!$A$84,J56=Formeln!$A$85),BW56,IF(OR(J56=Formeln!$A$60,J56=Formeln!$A$61,J56=Formeln!$A$62,J56=Formeln!$A$86,J56=Formeln!$A$87,J56=Formeln!$A$88),CR56,IF(OR(J56=Formeln!$A$63,J56=Formeln!$A$64,J56=Formeln!$A$89,J56=Formeln!$A$90),DM56,IF(OR(J56=Formeln!$A$65,J56=Formeln!$A$66,J56=Formeln!$A$67,J56=Formeln!$A$91,J56=Formeln!$A$92,J56=Formeln!$A$93),EH56,IF(OR(J56=Formeln!$A$68,J56=Formeln!$A$69,J56=Formeln!$A$94,J56=Formeln!$A$95),FC56,IF(OR(J56=Formeln!$A$70,J56=Formeln!$A$71,J56=Formeln!$A$72,J56=Formeln!$A$73,J56=Formeln!$A$74,J56=Formeln!$A$96,J56=Formeln!$A$97,J56=Formeln!$A$98,J56=Formeln!$A$99,J56=Formeln!$A$100),FX56,IF(OR(J56=Formeln!$A$75,J56=Formeln!$A$76,J56=Formeln!$A$77,J56=Formeln!$A$101,J56=Formeln!$A$102,J56=Formeln!$A$103),GS56,0))))))))</f>
        <v>0</v>
      </c>
      <c r="E56" s="561" t="str">
        <f>VLOOKUP(321,Sprachindex!$A:$Z,Info!$O$7,FALSE)</f>
        <v>Einfassung für Roto-Dachflächenfenster (stucco)</v>
      </c>
      <c r="F56" s="562"/>
      <c r="G56" s="562"/>
      <c r="H56" s="562"/>
      <c r="I56" s="84" t="str">
        <f>VLOOKUP(591,Sprachindex!$A:$Z,Info!$O$7,FALSE)</f>
        <v>Maße:</v>
      </c>
      <c r="J56" s="572"/>
      <c r="K56" s="573"/>
      <c r="L56" s="79" t="str">
        <f>IF($A56=0,"",IF($J56=Formeln!$A$52," ",IF($P$11=1,AC56,AD56)))</f>
        <v/>
      </c>
      <c r="M56" s="433" t="str">
        <f t="shared" si="3"/>
        <v>Stk.</v>
      </c>
      <c r="N56" s="80"/>
      <c r="O56" s="202" t="str">
        <f>IF(ISNUMBER(A56),IF(OR(J56=Formeln!A53,J56=Formeln!A54,J56=Formeln!A55,J56=Formeln!A79,J56=Formeln!A80,J56=Formeln!A81),R56,IF(OR(J56=Formeln!A56,J56=Formeln!A57,J56=Formeln!A58,J56=Formeln!A82,J56=Formeln!A83,J56=Formeln!A84),S56,IF(OR(J56=Formeln!A59,J56=Formeln!A60,J56=Formeln!A61,J56=Formeln!A85,J56=Formeln!A86,J56=Formeln!A87),T56,IF(OR(J56=Formeln!A62,J56=Formeln!A63,J56=Formeln!A88,J56=Formeln!A89),U56,IF(OR(J56=Formeln!A64,J56=Formeln!A65,J56=Formeln!A66,J56=Formeln!A90,J56=Formeln!A91,J56=Formeln!A92),V56,IF(OR(J56=Formeln!A67,J56=Formeln!A68,J56=Formeln!A93,J56=Formeln!A94),W56,IF(OR(J56=Formeln!A69,J56=Formeln!A70,J56=Formeln!A71,J56=Formeln!A72,J56=Formeln!A73,J56=Formeln!A95,J56=Formeln!A96,J56=Formeln!A97,J56=Formeln!A98,J56=Formeln!A99),X56,IF(OR(J56=Formeln!A74,J56=Formeln!A75,J56=Formeln!A76,J56=Formeln!A100,J56=Formeln!A101,J56=Formeln!A102),Y56,0)))))))), "")</f>
        <v/>
      </c>
      <c r="P56" s="5"/>
      <c r="Q56" s="5"/>
      <c r="R56" s="200">
        <v>264.7</v>
      </c>
      <c r="S56" s="200">
        <v>271.8</v>
      </c>
      <c r="T56" s="200">
        <v>271.8</v>
      </c>
      <c r="U56" s="200">
        <v>285.8</v>
      </c>
      <c r="V56" s="200">
        <v>328.1</v>
      </c>
      <c r="W56" s="200">
        <v>335.1</v>
      </c>
      <c r="X56" s="200">
        <v>335.1</v>
      </c>
      <c r="Y56" s="200">
        <v>337.4</v>
      </c>
      <c r="Z56" s="195"/>
      <c r="AA56" s="195"/>
      <c r="AB56" s="1"/>
      <c r="AC56" s="149">
        <f t="shared" si="15"/>
        <v>0</v>
      </c>
      <c r="AD56" s="149">
        <f t="shared" si="12"/>
        <v>0</v>
      </c>
      <c r="AH56" s="44"/>
      <c r="AI56" s="44"/>
      <c r="AJ56" s="44"/>
      <c r="AK56" s="44"/>
      <c r="AL56" s="44"/>
      <c r="AM56" s="44"/>
      <c r="AN56" s="44"/>
      <c r="AO56" s="44"/>
      <c r="AP56" s="44"/>
      <c r="AR56" s="44">
        <v>111300</v>
      </c>
      <c r="AS56" s="44">
        <v>111301</v>
      </c>
      <c r="AT56" s="44">
        <v>111302</v>
      </c>
      <c r="AU56" s="44">
        <v>111303</v>
      </c>
      <c r="AV56" s="44">
        <v>111304</v>
      </c>
      <c r="AW56" s="44">
        <v>111305</v>
      </c>
      <c r="AX56" s="44">
        <v>111306</v>
      </c>
      <c r="AY56" s="44">
        <v>111307</v>
      </c>
      <c r="AZ56" s="44">
        <v>111308</v>
      </c>
      <c r="BA56" s="174">
        <v>111309</v>
      </c>
      <c r="BB56" s="50">
        <f>IF(AND($P$9=2,$P$21=1),AH56,IF(AND($P$9=2,$P$21=4),AI56,IF(AND($P$9=2,$P$21=5),AJ56,IF(AND($P$9=2,$P$21=11),AK56,IF(AND($P$9=2,$P$21=7),AL56,IF(AND($P$9=2,$P$21=3),AM56,IF(AND($P$9=2,$P$21=6),AN56,IF(AND($P$9=2,$P$21=9),AO56,IF(AND($P$9=2,$P$21=2),AP56,IF(AND($P$9=2,$P$21=8),AQ56,IF(AND($P$9=1,$P$21=1),AR56,IF(AND($P$9=1,$P$21=1),AR56,IF(AND($P$9=1,$P$21=4),AS56,IF(AND($P$9=1,$P$21=5),AT56,IF(AND($P$9=1,$P$21=11),AU56,IF(AND($P$9=1,$P$21=7),AV56,IF(AND($P$9=1,$P$21=3),AW56,IF(AND($P$9=1,$P$21=6),AX56,IF(AND($P$9=1,$P$21=9),AY56,IF(AND($P$9=1,$P$21=2),AZ56,IF(AND($P$9=1,$P$21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74">
        <v>111329</v>
      </c>
      <c r="BW56" s="50">
        <f>IF(AND($P$9=2,$P$21=1),BC56,IF(AND($P$9=2,$P$21=4),BD56,IF(AND($P$9=2,$P$21=5),BE56,IF(AND($P$9=2,$P$21=11),BF56,IF(AND($P$9=2,$P$21=7),BG56,IF(AND($P$9=2,$P$21=3),BH56,IF(AND($P$9=2,$P$21=6),BI56,IF(AND($P$9=2,$P$21=9),BJ56,IF(AND($P$9=2,$P$21=2),BK56,IF(AND($P$9=2,$P$21=8),BL56,IF(AND($P$9=1,$P$21=1),BM56,IF(AND($P$9=1,$P$21=1),BM56,IF(AND($P$9=1,$P$21=4),BN56,IF(AND($P$9=1,$P$21=5),BO56,IF(AND($P$9=1,$P$21=11),BP56,IF(AND($P$9=1,$P$21=7),BQ56,IF(AND($P$9=1,$P$21=3),BR56,IF(AND($P$9=1,$P$21=6),BS56,IF(AND($P$9=1,$P$21=9),BT56,IF(AND($P$9=1,$P$21=2),BU56,IF(AND($P$9=1,$P$21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74">
        <v>111349</v>
      </c>
      <c r="CR56" s="50">
        <f>IF(AND($P$9=2,$P$21=1),BX56,IF(AND($P$9=2,$P$21=4),BY56,IF(AND($P$9=2,$P$21=5),BZ56,IF(AND($P$9=2,$P$21=11),CA56,IF(AND($P$9=2,$P$21=7),CB56,IF(AND($P$9=2,$P$21=3),CC56,IF(AND($P$9=2,$P$21=6),CD56,IF(AND($P$9=2,$P$21=9),CE56,IF(AND($P$9=2,$P$21=2),CF56,IF(AND($P$9=2,$P$21=8),CG56,IF(AND($P$9=1,$P$21=1),CH56,IF(AND($P$9=1,$P$21=1),CH56,IF(AND($P$9=1,$P$21=4),CI56,IF(AND($P$9=1,$P$21=5),CJ56,IF(AND($P$9=1,$P$21=11),CK56,IF(AND($P$9=1,$P$21=7),CL56,IF(AND($P$9=1,$P$21=3),CM56,IF(AND($P$9=1,$P$21=6),CN56,IF(AND($P$9=1,$P$21=9),CO56,IF(AND($P$9=1,$P$21=2),CP56,IF(AND($P$9=1,$P$21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74">
        <v>111369</v>
      </c>
      <c r="DM56" s="50">
        <f>IF(AND($P$9=2,$P$21=1),BX56,IF(AND($P$9=2,$P$21=4),BY56,IF(AND($P$9=2,$P$21=5),BZ56,IF(AND($P$9=2,$P$21=11),CA56,IF(AND($P$9=2,$P$21=7),CB56,IF(AND($P$9=2,$P$21=3),CC56,IF(AND($P$9=2,$P$21=6),CD56,IF(AND($P$9=2,$P$21=9),CE56,IF(AND($P$9=2,$P$21=2),CF56,IF(AND($P$9=2,$P$21=8),CG56,IF(AND($P$9=1,$P$21=1),DC56,IF(AND($P$9=1,$P$21=1),DC56,IF(AND($P$9=1,$P$21=4),DD56,IF(AND($P$9=1,$P$21=5),DE56,IF(AND($P$9=1,$P$21=11),DF56,IF(AND($P$9=1,$P$21=7),DG56,IF(AND($P$9=1,$P$21=3),DH56,IF(AND($P$9=1,$P$21=6),DI56,IF(AND($P$9=1,$P$21=9),DJ56,IF(AND($P$9=1,$P$21=2),DK56,IF(AND($P$9=1,$P$21=8),DL56,0)))))))))))))))))))))</f>
        <v>0</v>
      </c>
      <c r="DX56" s="44">
        <v>111380</v>
      </c>
      <c r="DY56" s="44">
        <v>111381</v>
      </c>
      <c r="DZ56" s="44">
        <v>111382</v>
      </c>
      <c r="EA56" s="44">
        <v>111383</v>
      </c>
      <c r="EB56" s="44">
        <v>111384</v>
      </c>
      <c r="EC56" s="44">
        <v>111385</v>
      </c>
      <c r="ED56" s="44">
        <v>111386</v>
      </c>
      <c r="EE56" s="44">
        <v>111387</v>
      </c>
      <c r="EF56" s="44">
        <v>111388</v>
      </c>
      <c r="EG56" s="174">
        <v>111389</v>
      </c>
      <c r="EH56" s="50">
        <f>IF(AND($P$9=2,$P$21=1),CS56,IF(AND($P$9=2,$P$21=4),CT56,IF(AND($P$9=2,$P$21=5),CU56,IF(AND($P$9=2,$P$21=11),CV56,IF(AND($P$9=2,$P$21=7),CW56,IF(AND($P$9=2,$P$21=3),CX56,IF(AND($P$9=2,$P$21=6),CY56,IF(AND($P$9=2,$P$21=9),CZ56,IF(AND($P$9=2,$P$21=2),DA56,IF(AND($P$9=2,$P$21=8),DB56,IF(AND($P$9=1,$P$21=1),DX56,IF(AND($P$9=1,$P$21=1),DX56,IF(AND($P$9=1,$P$21=4),DY56,IF(AND($P$9=1,$P$21=5),DZ56,IF(AND($P$9=1,$P$21=11),EA56,IF(AND($P$9=1,$P$21=7),EB56,IF(AND($P$9=1,$P$21=3),EC56,IF(AND($P$9=1,$P$21=6),ED56,IF(AND($P$9=1,$P$21=9),EE56,IF(AND($P$9=1,$P$21=2),EF56,IF(AND($P$9=1,$P$21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74">
        <v>111409</v>
      </c>
      <c r="FC56" s="50">
        <f>IF(AND($P$9=2,$P$21=1),EI56,IF(AND($P$9=2,$P$21=4),EJ56,IF(AND($P$9=2,$P$21=5),EK56,IF(AND($P$9=2,$P$21=11),EL56,IF(AND($P$9=2,$P$21=7),EM56,IF(AND($P$9=2,$P$21=3),EN56,IF(AND($P$9=2,$P$21=6),EO56,IF(AND($P$9=2,$P$21=9),EP56,IF(AND($P$9=2,$P$21=2),EQ56,IF(AND($P$9=2,$P$21=8),ER56,IF(AND($P$9=1,$P$21=1),ES56,IF(AND($P$9=1,$P$21=1),ES56,IF(AND($P$9=1,$P$21=4),ET56,IF(AND($P$9=1,$P$21=5),EU56,IF(AND($P$9=1,$P$21=11),EV56,IF(AND($P$9=1,$P$21=7),EW56,IF(AND($P$9=1,$P$21=3),EX56,IF(AND($P$9=1,$P$21=6),EY56,IF(AND($P$9=1,$P$21=9),EZ56,IF(AND($P$9=1,$P$21=2),FA56,IF(AND($P$9=1,$P$21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74">
        <v>111429</v>
      </c>
      <c r="FX56" s="50">
        <f>IF(AND($P$9=2,$P$21=1),FD56,IF(AND($P$9=2,$P$21=4),FE56,IF(AND($P$9=2,$P$21=5),FF56,IF(AND($P$9=2,$P$21=11),FG56,IF(AND($P$9=2,$P$21=7),FH56,IF(AND($P$9=2,$P$21=3),FI56,IF(AND($P$9=2,$P$21=6),FJ56,IF(AND($P$9=2,$P$21=9),FK56,IF(AND($P$9=2,$P$21=2),FL56,IF(AND($P$9=2,$P$21=8),FM56,IF(AND($P$9=1,$P$21=1),FN56,IF(AND($P$9=1,$P$21=1),FN56,IF(AND($P$9=1,$P$21=4),FO56,IF(AND($P$9=1,$P$21=5),FP56,IF(AND($P$9=1,$P$21=11),FQ56,IF(AND($P$9=1,$P$21=7),FR56,IF(AND($P$9=1,$P$21=3),FS56,IF(AND($P$9=1,$P$21=6),FT56,IF(AND($P$9=1,$P$21=9),FU56,IF(AND($P$9=1,$P$21=2),FV56,IF(AND($P$9=1,$P$21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74">
        <v>111449</v>
      </c>
      <c r="GS56" s="50">
        <f>IF(AND($P$9=2,$P$21=1),FY56,IF(AND($P$9=2,$P$21=4),FZ56,IF(AND($P$9=2,$P$21=5),GA56,IF(AND($P$9=2,$P$21=11),GB56,IF(AND($P$9=2,$P$21=7),GC56,IF(AND($P$9=2,$P$21=3),GD56,IF(AND($P$9=2,$P$21=6),GE56,IF(AND($P$9=2,$P$21=9),GF56,IF(AND($P$9=2,$P$21=2),GG56,IF(AND($P$9=2,$P$21=8),GH56,IF(AND($P$9=1,$P$21=1),GI56,IF(AND($P$9=1,$P$21=1),GI56,IF(AND($P$9=1,$P$21=4),GJ56,IF(AND($P$9=1,$P$21=5),GK56,IF(AND($P$9=1,$P$21=11),GL56,IF(AND($P$9=1,$P$21=7),GM56,IF(AND($P$9=1,$P$21=3),GN56,IF(AND($P$9=1,$P$21=6),GO56,IF(AND($P$9=1,$P$21=9),GP56,IF(AND($P$9=1,$P$21=2),GQ56,IF(AND($P$9=1,$P$21=8),GR56,0)))))))))))))))))))))</f>
        <v>0</v>
      </c>
      <c r="HN56" s="50"/>
      <c r="II56" s="50"/>
      <c r="JD56" s="50"/>
      <c r="JY56" s="50"/>
      <c r="KT56" s="50"/>
      <c r="LO56" s="50"/>
      <c r="MJ56" s="50"/>
      <c r="NE56" s="50"/>
      <c r="NZ56" s="50"/>
      <c r="OU56" s="50"/>
      <c r="PP56" s="50"/>
      <c r="QK56" s="50"/>
      <c r="RF56" s="50"/>
    </row>
    <row r="57" spans="1:474" ht="32.1" customHeight="1">
      <c r="A57" s="98"/>
      <c r="B57" s="79" t="str">
        <f>VLOOKUP(878,Sprachindex!$A:$Z,Info!$O$7,FALSE)</f>
        <v>Stk.</v>
      </c>
      <c r="C57" s="78"/>
      <c r="D57" s="78">
        <v>111700</v>
      </c>
      <c r="E57" s="561" t="str">
        <f>VLOOKUP(322,Sprachindex!$A:$Z,Info!$O$7,FALSE)</f>
        <v>Einfassung für Roto-Q-Serie (stucco)</v>
      </c>
      <c r="F57" s="562"/>
      <c r="G57" s="562"/>
      <c r="H57" s="562"/>
      <c r="I57" s="84" t="str">
        <f>VLOOKUP(591,Sprachindex!$A:$Z,Info!$O$7,FALSE)</f>
        <v>Maße:</v>
      </c>
      <c r="J57" s="572"/>
      <c r="K57" s="573"/>
      <c r="L57" s="79" t="str">
        <f>IF($A57=0,"",IF($J57=Formeln!$A$52," ",IF($P$11=1,AC57,AD57)))</f>
        <v/>
      </c>
      <c r="M57" s="433" t="str">
        <f t="shared" si="3"/>
        <v>Stk.</v>
      </c>
      <c r="N57" s="80"/>
      <c r="O57" s="202" t="str">
        <f>IF(ISNUMBER(A57),IF(OR(J57=Formeln!C53,J57=Formeln!C54,J57=Formeln!C55,J57=Formeln!C83,J57=Formeln!C84,J57=Formeln!C85),R57,IF(OR(J57=Formeln!C56,J57=Formeln!C57,J57=Formeln!C58,J57=Formeln!C86,J57=Formeln!C87,J57=Formeln!C88),S57,IF(OR(J57=Formeln!C59,J57=Formeln!C60,J57=Formeln!C61,J57=Formeln!C62,J57=Formeln!C63,J57=Formeln!C89,J57=Formeln!C90,J57=Formeln!C91,J57=Formeln!C92,J57=Formeln!C93),T57,IF(OR(J57=Formeln!C64,J57=Formeln!C65,J57=Formeln!C66,J57=Formeln!C67,J57=Formeln!C68,J57=Formeln!C69,J57=Formeln!C94,J57=Formeln!C95,J57=Formeln!C96,J57=Formeln!C97,J57=Formeln!C98,J57=Formeln!C99),U57,IF(OR(J57=Formeln!C70,J57=Formeln!C71,J57=Formeln!C72,J57=Formeln!C73,J57=Formeln!C74,J57=Formeln!C75,J57=Formeln!C100,J57=Formeln!C101,J57=Formeln!C102,J57=Formeln!C103,J57=Formeln!C104,J57=Formeln!C105),V57,IF(OR(J57=Formeln!C76,J57=Formeln!C77,J57=Formeln!C78,J57=Formeln!C79,J57=Formeln!C80,J57=Formeln!C106,J57=Formeln!C107,J57=Formeln!C108,J57=Formeln!C109,J57=Formeln!C110),W57,0)))))), "")</f>
        <v/>
      </c>
      <c r="P57" s="5"/>
      <c r="Q57" s="5"/>
      <c r="R57" s="200">
        <v>291.25</v>
      </c>
      <c r="S57" s="200">
        <v>298.98</v>
      </c>
      <c r="T57" s="200">
        <v>298.98</v>
      </c>
      <c r="U57" s="200">
        <v>360.78</v>
      </c>
      <c r="V57" s="200">
        <v>368.64</v>
      </c>
      <c r="W57" s="200">
        <v>371.17</v>
      </c>
      <c r="X57" s="195"/>
      <c r="Y57" s="195"/>
      <c r="Z57" s="195"/>
      <c r="AA57" s="195"/>
      <c r="AB57" s="1"/>
      <c r="AC57" s="149">
        <f t="shared" si="15"/>
        <v>0</v>
      </c>
      <c r="AD57" s="149">
        <f t="shared" si="12"/>
        <v>0</v>
      </c>
      <c r="AH57" s="44"/>
      <c r="AI57" s="44"/>
      <c r="AJ57" s="44"/>
      <c r="AK57" s="44"/>
      <c r="AL57" s="44"/>
      <c r="AM57" s="44"/>
      <c r="AN57" s="44"/>
      <c r="AO57" s="44"/>
      <c r="AP57" s="44"/>
      <c r="AR57" s="127"/>
      <c r="AS57" s="127"/>
      <c r="AT57" s="127"/>
      <c r="AU57" s="127"/>
      <c r="AV57" s="127"/>
      <c r="AW57" s="127"/>
      <c r="AX57" s="127"/>
      <c r="AY57" s="127"/>
      <c r="AZ57" s="127"/>
      <c r="BA57" s="176"/>
      <c r="BB57" s="50">
        <f>IF(AND($P$9=2,$P$21=1),AH57,IF(AND($P$9=2,$P$21=4),AI57,IF(AND($P$9=2,$P$21=5),AJ57,IF(AND($P$9=2,$P$21=11),AK57,IF(AND($P$9=2,$P$21=7),AL57,IF(AND($P$9=2,$P$21=3),AM57,IF(AND($P$9=2,$P$21=6),AN57,IF(AND($P$9=2,$P$21=9),AO57,IF(AND($P$9=2,$P$21=2),AP57,IF(AND($P$9=2,$P$21=8),AQ57,IF(AND($P$9=1,$P$21=1),AR57,IF(AND($P$9=1,$P$21=1),AR57,IF(AND($P$9=1,$P$21=4),AS57,IF(AND($P$9=1,$P$21=5),AT57,IF(AND($P$9=1,$P$21=11),AU57,IF(AND($P$9=1,$P$21=7),AV57,IF(AND($P$9=1,$P$21=3),AW57,IF(AND($P$9=1,$P$21=6),AX57,IF(AND($P$9=1,$P$21=9),AY57,IF(AND($P$9=1,$P$21=2),AZ57,0))))))))))))))))))))</f>
        <v>0</v>
      </c>
      <c r="BC57" s="44"/>
      <c r="BD57" s="44"/>
      <c r="BE57" s="44"/>
      <c r="BF57" s="44"/>
      <c r="BG57" s="44"/>
      <c r="BH57" s="44"/>
      <c r="BI57" s="44"/>
      <c r="BJ57" s="44"/>
      <c r="BK57" s="44"/>
      <c r="BM57" s="127"/>
      <c r="BN57" s="127"/>
      <c r="BO57" s="127"/>
      <c r="BP57" s="127"/>
      <c r="BQ57" s="127"/>
      <c r="BR57" s="127"/>
      <c r="BS57" s="127"/>
      <c r="BT57" s="127"/>
      <c r="BU57" s="127"/>
      <c r="BV57" s="176"/>
      <c r="BW57" s="50">
        <f>IF(AND($P$9=2,$P$21=1),BC57,IF(AND($P$9=2,$P$21=4),BD57,IF(AND($P$9=2,$P$21=5),BE57,IF(AND($P$9=2,$P$21=11),BF57,IF(AND($P$9=2,$P$21=7),BG57,IF(AND($P$9=2,$P$21=3),BH57,IF(AND($P$9=2,$P$21=6),BI57,IF(AND($P$9=2,$P$21=9),BJ57,IF(AND($P$9=2,$P$21=2),BK57,IF(AND($P$9=2,$P$21=8),BL57,IF(AND($P$9=1,$P$21=1),BM57,IF(AND($P$9=1,$P$21=1),BM57,IF(AND($P$9=1,$P$21=4),BN57,IF(AND($P$9=1,$P$21=5),BO57,IF(AND($P$9=1,$P$21=11),BP57,IF(AND($P$9=1,$P$21=7),BQ57,IF(AND($P$9=1,$P$21=3),BR57,IF(AND($P$9=1,$P$21=6),BS57,IF(AND($P$9=1,$P$21=9),BT57,IF(AND($P$9=1,$P$21=2),BU57,0))))))))))))))))))))</f>
        <v>0</v>
      </c>
      <c r="BX57" s="44"/>
      <c r="BY57" s="44"/>
      <c r="BZ57" s="44"/>
      <c r="CA57" s="44"/>
      <c r="CB57" s="44"/>
      <c r="CC57" s="44"/>
      <c r="CD57" s="44"/>
      <c r="CE57" s="44"/>
      <c r="CF57" s="44"/>
      <c r="CH57" s="127"/>
      <c r="CI57" s="127"/>
      <c r="CJ57" s="127"/>
      <c r="CK57" s="127"/>
      <c r="CL57" s="127"/>
      <c r="CM57" s="127"/>
      <c r="CN57" s="127"/>
      <c r="CO57" s="127"/>
      <c r="CP57" s="127"/>
      <c r="CQ57" s="176"/>
      <c r="CR57" s="50">
        <f>IF(AND($P$9=2,$P$21=1),BX57,IF(AND($P$9=2,$P$21=4),BY57,IF(AND($P$9=2,$P$21=5),BZ57,IF(AND($P$9=2,$P$21=11),CA57,IF(AND($P$9=2,$P$21=7),CB57,IF(AND($P$9=2,$P$21=3),CC57,IF(AND($P$9=2,$P$21=6),CD57,IF(AND($P$9=2,$P$21=9),CE57,IF(AND($P$9=2,$P$21=2),CF57,IF(AND($P$9=2,$P$21=8),CG57,IF(AND($P$9=1,$P$21=1),CH57,IF(AND($P$9=1,$P$21=1),CH57,IF(AND($P$9=1,$P$21=4),CI57,IF(AND($P$9=1,$P$21=5),CJ57,IF(AND($P$9=1,$P$21=11),CK57,IF(AND($P$9=1,$P$21=7),CL57,IF(AND($P$9=1,$P$21=3),CM57,IF(AND($P$9=1,$P$21=6),CN57,IF(AND($P$9=1,$P$21=9),CO57,IF(AND($P$9=1,$P$21=2),CP57,0))))))))))))))))))))</f>
        <v>0</v>
      </c>
      <c r="CS57" s="44"/>
      <c r="CT57" s="44"/>
      <c r="CU57" s="44"/>
      <c r="CV57" s="44"/>
      <c r="CW57" s="44"/>
      <c r="CX57" s="44"/>
      <c r="CY57" s="44"/>
      <c r="CZ57" s="44"/>
      <c r="DA57" s="44"/>
      <c r="DC57" s="127"/>
      <c r="DD57" s="127"/>
      <c r="DE57" s="127"/>
      <c r="DF57" s="127"/>
      <c r="DG57" s="127"/>
      <c r="DH57" s="127"/>
      <c r="DI57" s="127"/>
      <c r="DJ57" s="127"/>
      <c r="DK57" s="127"/>
      <c r="DL57" s="176"/>
      <c r="DM57" s="50">
        <f>IF(AND($P$9=2,$P$21=1),BX57,IF(AND($P$9=2,$P$21=4),BY57,IF(AND($P$9=2,$P$21=5),BZ57,IF(AND($P$9=2,$P$21=11),CA57,IF(AND($P$9=2,$P$21=7),CB57,IF(AND($P$9=2,$P$21=3),CC57,IF(AND($P$9=2,$P$21=6),CD57,IF(AND($P$9=2,$P$21=9),CE57,IF(AND($P$9=2,$P$21=2),CF57,IF(AND($P$9=2,$P$21=8),CG57,IF(AND($P$9=1,$P$21=1),DC57,IF(AND($P$9=1,$P$21=1),DC57,IF(AND($P$9=1,$P$21=4),DD57,IF(AND($P$9=1,$P$21=5),DE57,IF(AND($P$9=1,$P$21=11),DF57,IF(AND($P$9=1,$P$21=7),DG57,IF(AND($P$9=1,$P$21=3),DH57,IF(AND($P$9=1,$P$21=6),DI57,IF(AND($P$9=1,$P$21=9),DJ57,IF(AND($P$9=1,$P$21=2),DK57,0))))))))))))))))))))</f>
        <v>0</v>
      </c>
      <c r="DX57" s="127"/>
      <c r="DY57" s="127"/>
      <c r="DZ57" s="127"/>
      <c r="EA57" s="127"/>
      <c r="EB57" s="127"/>
      <c r="EC57" s="127"/>
      <c r="ED57" s="127"/>
      <c r="EE57" s="127"/>
      <c r="EF57" s="127"/>
      <c r="EG57" s="176"/>
      <c r="EH57" s="50">
        <f>IF(AND($P$9=2,$P$21=1),CS57,IF(AND($P$9=2,$P$21=4),CT57,IF(AND($P$9=2,$P$21=5),CU57,IF(AND($P$9=2,$P$21=11),CV57,IF(AND($P$9=2,$P$21=7),CW57,IF(AND($P$9=2,$P$21=3),CX57,IF(AND($P$9=2,$P$21=6),CY57,IF(AND($P$9=2,$P$21=9),CZ57,IF(AND($P$9=2,$P$21=2),DA57,IF(AND($P$9=2,$P$21=8),DB57,IF(AND($P$9=1,$P$21=1),DX57,IF(AND($P$9=1,$P$21=1),DX57,IF(AND($P$9=1,$P$21=4),DY57,IF(AND($P$9=1,$P$21=5),DZ57,IF(AND($P$9=1,$P$21=11),EA57,IF(AND($P$9=1,$P$21=7),EB57,IF(AND($P$9=1,$P$21=3),EC57,IF(AND($P$9=1,$P$21=6),ED57,IF(AND($P$9=1,$P$21=9),EE57,IF(AND($P$9=1,$P$21=2),EF57,0))))))))))))))))))))</f>
        <v>0</v>
      </c>
      <c r="EI57" s="44"/>
      <c r="EJ57" s="44"/>
      <c r="EK57" s="44"/>
      <c r="EL57" s="44"/>
      <c r="EM57" s="44"/>
      <c r="EN57" s="44"/>
      <c r="EO57" s="44"/>
      <c r="EP57" s="44"/>
      <c r="EQ57" s="44"/>
      <c r="ES57" s="127"/>
      <c r="ET57" s="127"/>
      <c r="EU57" s="127"/>
      <c r="EV57" s="127"/>
      <c r="EW57" s="127"/>
      <c r="EX57" s="127"/>
      <c r="EY57" s="127"/>
      <c r="EZ57" s="127"/>
      <c r="FA57" s="127"/>
      <c r="FB57" s="176"/>
      <c r="FC57" s="50">
        <f>IF(AND($P$9=2,$P$21=1),EI57,IF(AND($P$9=2,$P$21=4),EJ57,IF(AND($P$9=2,$P$21=5),EK57,IF(AND($P$9=2,$P$21=11),EL57,IF(AND($P$9=2,$P$21=7),EM57,IF(AND($P$9=2,$P$21=3),EN57,IF(AND($P$9=2,$P$21=6),EO57,IF(AND($P$9=2,$P$21=9),EP57,IF(AND($P$9=2,$P$21=2),EQ57,IF(AND($P$9=2,$P$21=8),ER57,IF(AND($P$9=1,$P$21=1),ES57,IF(AND($P$9=1,$P$21=1),ES57,IF(AND($P$9=1,$P$21=4),ET57,IF(AND($P$9=1,$P$21=5),EU57,IF(AND($P$9=1,$P$21=11),EV57,IF(AND($P$9=1,$P$21=7),EW57,IF(AND($P$9=1,$P$21=3),EX57,IF(AND($P$9=1,$P$21=6),EY57,IF(AND($P$9=1,$P$21=9),EZ57,IF(AND($P$9=1,$P$21=2),FA57,0))))))))))))))))))))</f>
        <v>0</v>
      </c>
      <c r="HK57" s="126"/>
      <c r="IF57" s="126"/>
      <c r="JA57" s="126"/>
      <c r="JV57" s="126"/>
      <c r="KQ57" s="126"/>
      <c r="LL57" s="126"/>
      <c r="MG57" s="126"/>
      <c r="NB57" s="126"/>
      <c r="NW57" s="126"/>
      <c r="OR57" s="126"/>
      <c r="PM57" s="126"/>
      <c r="QH57" s="126"/>
      <c r="RC57" s="126"/>
    </row>
    <row r="58" spans="1:474" ht="32.1" customHeight="1">
      <c r="A58" s="98"/>
      <c r="B58" s="79" t="str">
        <f>VLOOKUP(878,Sprachindex!$A:$Z,Info!$O$7,FALSE)</f>
        <v>Stk.</v>
      </c>
      <c r="C58" s="78"/>
      <c r="D58" s="78">
        <f>IF($P$21=1,AH58,IF($P$21=4,AI58,IF($P$21=5,AJ58,IF($P$21=11,AK58,IF($P$21=7,AL58,IF($P$21=3,AM58,IF($P$21=6,AN58,IF($P$21=9,AO58,IF($P$21=2,AP58,IF($P$21=8,AQ58,0))))))))))</f>
        <v>0</v>
      </c>
      <c r="E58" s="561" t="str">
        <f>VLOOKUP(345,Sprachindex!$A:$Z,Info!$O$7,FALSE)</f>
        <v>Einzeltritt (inkl. zwei Fußteile)</v>
      </c>
      <c r="F58" s="562"/>
      <c r="G58" s="562"/>
      <c r="H58" s="562"/>
      <c r="I58" s="562"/>
      <c r="J58" s="562"/>
      <c r="K58" s="563"/>
      <c r="L58" s="79" t="str">
        <f t="shared" ref="L58:L97" si="16">IF(A58=0,"",IF($P$11=1,AC58,AD58))</f>
        <v/>
      </c>
      <c r="M58" s="433" t="str">
        <f t="shared" si="3"/>
        <v>Stk.</v>
      </c>
      <c r="N58" s="80"/>
      <c r="O58" s="202" t="str">
        <f t="shared" ref="O58:O106" si="17">IF(ISNUMBER(A58),$L58*R58, "")</f>
        <v/>
      </c>
      <c r="P58" s="5"/>
      <c r="Q58" s="5"/>
      <c r="R58" s="200">
        <v>70.75</v>
      </c>
      <c r="AB58" s="1"/>
      <c r="AC58" s="149">
        <f t="shared" si="15"/>
        <v>0</v>
      </c>
      <c r="AD58" s="149">
        <f t="shared" si="12"/>
        <v>0</v>
      </c>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98"/>
      <c r="B59" s="79" t="str">
        <f>VLOOKUP(878,Sprachindex!$A:$Z,Info!$O$7,FALSE)</f>
        <v>Stk.</v>
      </c>
      <c r="C59" s="78"/>
      <c r="D59" s="78">
        <f>IF($P$21=1,AH59,IF($P$21=4,AI59,IF($P$21=5,AJ59,IF($P$21=11,AK59,IF($P$21=7,AL59,IF($P$21=3,AM59,IF($P$21=6,AN59,IF($P$21=9,AO59,IF($P$21=2,AP59,IF($P$21=8,AQ59,0))))))))))</f>
        <v>0</v>
      </c>
      <c r="E59" s="561" t="str">
        <f>VLOOKUP(567,Sprachindex!$A:$Z,Info!$O$7,FALSE)</f>
        <v>Laufstegstütze auf einem Fußteil</v>
      </c>
      <c r="F59" s="562"/>
      <c r="G59" s="562"/>
      <c r="H59" s="562"/>
      <c r="I59" s="562"/>
      <c r="J59" s="562"/>
      <c r="K59" s="563"/>
      <c r="L59" s="79" t="str">
        <f t="shared" si="16"/>
        <v/>
      </c>
      <c r="M59" s="433" t="str">
        <f t="shared" si="3"/>
        <v>Stk.</v>
      </c>
      <c r="N59" s="80"/>
      <c r="O59" s="202" t="str">
        <f t="shared" si="17"/>
        <v/>
      </c>
      <c r="P59" s="5"/>
      <c r="Q59" s="5"/>
      <c r="R59" s="200">
        <v>52.32</v>
      </c>
      <c r="S59" s="195"/>
      <c r="T59" s="195"/>
      <c r="U59" s="195"/>
      <c r="V59" s="195"/>
      <c r="W59" s="195"/>
      <c r="X59" s="195"/>
      <c r="Y59" s="195"/>
      <c r="Z59" s="195"/>
      <c r="AA59" s="195"/>
      <c r="AB59" s="1"/>
      <c r="AC59" s="149">
        <f t="shared" si="15"/>
        <v>0</v>
      </c>
      <c r="AD59" s="149">
        <f t="shared" si="12"/>
        <v>0</v>
      </c>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98"/>
      <c r="B60" s="79" t="str">
        <f>VLOOKUP(878,Sprachindex!$A:$Z,Info!$O$7,FALSE)</f>
        <v>Stk.</v>
      </c>
      <c r="C60" s="78"/>
      <c r="D60" s="78">
        <v>649304</v>
      </c>
      <c r="E60" s="561" t="str">
        <f>VLOOKUP(568,Sprachindex!$A:$Z,Info!$O$7,FALSE)</f>
        <v>Laufstegstütze auf zwei Fußteilen</v>
      </c>
      <c r="F60" s="562"/>
      <c r="G60" s="562"/>
      <c r="H60" s="562"/>
      <c r="I60" s="562"/>
      <c r="J60" s="562"/>
      <c r="K60" s="563"/>
      <c r="L60" s="79" t="str">
        <f t="shared" si="16"/>
        <v/>
      </c>
      <c r="M60" s="433" t="str">
        <f t="shared" si="3"/>
        <v>Stk.</v>
      </c>
      <c r="N60" s="80"/>
      <c r="O60" s="202" t="str">
        <f t="shared" si="17"/>
        <v/>
      </c>
      <c r="P60" s="5"/>
      <c r="Q60" s="5"/>
      <c r="R60" s="200">
        <v>74.13</v>
      </c>
      <c r="S60" s="195"/>
      <c r="T60" s="195"/>
      <c r="U60" s="195"/>
      <c r="V60" s="195"/>
      <c r="W60" s="195"/>
      <c r="X60" s="195"/>
      <c r="Y60" s="195"/>
      <c r="Z60" s="195"/>
      <c r="AA60" s="195"/>
      <c r="AB60" s="1"/>
      <c r="AC60" s="149">
        <f t="shared" si="15"/>
        <v>0</v>
      </c>
      <c r="AD60" s="149">
        <f t="shared" si="12"/>
        <v>0</v>
      </c>
      <c r="AH60" s="44"/>
      <c r="AI60" s="44"/>
      <c r="AJ60" s="44"/>
      <c r="AK60" s="44"/>
      <c r="AL60" s="44"/>
      <c r="AM60" s="44"/>
      <c r="AN60" s="44"/>
      <c r="AO60" s="44"/>
      <c r="AP60" s="44"/>
      <c r="AQ60" s="44"/>
    </row>
    <row r="61" spans="1:474" ht="32.1" customHeight="1">
      <c r="A61" s="98"/>
      <c r="B61" s="79" t="str">
        <f>VLOOKUP(878,Sprachindex!$A:$Z,Info!$O$7,FALSE)</f>
        <v>Stk.</v>
      </c>
      <c r="C61" s="78"/>
      <c r="D61" s="78">
        <f>IF($P$21=1,AH61,IF($P$21=4,AI61,IF($P$21=5,AJ61,IF($P$21=11,AK61,IF($P$21=7,AL61,IF($P$21=3,AM61,IF($P$21=6,AN61,IF($P$21=9,AO61,IF($P$21=2,AP61,IF($P$21=8,AQ61,0))))))))))</f>
        <v>0</v>
      </c>
      <c r="E61" s="561" t="str">
        <f>VLOOKUP(560,Sprachindex!$A:$Z,Info!$O$7,FALSE)</f>
        <v>Laufsteg (250 × 1.200 mm)</v>
      </c>
      <c r="F61" s="562"/>
      <c r="G61" s="562"/>
      <c r="H61" s="562"/>
      <c r="I61" s="562"/>
      <c r="J61" s="562"/>
      <c r="K61" s="563"/>
      <c r="L61" s="79" t="str">
        <f t="shared" si="16"/>
        <v/>
      </c>
      <c r="M61" s="433" t="str">
        <f t="shared" si="3"/>
        <v>Stk.</v>
      </c>
      <c r="N61" s="80"/>
      <c r="O61" s="202" t="str">
        <f t="shared" si="17"/>
        <v/>
      </c>
      <c r="P61" s="5"/>
      <c r="Q61" s="5"/>
      <c r="R61" s="200">
        <v>74.430000000000007</v>
      </c>
      <c r="S61" s="195"/>
      <c r="T61" s="195"/>
      <c r="U61" s="195"/>
      <c r="V61" s="195"/>
      <c r="W61" s="195"/>
      <c r="X61" s="195"/>
      <c r="Y61" s="195"/>
      <c r="Z61" s="195"/>
      <c r="AA61" s="195"/>
      <c r="AB61" s="1"/>
      <c r="AC61" s="149">
        <f t="shared" si="15"/>
        <v>0</v>
      </c>
      <c r="AD61" s="149">
        <f t="shared" si="12"/>
        <v>0</v>
      </c>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98"/>
      <c r="B62" s="79" t="str">
        <f>VLOOKUP(878,Sprachindex!$A:$Z,Info!$O$7,FALSE)</f>
        <v>Stk.</v>
      </c>
      <c r="C62" s="78"/>
      <c r="D62" s="78">
        <f>IF($P$21=1,AH62,IF($P$21=4,AI62,IF($P$21=5,AJ62,IF($P$21=11,AK62,IF($P$21=7,AL62,IF($P$21=3,AM62,IF($P$21=6,AN62,IF($P$21=9,AO62,IF($P$21=2,AP62,IF($P$21=8,AQ62,0))))))))))</f>
        <v>0</v>
      </c>
      <c r="E62" s="561" t="str">
        <f>VLOOKUP(563,Sprachindex!$A:$Z,Info!$O$7,FALSE)</f>
        <v>Laufsteg (250 × 800 mm)</v>
      </c>
      <c r="F62" s="562"/>
      <c r="G62" s="562"/>
      <c r="H62" s="562"/>
      <c r="I62" s="562"/>
      <c r="J62" s="562"/>
      <c r="K62" s="563"/>
      <c r="L62" s="79" t="str">
        <f t="shared" si="16"/>
        <v/>
      </c>
      <c r="M62" s="433" t="str">
        <f t="shared" si="3"/>
        <v>Stk.</v>
      </c>
      <c r="N62" s="80"/>
      <c r="O62" s="202" t="str">
        <f t="shared" si="17"/>
        <v/>
      </c>
      <c r="P62" s="5"/>
      <c r="Q62" s="5"/>
      <c r="R62" s="200">
        <v>54.95</v>
      </c>
      <c r="S62" s="195"/>
      <c r="T62" s="195"/>
      <c r="U62" s="195"/>
      <c r="V62" s="195"/>
      <c r="W62" s="195"/>
      <c r="X62" s="195"/>
      <c r="Y62" s="195"/>
      <c r="Z62" s="195"/>
      <c r="AA62" s="195"/>
      <c r="AB62" s="1"/>
      <c r="AC62" s="149">
        <f t="shared" si="15"/>
        <v>0</v>
      </c>
      <c r="AD62" s="149">
        <f t="shared" si="12"/>
        <v>0</v>
      </c>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98"/>
      <c r="B63" s="79" t="str">
        <f>VLOOKUP(878,Sprachindex!$A:$Z,Info!$O$7,FALSE)</f>
        <v>Stk.</v>
      </c>
      <c r="C63" s="78"/>
      <c r="D63" s="78">
        <f>IF($P$21=1,AH63,IF($P$21=4,AI63,IF($P$21=5,AJ63,IF($P$21=11,AK63,IF($P$21=7,AL63,IF($P$21=3,AM63,IF($P$21=6,AN63,IF($P$21=9,AO63,IF($P$21=2,AP63,IF($P$21=8,AQ63,0))))))))))</f>
        <v>0</v>
      </c>
      <c r="E63" s="561" t="str">
        <f>VLOOKUP(562,Sprachindex!$A:$Z,Info!$O$7,FALSE)</f>
        <v>Laufsteg (250 × 600 mm)</v>
      </c>
      <c r="F63" s="562"/>
      <c r="G63" s="562"/>
      <c r="H63" s="562"/>
      <c r="I63" s="562"/>
      <c r="J63" s="562"/>
      <c r="K63" s="563"/>
      <c r="L63" s="79" t="str">
        <f t="shared" si="16"/>
        <v/>
      </c>
      <c r="M63" s="433" t="str">
        <f t="shared" si="3"/>
        <v>Stk.</v>
      </c>
      <c r="N63" s="80"/>
      <c r="O63" s="202" t="str">
        <f t="shared" si="17"/>
        <v/>
      </c>
      <c r="P63" s="5"/>
      <c r="Q63" s="5"/>
      <c r="R63" s="200">
        <v>52.52</v>
      </c>
      <c r="S63" s="195"/>
      <c r="T63" s="195"/>
      <c r="U63" s="195"/>
      <c r="V63" s="195"/>
      <c r="W63" s="195"/>
      <c r="X63" s="195"/>
      <c r="Y63" s="195"/>
      <c r="Z63" s="195"/>
      <c r="AA63" s="195"/>
      <c r="AB63" s="1"/>
      <c r="AC63" s="149">
        <f t="shared" si="15"/>
        <v>0</v>
      </c>
      <c r="AD63" s="149">
        <f t="shared" si="12"/>
        <v>0</v>
      </c>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98"/>
      <c r="B64" s="79" t="str">
        <f>VLOOKUP(878,Sprachindex!$A:$Z,Info!$O$7,FALSE)</f>
        <v>Stk.</v>
      </c>
      <c r="C64" s="78"/>
      <c r="D64" s="78">
        <f>IF($P$21=1,AH64,IF($P$21=4,AI64,IF($P$21=5,AJ64,IF($P$21=11,AK64,IF($P$21=7,AL64,IF($P$21=3,AM64,IF($P$21=6,AN64,IF($P$21=9,AO64,IF($P$21=2,AP64,IF($P$21=8,AQ64,0))))))))))</f>
        <v>0</v>
      </c>
      <c r="E64" s="561" t="str">
        <f>VLOOKUP(561,Sprachindex!$A:$Z,Info!$O$7,FALSE)</f>
        <v>Laufsteg (250 × 420 mm)</v>
      </c>
      <c r="F64" s="562"/>
      <c r="G64" s="562"/>
      <c r="H64" s="562"/>
      <c r="I64" s="562"/>
      <c r="J64" s="562"/>
      <c r="K64" s="563"/>
      <c r="L64" s="79" t="str">
        <f t="shared" si="16"/>
        <v/>
      </c>
      <c r="M64" s="433" t="str">
        <f t="shared" si="3"/>
        <v>Stk.</v>
      </c>
      <c r="N64" s="80"/>
      <c r="O64" s="202" t="str">
        <f t="shared" si="17"/>
        <v/>
      </c>
      <c r="P64" s="5"/>
      <c r="Q64" s="5"/>
      <c r="R64" s="200">
        <v>38.97</v>
      </c>
      <c r="S64" s="195"/>
      <c r="T64" s="195"/>
      <c r="U64" s="195"/>
      <c r="V64" s="195"/>
      <c r="W64" s="195"/>
      <c r="X64" s="195"/>
      <c r="Y64" s="195"/>
      <c r="Z64" s="195"/>
      <c r="AA64" s="195"/>
      <c r="AB64" s="1"/>
      <c r="AC64" s="149">
        <f>ROUNDUP($A64/4,0)*4</f>
        <v>0</v>
      </c>
      <c r="AD64" s="149">
        <f t="shared" si="12"/>
        <v>0</v>
      </c>
      <c r="AH64" s="44">
        <v>120010</v>
      </c>
      <c r="AI64" s="44">
        <v>120011</v>
      </c>
      <c r="AJ64" s="44">
        <v>120012</v>
      </c>
      <c r="AK64" s="44">
        <v>120013</v>
      </c>
      <c r="AL64" s="44">
        <v>120014</v>
      </c>
      <c r="AM64" s="44">
        <v>120015</v>
      </c>
      <c r="AN64" s="44">
        <v>120016</v>
      </c>
      <c r="AO64" s="44">
        <v>120017</v>
      </c>
      <c r="AP64" s="44">
        <v>120018</v>
      </c>
      <c r="AQ64" s="44">
        <v>120019</v>
      </c>
    </row>
    <row r="65" spans="1:55" ht="32.1" customHeight="1">
      <c r="A65" s="98"/>
      <c r="B65" s="79" t="str">
        <f>VLOOKUP(878,Sprachindex!$A:$Z,Info!$O$7,FALSE)</f>
        <v>Stk.</v>
      </c>
      <c r="C65" s="78"/>
      <c r="D65" s="78">
        <v>649305</v>
      </c>
      <c r="E65" s="561" t="str">
        <f>VLOOKUP(565,Sprachindex!$A:$Z,Info!$O$7,FALSE)</f>
        <v>Laufsteg (360 × 800 mm)</v>
      </c>
      <c r="F65" s="562"/>
      <c r="G65" s="562"/>
      <c r="H65" s="562"/>
      <c r="I65" s="562"/>
      <c r="J65" s="562"/>
      <c r="K65" s="563"/>
      <c r="L65" s="79" t="str">
        <f t="shared" si="16"/>
        <v/>
      </c>
      <c r="M65" s="433" t="str">
        <f t="shared" si="3"/>
        <v>Stk.</v>
      </c>
      <c r="N65" s="80"/>
      <c r="O65" s="202" t="str">
        <f t="shared" si="17"/>
        <v/>
      </c>
      <c r="P65" s="5"/>
      <c r="Q65" s="5"/>
      <c r="R65" s="200">
        <v>80.81</v>
      </c>
      <c r="S65" s="195"/>
      <c r="T65" s="195"/>
      <c r="U65" s="195"/>
      <c r="V65" s="195"/>
      <c r="W65" s="195"/>
      <c r="X65" s="195"/>
      <c r="Y65" s="195"/>
      <c r="Z65" s="195"/>
      <c r="AA65" s="195"/>
      <c r="AB65" s="1"/>
      <c r="AC65" s="149">
        <f>ROUNDUP($A65,0)</f>
        <v>0</v>
      </c>
      <c r="AD65" s="149">
        <f t="shared" si="12"/>
        <v>0</v>
      </c>
      <c r="AH65" s="44"/>
      <c r="AI65" s="44"/>
      <c r="AJ65" s="44"/>
      <c r="AK65" s="44"/>
      <c r="AL65" s="44"/>
      <c r="AM65" s="44"/>
      <c r="AN65" s="44"/>
      <c r="AO65" s="44"/>
      <c r="AP65" s="44"/>
      <c r="AQ65" s="44"/>
    </row>
    <row r="66" spans="1:55" ht="32.1" customHeight="1">
      <c r="A66" s="98"/>
      <c r="B66" s="79" t="str">
        <f>VLOOKUP(878,Sprachindex!$A:$Z,Info!$O$7,FALSE)</f>
        <v>Stk.</v>
      </c>
      <c r="C66" s="78"/>
      <c r="D66" s="78">
        <v>649306</v>
      </c>
      <c r="E66" s="561" t="str">
        <f>VLOOKUP(564,Sprachindex!$A:$Z,Info!$O$7,FALSE)</f>
        <v>Laufsteg (360 × 1.200 mm)</v>
      </c>
      <c r="F66" s="562"/>
      <c r="G66" s="562"/>
      <c r="H66" s="562"/>
      <c r="I66" s="562"/>
      <c r="J66" s="562"/>
      <c r="K66" s="563"/>
      <c r="L66" s="79" t="str">
        <f t="shared" si="16"/>
        <v/>
      </c>
      <c r="M66" s="433" t="str">
        <f t="shared" si="3"/>
        <v>Stk.</v>
      </c>
      <c r="N66" s="80"/>
      <c r="O66" s="202" t="str">
        <f t="shared" si="17"/>
        <v/>
      </c>
      <c r="P66" s="5"/>
      <c r="Q66" s="5"/>
      <c r="R66" s="200">
        <v>119.7</v>
      </c>
      <c r="S66" s="195"/>
      <c r="T66" s="195"/>
      <c r="U66" s="195"/>
      <c r="V66" s="195"/>
      <c r="W66" s="195"/>
      <c r="X66" s="195"/>
      <c r="Y66" s="195"/>
      <c r="Z66" s="195"/>
      <c r="AA66" s="195"/>
      <c r="AB66" s="1"/>
      <c r="AC66" s="149">
        <f>ROUNDUP($A66,0)</f>
        <v>0</v>
      </c>
      <c r="AD66" s="149">
        <f t="shared" si="12"/>
        <v>0</v>
      </c>
      <c r="AH66" s="44"/>
      <c r="AI66" s="44"/>
      <c r="AJ66" s="44"/>
      <c r="AK66" s="44"/>
      <c r="AL66" s="44"/>
      <c r="AM66" s="44"/>
      <c r="AN66" s="44"/>
      <c r="AO66" s="44"/>
      <c r="AP66" s="44"/>
      <c r="AQ66" s="44"/>
    </row>
    <row r="67" spans="1:55" ht="32.1" customHeight="1">
      <c r="A67" s="98"/>
      <c r="B67" s="79" t="str">
        <f>VLOOKUP(878,Sprachindex!$A:$Z,Info!$O$7,FALSE)</f>
        <v>Stk.</v>
      </c>
      <c r="C67" s="78"/>
      <c r="D67" s="83">
        <v>649001</v>
      </c>
      <c r="E67" s="561" t="str">
        <f>VLOOKUP(955,Sprachindex!$A:$Z,Info!$O$7,FALSE)</f>
        <v>Verbinder (verzinkt; für Laufsteg; Breite: 250 mm)</v>
      </c>
      <c r="F67" s="562"/>
      <c r="G67" s="562"/>
      <c r="H67" s="562"/>
      <c r="I67" s="562"/>
      <c r="J67" s="562"/>
      <c r="K67" s="563"/>
      <c r="L67" s="79" t="str">
        <f t="shared" si="16"/>
        <v/>
      </c>
      <c r="M67" s="433" t="str">
        <f t="shared" si="3"/>
        <v>Stk.</v>
      </c>
      <c r="N67" s="80"/>
      <c r="O67" s="202" t="str">
        <f t="shared" si="17"/>
        <v/>
      </c>
      <c r="P67" s="5"/>
      <c r="Q67" s="5"/>
      <c r="R67" s="200">
        <v>24.02</v>
      </c>
      <c r="S67" s="195"/>
      <c r="T67" s="195"/>
      <c r="U67" s="195"/>
      <c r="V67" s="195"/>
      <c r="W67" s="195"/>
      <c r="X67" s="195"/>
      <c r="Y67" s="195"/>
      <c r="Z67" s="195"/>
      <c r="AA67" s="195"/>
      <c r="AB67" s="1"/>
      <c r="AC67" s="149">
        <f>ROUNDUP($A67,0)</f>
        <v>0</v>
      </c>
      <c r="AD67" s="149">
        <f t="shared" si="12"/>
        <v>0</v>
      </c>
      <c r="AH67" s="47" t="s">
        <v>33</v>
      </c>
      <c r="AI67" s="47" t="s">
        <v>34</v>
      </c>
      <c r="AJ67" s="47" t="s">
        <v>35</v>
      </c>
      <c r="AK67" s="47" t="s">
        <v>36</v>
      </c>
      <c r="AL67" s="47" t="s">
        <v>37</v>
      </c>
      <c r="AM67" s="47" t="s">
        <v>38</v>
      </c>
      <c r="AN67" s="47" t="s">
        <v>39</v>
      </c>
      <c r="AO67" s="47" t="s">
        <v>40</v>
      </c>
      <c r="AP67" s="47" t="s">
        <v>41</v>
      </c>
      <c r="AQ67" s="47" t="s">
        <v>42</v>
      </c>
      <c r="AR67" s="47" t="s">
        <v>33</v>
      </c>
      <c r="AS67" s="47" t="s">
        <v>34</v>
      </c>
      <c r="AT67" s="47" t="s">
        <v>35</v>
      </c>
      <c r="AU67" s="47" t="s">
        <v>36</v>
      </c>
      <c r="AV67" s="47" t="s">
        <v>37</v>
      </c>
      <c r="AW67" s="47" t="s">
        <v>38</v>
      </c>
      <c r="AX67" s="47" t="s">
        <v>39</v>
      </c>
      <c r="AY67" s="47" t="s">
        <v>40</v>
      </c>
      <c r="AZ67" s="47" t="s">
        <v>41</v>
      </c>
      <c r="BA67" s="47" t="s">
        <v>42</v>
      </c>
    </row>
    <row r="68" spans="1:55" ht="32.1" customHeight="1">
      <c r="A68" s="98"/>
      <c r="B68" s="79" t="str">
        <f>VLOOKUP(878,Sprachindex!$A:$Z,Info!$O$7,FALSE)</f>
        <v>Stk.</v>
      </c>
      <c r="C68" s="78"/>
      <c r="D68" s="83">
        <v>649008</v>
      </c>
      <c r="E68" s="561" t="str">
        <f>VLOOKUP(956,Sprachindex!$A:$Z,Info!$O$7,FALSE)</f>
        <v>Verbinder (verzinkt; für Laufsteg; Breite: 360 mm)</v>
      </c>
      <c r="F68" s="562"/>
      <c r="G68" s="562"/>
      <c r="H68" s="562"/>
      <c r="I68" s="562"/>
      <c r="J68" s="562"/>
      <c r="K68" s="563"/>
      <c r="L68" s="79" t="str">
        <f t="shared" si="16"/>
        <v/>
      </c>
      <c r="M68" s="433" t="str">
        <f t="shared" si="3"/>
        <v>Stk.</v>
      </c>
      <c r="N68" s="80"/>
      <c r="O68" s="202" t="str">
        <f t="shared" si="17"/>
        <v/>
      </c>
      <c r="P68" s="5"/>
      <c r="Q68" s="5"/>
      <c r="R68" s="200">
        <v>53.07</v>
      </c>
      <c r="S68" s="195"/>
      <c r="T68" s="195"/>
      <c r="U68" s="195"/>
      <c r="V68" s="195"/>
      <c r="W68" s="195"/>
      <c r="X68" s="195"/>
      <c r="Y68" s="195"/>
      <c r="Z68" s="195"/>
      <c r="AA68" s="195"/>
      <c r="AB68" s="1"/>
      <c r="AC68" s="149">
        <f>ROUNDUP($A68,0)</f>
        <v>0</v>
      </c>
      <c r="AD68" s="149">
        <f t="shared" si="12"/>
        <v>0</v>
      </c>
      <c r="AH68" s="20"/>
      <c r="AI68" s="20"/>
      <c r="AJ68" s="20"/>
      <c r="AK68" s="20"/>
      <c r="AL68" s="20"/>
      <c r="AM68" s="20"/>
      <c r="AN68" s="20"/>
      <c r="AO68" s="20"/>
      <c r="AP68" s="20"/>
      <c r="AQ68" s="20"/>
      <c r="AR68" s="20"/>
      <c r="AS68" s="20"/>
      <c r="AT68" s="20"/>
      <c r="AU68" s="20"/>
      <c r="AV68" s="20"/>
      <c r="AW68" s="20"/>
      <c r="AX68" s="20"/>
      <c r="AY68" s="20"/>
      <c r="AZ68" s="20"/>
      <c r="BA68" s="20"/>
    </row>
    <row r="69" spans="1:55" ht="32.1" customHeight="1">
      <c r="A69" s="98"/>
      <c r="B69" s="79" t="str">
        <f>VLOOKUP(878,Sprachindex!$A:$Z,Info!$O$7,FALSE)</f>
        <v>Stk.</v>
      </c>
      <c r="C69" s="81"/>
      <c r="D69" s="83">
        <v>635661</v>
      </c>
      <c r="E69" s="561" t="str">
        <f>VLOOKUP(277,Sprachindex!$A:$Z,Info!$O$7,FALSE)</f>
        <v>Sicherheitsdachhaken auf Fußteilen</v>
      </c>
      <c r="F69" s="562"/>
      <c r="G69" s="562"/>
      <c r="H69" s="562"/>
      <c r="I69" s="562"/>
      <c r="J69" s="562"/>
      <c r="K69" s="563"/>
      <c r="L69" s="79" t="str">
        <f t="shared" si="16"/>
        <v/>
      </c>
      <c r="M69" s="433" t="str">
        <f t="shared" si="3"/>
        <v>Stk.</v>
      </c>
      <c r="N69" s="80"/>
      <c r="O69" s="202" t="str">
        <f t="shared" si="17"/>
        <v/>
      </c>
      <c r="P69" s="5"/>
      <c r="Q69" s="5"/>
      <c r="R69" s="200">
        <v>119.8</v>
      </c>
      <c r="S69" s="195"/>
      <c r="T69" s="195"/>
      <c r="U69" s="195"/>
      <c r="V69" s="195"/>
      <c r="W69" s="195"/>
      <c r="X69" s="195"/>
      <c r="Y69" s="195"/>
      <c r="Z69" s="195"/>
      <c r="AA69" s="195"/>
      <c r="AB69" s="1"/>
      <c r="AC69" s="149">
        <f>ROUNDUP($A69,0)</f>
        <v>0</v>
      </c>
      <c r="AD69" s="149">
        <f t="shared" si="12"/>
        <v>0</v>
      </c>
    </row>
    <row r="70" spans="1:55" ht="32.1" customHeight="1">
      <c r="A70" s="98"/>
      <c r="B70" s="79" t="str">
        <f>VLOOKUP(878,Sprachindex!$A:$Z,Info!$O$7,FALSE)</f>
        <v>Stk.</v>
      </c>
      <c r="C70" s="81"/>
      <c r="D70" s="78">
        <f>IF($P$21=1,AH70,IF($P$21=4,AI70,IF($P$21=5,AJ70,IF($P$21=11,AK70,IF($P$21=7,AL70,IF($P$21=3,AM70,IF($P$21=6,AN70,IF($P$21=9,AO70,IF($P$21=2,AP70,IF($P$21=8,AQ70,0))))))))))</f>
        <v>0</v>
      </c>
      <c r="E70" s="561" t="str">
        <f>VLOOKUP(822,Sprachindex!$A:$Z,Info!$O$7,FALSE)</f>
        <v>Sicherheitsdachhaken</v>
      </c>
      <c r="F70" s="562"/>
      <c r="G70" s="562"/>
      <c r="H70" s="562"/>
      <c r="I70" s="562"/>
      <c r="J70" s="562"/>
      <c r="K70" s="563"/>
      <c r="L70" s="79" t="str">
        <f t="shared" si="16"/>
        <v/>
      </c>
      <c r="M70" s="433" t="str">
        <f t="shared" si="3"/>
        <v>Stk.</v>
      </c>
      <c r="N70" s="80"/>
      <c r="O70" s="202" t="str">
        <f t="shared" si="17"/>
        <v/>
      </c>
      <c r="P70" s="5"/>
      <c r="Q70" s="5"/>
      <c r="R70" s="200">
        <v>31.53</v>
      </c>
      <c r="S70" s="195"/>
      <c r="T70" s="195"/>
      <c r="U70" s="195"/>
      <c r="V70" s="195"/>
      <c r="W70" s="195"/>
      <c r="X70" s="195"/>
      <c r="Y70" s="195"/>
      <c r="Z70" s="195"/>
      <c r="AA70" s="195"/>
      <c r="AB70" s="1"/>
      <c r="AC70" s="149">
        <f>ROUNDUP($A70/12,0)*12</f>
        <v>0</v>
      </c>
      <c r="AD70" s="149">
        <f t="shared" si="12"/>
        <v>0</v>
      </c>
      <c r="AH70" s="44">
        <v>120000</v>
      </c>
      <c r="AI70" s="44">
        <v>120001</v>
      </c>
      <c r="AJ70" s="44">
        <v>120002</v>
      </c>
      <c r="AK70" s="44">
        <v>120003</v>
      </c>
      <c r="AL70" s="44">
        <v>120004</v>
      </c>
      <c r="AM70" s="44">
        <v>120005</v>
      </c>
      <c r="AN70" s="44">
        <v>120006</v>
      </c>
      <c r="AO70" s="44">
        <v>120007</v>
      </c>
      <c r="AP70" s="44">
        <v>120008</v>
      </c>
      <c r="AQ70" s="44">
        <v>120009</v>
      </c>
    </row>
    <row r="71" spans="1:55" ht="32.1" customHeight="1">
      <c r="A71" s="98"/>
      <c r="B71" s="79" t="str">
        <f>VLOOKUP(878,Sprachindex!$A:$Z,Info!$O$7,FALSE)</f>
        <v>Stk.</v>
      </c>
      <c r="C71" s="81"/>
      <c r="D71" s="78">
        <f>IF($P$9=1,BC71,BB71)</f>
        <v>0</v>
      </c>
      <c r="E71" s="561" t="str">
        <f>IF($P$9=1,VLOOKUP(2947,Sprachindex!$A:$Z,Info!$O$7,FALSE),VLOOKUP(328,Sprachindex!$A:$Z,Info!$O$7,FALSE))</f>
        <v>Einfassungsplatte für Dachraute 44 × 44; glatt; ⌀ 80–125 mm</v>
      </c>
      <c r="F71" s="562"/>
      <c r="G71" s="562"/>
      <c r="H71" s="562"/>
      <c r="I71" s="562"/>
      <c r="J71" s="562"/>
      <c r="K71" s="563"/>
      <c r="L71" s="79" t="str">
        <f t="shared" si="16"/>
        <v/>
      </c>
      <c r="M71" s="433" t="str">
        <f t="shared" si="3"/>
        <v>Stk.</v>
      </c>
      <c r="N71" s="80"/>
      <c r="O71" s="202" t="str">
        <f t="shared" si="17"/>
        <v/>
      </c>
      <c r="P71" s="5"/>
      <c r="Q71" s="5"/>
      <c r="R71" s="200">
        <v>115.3</v>
      </c>
      <c r="S71" s="195"/>
      <c r="T71" s="195"/>
      <c r="U71" s="195"/>
      <c r="V71" s="195"/>
      <c r="W71" s="195"/>
      <c r="X71" s="195"/>
      <c r="Y71" s="195"/>
      <c r="Z71" s="195"/>
      <c r="AA71" s="195"/>
      <c r="AB71" s="1"/>
      <c r="AC71" s="149">
        <f>ROUNDUP($A71/2,0)*2</f>
        <v>0</v>
      </c>
      <c r="AD71" s="149">
        <f t="shared" si="12"/>
        <v>0</v>
      </c>
      <c r="AH71" s="470">
        <v>112321</v>
      </c>
      <c r="AI71" s="470">
        <v>112322</v>
      </c>
      <c r="AJ71" s="470">
        <v>112323</v>
      </c>
      <c r="AK71" s="470">
        <v>112324</v>
      </c>
      <c r="AL71" s="470">
        <v>112325</v>
      </c>
      <c r="AM71" s="470">
        <v>112326</v>
      </c>
      <c r="AN71" s="470">
        <v>112328</v>
      </c>
      <c r="AO71" s="470">
        <v>112327</v>
      </c>
      <c r="AP71" s="470">
        <v>112329</v>
      </c>
      <c r="AQ71" s="470">
        <v>112330</v>
      </c>
      <c r="AR71" s="469">
        <v>112820</v>
      </c>
      <c r="AS71" s="469">
        <v>112821</v>
      </c>
      <c r="AT71" s="469">
        <v>112822</v>
      </c>
      <c r="AU71" s="469">
        <v>112823</v>
      </c>
      <c r="AV71" s="469">
        <v>112824</v>
      </c>
      <c r="AW71" s="469">
        <v>112825</v>
      </c>
      <c r="AX71" s="469">
        <v>112826</v>
      </c>
      <c r="AY71" s="469">
        <v>112827</v>
      </c>
      <c r="AZ71" s="469">
        <v>112828</v>
      </c>
      <c r="BA71" s="469">
        <v>112829</v>
      </c>
      <c r="BB71" s="468">
        <f>IF($P$21=1,AH71,IF($P$21=4,AI71,IF($P$21=5,AJ71,IF($P$21=11,AK71,IF($P$21=7,AL71,IF($P$21=3,AM71,IF($P$21=6,AN71,IF($P$21=9,AO71,IF($P$21=2,AP71,IF($P$21=8,AQ71,0))))))))))</f>
        <v>0</v>
      </c>
      <c r="BC71" s="468">
        <f>IF($P$21=1,AR71,IF($P$21=4,AS71,IF($P$21=5,AT71,IF($P$21=11,AU71,IF($P$21=7,AV71,IF($P$21=3,AW71,IF($P$21=6,AX71,IF($P$21=9,AY71,IF($P$21=2,AZ71,IF($P$21=8,BA71,0))))))))))</f>
        <v>0</v>
      </c>
    </row>
    <row r="72" spans="1:55" ht="32.1" customHeight="1">
      <c r="A72" s="98"/>
      <c r="B72" s="79" t="str">
        <f>VLOOKUP(878,Sprachindex!$A:$Z,Info!$O$7,FALSE)</f>
        <v>Stk.</v>
      </c>
      <c r="C72" s="81"/>
      <c r="D72" s="78">
        <f>IF($P$9=1,BC72,BB72)</f>
        <v>0</v>
      </c>
      <c r="E72" s="561" t="str">
        <f>IF($P$9=1,VLOOKUP(2942,Sprachindex!$A:$Z,Info!$O$7,FALSE),VLOOKUP(1419,Sprachindex!$A:$Z,Info!$O$7,FALSE))</f>
        <v>Einfassungsplatte, zum Einfalzen; glatt</v>
      </c>
      <c r="F72" s="562"/>
      <c r="G72" s="562"/>
      <c r="H72" s="562"/>
      <c r="I72" s="562"/>
      <c r="J72" s="562"/>
      <c r="K72" s="563"/>
      <c r="L72" s="79" t="str">
        <f t="shared" si="16"/>
        <v/>
      </c>
      <c r="M72" s="433" t="str">
        <f t="shared" si="3"/>
        <v>Stk.</v>
      </c>
      <c r="N72" s="80"/>
      <c r="O72" s="202" t="str">
        <f t="shared" si="17"/>
        <v/>
      </c>
      <c r="P72" s="5"/>
      <c r="Q72" s="5"/>
      <c r="R72" s="200">
        <v>112</v>
      </c>
      <c r="S72" s="195"/>
      <c r="T72" s="195"/>
      <c r="U72" s="195"/>
      <c r="V72" s="195"/>
      <c r="W72" s="195"/>
      <c r="X72" s="195"/>
      <c r="Y72" s="195"/>
      <c r="Z72" s="195"/>
      <c r="AA72" s="195"/>
      <c r="AB72" s="1"/>
      <c r="AC72" s="149">
        <f>ROUNDUP($A72/5,0)*5</f>
        <v>0</v>
      </c>
      <c r="AD72" s="149">
        <f t="shared" si="12"/>
        <v>0</v>
      </c>
      <c r="AH72" s="470">
        <v>110230</v>
      </c>
      <c r="AI72" s="470">
        <v>110231</v>
      </c>
      <c r="AJ72" s="470">
        <v>110232</v>
      </c>
      <c r="AK72" s="470">
        <v>110233</v>
      </c>
      <c r="AL72" s="470">
        <v>110234</v>
      </c>
      <c r="AM72" s="470">
        <v>110235</v>
      </c>
      <c r="AN72" s="470">
        <v>110236</v>
      </c>
      <c r="AO72" s="470">
        <v>110237</v>
      </c>
      <c r="AP72" s="470">
        <v>110238</v>
      </c>
      <c r="AQ72" s="470">
        <v>110239</v>
      </c>
      <c r="AR72" s="469">
        <v>112880</v>
      </c>
      <c r="AS72" s="469">
        <v>112881</v>
      </c>
      <c r="AT72" s="469">
        <v>112882</v>
      </c>
      <c r="AU72" s="469">
        <v>112883</v>
      </c>
      <c r="AV72" s="469">
        <v>112884</v>
      </c>
      <c r="AW72" s="469">
        <v>112885</v>
      </c>
      <c r="AX72" s="469">
        <v>112886</v>
      </c>
      <c r="AY72" s="469">
        <v>112887</v>
      </c>
      <c r="AZ72" s="469">
        <v>112888</v>
      </c>
      <c r="BA72" s="469">
        <v>112889</v>
      </c>
      <c r="BB72" s="468">
        <f>IF($P$21=1,AH72,IF($P$21=4,AI72,IF($P$21=5,AJ72,IF($P$21=11,AK72,IF($P$21=7,AL72,IF($P$21=3,AM72,IF($P$21=6,AN72,IF($P$21=9,AO72,IF($P$21=2,AP72,IF($P$21=8,AQ72,0))))))))))</f>
        <v>0</v>
      </c>
      <c r="BC72" s="468">
        <f>IF($P$21=1,AR72,IF($P$21=4,AS72,IF($P$21=5,AT72,IF($P$21=11,AU72,IF($P$21=7,AV72,IF($P$21=3,AW72,IF($P$21=6,AX72,IF($P$21=9,AY72,IF($P$21=2,AZ72,IF($P$21=8,BA72,0))))))))))</f>
        <v>0</v>
      </c>
    </row>
    <row r="73" spans="1:55" ht="32.1" customHeight="1">
      <c r="A73" s="98"/>
      <c r="B73" s="79" t="str">
        <f>VLOOKUP(878,Sprachindex!$A:$Z,Info!$O$7,FALSE)</f>
        <v>Stk.</v>
      </c>
      <c r="C73" s="81"/>
      <c r="D73" s="78">
        <f>IF($P$21=1,AH73,IF($P$21=4,AI73,IF($P$21=5,AJ73,IF($P$21=11,AK73,IF($P$21=7,AL73,IF($P$21=3,AM73,IF($P$21=6,AN73,IF($P$21=9,AO73,IF($P$21=2,AP73,IF($P$21=8,AQ73,0))))))))))</f>
        <v>0</v>
      </c>
      <c r="E73" s="561" t="str">
        <f>VLOOKUP(926,Sprachindex!$A:$Z,Info!$O$7,FALSE)</f>
        <v>Universaleinfassung (2-teilig); glatt; ⌀ 40–120 mm</v>
      </c>
      <c r="F73" s="562"/>
      <c r="G73" s="562"/>
      <c r="H73" s="562"/>
      <c r="I73" s="562"/>
      <c r="J73" s="562"/>
      <c r="K73" s="563"/>
      <c r="L73" s="79" t="str">
        <f t="shared" si="16"/>
        <v/>
      </c>
      <c r="M73" s="433" t="str">
        <f t="shared" si="3"/>
        <v>Stk.</v>
      </c>
      <c r="N73" s="80"/>
      <c r="O73" s="202" t="str">
        <f t="shared" si="17"/>
        <v/>
      </c>
      <c r="P73" s="5"/>
      <c r="Q73" s="5"/>
      <c r="R73" s="200">
        <v>118.6</v>
      </c>
      <c r="S73" s="195"/>
      <c r="T73" s="195"/>
      <c r="U73" s="195"/>
      <c r="V73" s="195"/>
      <c r="W73" s="195"/>
      <c r="X73" s="195"/>
      <c r="Y73" s="195"/>
      <c r="Z73" s="195"/>
      <c r="AA73" s="195"/>
      <c r="AB73" s="1"/>
      <c r="AC73" s="149">
        <f>ROUNDUP($A73,0)</f>
        <v>0</v>
      </c>
      <c r="AD73" s="149">
        <f t="shared" si="12"/>
        <v>0</v>
      </c>
      <c r="AH73" s="44">
        <v>110240</v>
      </c>
      <c r="AI73" s="44">
        <v>110241</v>
      </c>
      <c r="AJ73" s="44">
        <v>110242</v>
      </c>
      <c r="AK73" s="44">
        <v>110243</v>
      </c>
      <c r="AL73" s="44">
        <v>110244</v>
      </c>
      <c r="AM73" s="44">
        <v>110245</v>
      </c>
      <c r="AN73" s="44">
        <v>110246</v>
      </c>
      <c r="AO73" s="44">
        <v>110247</v>
      </c>
      <c r="AP73" s="44">
        <v>110248</v>
      </c>
      <c r="AQ73" s="44">
        <v>110249</v>
      </c>
    </row>
    <row r="74" spans="1:55" ht="32.1" customHeight="1">
      <c r="A74" s="98"/>
      <c r="B74" s="79" t="str">
        <f>VLOOKUP(878,Sprachindex!$A:$Z,Info!$O$7,FALSE)</f>
        <v>Stk.</v>
      </c>
      <c r="C74" s="81"/>
      <c r="D74" s="78">
        <f>IF($P$21=1,AH74,IF($P$21=4,AI74,IF($P$21=5,AJ74,IF($P$21=11,AK74,IF($P$21=7,AL74,IF($P$21=3,AM74,IF($P$21=6,AN74,IF($P$21=9,AO74,IF($P$21=2,AP74,IF($P$21=8,AQ74,0))))))))))</f>
        <v>0</v>
      </c>
      <c r="E74" s="561" t="str">
        <f>VLOOKUP(364,Sprachindex!$A:$Z,Info!$O$7,FALSE)</f>
        <v>Entlüftungshaube (⌀ 100; glatt)</v>
      </c>
      <c r="F74" s="562"/>
      <c r="G74" s="562"/>
      <c r="H74" s="562"/>
      <c r="I74" s="562"/>
      <c r="J74" s="562"/>
      <c r="K74" s="563"/>
      <c r="L74" s="79" t="str">
        <f t="shared" si="16"/>
        <v/>
      </c>
      <c r="M74" s="433" t="str">
        <f t="shared" si="3"/>
        <v>Stk.</v>
      </c>
      <c r="N74" s="80"/>
      <c r="O74" s="202" t="str">
        <f t="shared" si="17"/>
        <v/>
      </c>
      <c r="P74" s="5"/>
      <c r="Q74" s="5"/>
      <c r="R74" s="200">
        <v>186.5</v>
      </c>
      <c r="S74" s="195"/>
      <c r="T74" s="195"/>
      <c r="U74" s="195"/>
      <c r="V74" s="195"/>
      <c r="W74" s="195"/>
      <c r="X74" s="195"/>
      <c r="Y74" s="195"/>
      <c r="Z74" s="195"/>
      <c r="AA74" s="195"/>
      <c r="AB74" s="1"/>
      <c r="AC74" s="149">
        <f>ROUNDUP($A74,0)</f>
        <v>0</v>
      </c>
      <c r="AD74" s="149">
        <f t="shared" si="12"/>
        <v>0</v>
      </c>
      <c r="AH74" s="44">
        <v>110280</v>
      </c>
      <c r="AI74" s="44">
        <v>110281</v>
      </c>
      <c r="AJ74" s="44">
        <v>110282</v>
      </c>
      <c r="AK74" s="44">
        <v>110283</v>
      </c>
      <c r="AL74" s="44">
        <v>110284</v>
      </c>
      <c r="AM74" s="44">
        <v>110285</v>
      </c>
      <c r="AN74" s="44">
        <v>110286</v>
      </c>
      <c r="AO74" s="44">
        <v>110287</v>
      </c>
      <c r="AP74" s="44">
        <v>110288</v>
      </c>
      <c r="AQ74" s="44">
        <v>110289</v>
      </c>
    </row>
    <row r="75" spans="1:55" ht="32.1" customHeight="1">
      <c r="A75" s="98"/>
      <c r="B75" s="79" t="str">
        <f>VLOOKUP(878,Sprachindex!$A:$Z,Info!$O$7,FALSE)</f>
        <v>Stk.</v>
      </c>
      <c r="C75" s="81"/>
      <c r="D75" s="78">
        <f>IF($P$21=1,AH75,IF($P$21=4,AI75,IF($P$21=5,AJ75,IF($P$21=11,AK75,IF($P$21=7,AL75,IF($P$21=3,AM75,IF($P$21=6,AN75,IF($P$21=9,AO75,IF($P$21=2,AP75,IF($P$21=8,AQ75,0))))))))))</f>
        <v>0</v>
      </c>
      <c r="E75" s="561" t="str">
        <f>VLOOKUP(366,Sprachindex!$A:$Z,Info!$O$7,FALSE)</f>
        <v>Entlüftungsrohr (⌀ 100; passend für HT-Rohr [NW 110])</v>
      </c>
      <c r="F75" s="562"/>
      <c r="G75" s="562"/>
      <c r="H75" s="562"/>
      <c r="I75" s="562"/>
      <c r="J75" s="562"/>
      <c r="K75" s="563"/>
      <c r="L75" s="79" t="str">
        <f t="shared" si="16"/>
        <v/>
      </c>
      <c r="M75" s="433" t="str">
        <f t="shared" si="3"/>
        <v>Stk.</v>
      </c>
      <c r="N75" s="80"/>
      <c r="O75" s="202" t="str">
        <f t="shared" si="17"/>
        <v/>
      </c>
      <c r="P75" s="5"/>
      <c r="Q75" s="5"/>
      <c r="R75" s="200">
        <v>76.77</v>
      </c>
      <c r="S75" s="195"/>
      <c r="T75" s="195"/>
      <c r="U75" s="195"/>
      <c r="V75" s="195"/>
      <c r="W75" s="195"/>
      <c r="X75" s="195"/>
      <c r="Y75" s="195"/>
      <c r="Z75" s="195"/>
      <c r="AA75" s="195"/>
      <c r="AB75" s="1"/>
      <c r="AC75" s="149">
        <f>ROUNDUP($A75,0)</f>
        <v>0</v>
      </c>
      <c r="AD75" s="149">
        <f t="shared" si="12"/>
        <v>0</v>
      </c>
      <c r="AH75" s="44">
        <v>110200</v>
      </c>
      <c r="AI75" s="44">
        <v>110201</v>
      </c>
      <c r="AJ75" s="44">
        <v>110202</v>
      </c>
      <c r="AK75" s="44">
        <v>110203</v>
      </c>
      <c r="AL75" s="44">
        <v>110204</v>
      </c>
      <c r="AM75" s="44">
        <v>110205</v>
      </c>
      <c r="AN75" s="44">
        <v>110206</v>
      </c>
      <c r="AO75" s="44">
        <v>110207</v>
      </c>
      <c r="AP75" s="44">
        <v>110208</v>
      </c>
      <c r="AQ75" s="44">
        <v>121015</v>
      </c>
    </row>
    <row r="76" spans="1:55" ht="32.1" customHeight="1">
      <c r="A76" s="98"/>
      <c r="B76" s="79" t="str">
        <f>VLOOKUP(878,Sprachindex!$A:$Z,Info!$O$7,FALSE)</f>
        <v>Stk.</v>
      </c>
      <c r="C76" s="81"/>
      <c r="D76" s="78">
        <f>IF($P$21=1,AH76,IF($P$21=4,AI76,IF($P$21=5,AJ76,IF($P$21=11,AK76,IF($P$21=7,AL76,IF($P$21=3,AM76,IF($P$21=6,AN76,IF($P$21=9,AO76,IF($P$21=2,AP76,IF($P$21=8,AQ76,0))))))))))</f>
        <v>0</v>
      </c>
      <c r="E76" s="561" t="str">
        <f>VLOOKUP(368,Sprachindex!$A:$Z,Info!$O$7,FALSE)</f>
        <v>Entlüftungsrohr (⌀ 120; passend für HT-Rohr [NW 125])</v>
      </c>
      <c r="F76" s="562"/>
      <c r="G76" s="562"/>
      <c r="H76" s="562"/>
      <c r="I76" s="562"/>
      <c r="J76" s="562"/>
      <c r="K76" s="563"/>
      <c r="L76" s="79" t="str">
        <f t="shared" si="16"/>
        <v/>
      </c>
      <c r="M76" s="433" t="str">
        <f t="shared" si="3"/>
        <v>Stk.</v>
      </c>
      <c r="N76" s="80"/>
      <c r="O76" s="202" t="str">
        <f t="shared" si="17"/>
        <v/>
      </c>
      <c r="P76" s="5"/>
      <c r="Q76" s="5"/>
      <c r="R76" s="200">
        <v>81.41</v>
      </c>
      <c r="S76" s="195"/>
      <c r="T76" s="195"/>
      <c r="U76" s="195"/>
      <c r="V76" s="195"/>
      <c r="W76" s="195"/>
      <c r="X76" s="195"/>
      <c r="Y76" s="195"/>
      <c r="Z76" s="195"/>
      <c r="AA76" s="195"/>
      <c r="AB76" s="1"/>
      <c r="AC76" s="149">
        <f>ROUNDUP($A76,0)</f>
        <v>0</v>
      </c>
      <c r="AD76" s="149">
        <f t="shared" si="12"/>
        <v>0</v>
      </c>
      <c r="AH76" s="44">
        <v>110210</v>
      </c>
      <c r="AI76" s="44">
        <v>110211</v>
      </c>
      <c r="AJ76" s="44">
        <v>110212</v>
      </c>
      <c r="AK76" s="44">
        <v>110213</v>
      </c>
      <c r="AL76" s="44">
        <v>110214</v>
      </c>
      <c r="AM76" s="44">
        <v>110215</v>
      </c>
      <c r="AN76" s="44">
        <v>110216</v>
      </c>
      <c r="AO76" s="44">
        <v>110217</v>
      </c>
      <c r="AP76" s="44">
        <v>110218</v>
      </c>
      <c r="AQ76" s="44">
        <v>121025</v>
      </c>
    </row>
    <row r="77" spans="1:55" ht="32.1" customHeight="1">
      <c r="A77" s="98"/>
      <c r="B77" s="79" t="str">
        <f>VLOOKUP(878,Sprachindex!$A:$Z,Info!$O$7,FALSE)</f>
        <v>Stk.</v>
      </c>
      <c r="C77" s="81"/>
      <c r="D77" s="83">
        <v>340943</v>
      </c>
      <c r="E77" s="561" t="str">
        <f>VLOOKUP(379,Sprachindex!$A:$Z,Info!$O$7,FALSE)</f>
        <v>Faltmanschette (Ø 100–130)</v>
      </c>
      <c r="F77" s="562"/>
      <c r="G77" s="562"/>
      <c r="H77" s="562"/>
      <c r="I77" s="562"/>
      <c r="J77" s="562"/>
      <c r="K77" s="563"/>
      <c r="L77" s="79" t="str">
        <f t="shared" si="16"/>
        <v/>
      </c>
      <c r="M77" s="433" t="str">
        <f t="shared" si="3"/>
        <v>Stk.</v>
      </c>
      <c r="N77" s="80"/>
      <c r="O77" s="202" t="str">
        <f t="shared" si="17"/>
        <v/>
      </c>
      <c r="P77" s="5"/>
      <c r="Q77" s="5"/>
      <c r="R77" s="200">
        <v>37.729999999999997</v>
      </c>
      <c r="S77" s="195"/>
      <c r="T77" s="195"/>
      <c r="U77" s="195"/>
      <c r="V77" s="195"/>
      <c r="W77" s="195"/>
      <c r="X77" s="195"/>
      <c r="Y77" s="195"/>
      <c r="Z77" s="195"/>
      <c r="AA77" s="195"/>
      <c r="AB77" s="1"/>
      <c r="AC77" s="149">
        <f>ROUNDUP($A77,0)</f>
        <v>0</v>
      </c>
      <c r="AD77" s="149">
        <f t="shared" si="12"/>
        <v>0</v>
      </c>
      <c r="AH77" s="47" t="s">
        <v>33</v>
      </c>
      <c r="AI77" s="47" t="s">
        <v>34</v>
      </c>
      <c r="AJ77" s="47" t="s">
        <v>35</v>
      </c>
      <c r="AK77" s="47" t="s">
        <v>36</v>
      </c>
      <c r="AL77" s="47" t="s">
        <v>37</v>
      </c>
      <c r="AM77" s="47" t="s">
        <v>38</v>
      </c>
      <c r="AN77" s="47" t="s">
        <v>39</v>
      </c>
      <c r="AO77" s="47" t="s">
        <v>40</v>
      </c>
      <c r="AP77" s="47" t="s">
        <v>41</v>
      </c>
      <c r="AQ77" s="47" t="s">
        <v>42</v>
      </c>
      <c r="AR77" s="47" t="s">
        <v>33</v>
      </c>
      <c r="AS77" s="47" t="s">
        <v>34</v>
      </c>
      <c r="AT77" s="47" t="s">
        <v>35</v>
      </c>
      <c r="AU77" s="47" t="s">
        <v>36</v>
      </c>
      <c r="AV77" s="47" t="s">
        <v>37</v>
      </c>
      <c r="AW77" s="47" t="s">
        <v>38</v>
      </c>
      <c r="AX77" s="47" t="s">
        <v>39</v>
      </c>
      <c r="AY77" s="47" t="s">
        <v>40</v>
      </c>
      <c r="AZ77" s="47" t="s">
        <v>41</v>
      </c>
      <c r="BA77" s="47" t="s">
        <v>42</v>
      </c>
    </row>
    <row r="78" spans="1:55" ht="32.1" customHeight="1">
      <c r="A78" s="98"/>
      <c r="B78" s="79" t="str">
        <f>VLOOKUP(878,Sprachindex!$A:$Z,Info!$O$7,FALSE)</f>
        <v>Stk.</v>
      </c>
      <c r="C78" s="81"/>
      <c r="D78" s="78">
        <f>IF($P$9=1,BC78,BB78)</f>
        <v>0</v>
      </c>
      <c r="E78" s="561" t="str">
        <f>IF($P$9=1,VLOOKUP(2945,Sprachindex!$A:$Z,Info!$O$7,FALSE),VLOOKUP(1421,Sprachindex!$A:$Z,Info!$O$7,FALSE))</f>
        <v>Unterlagsplatte für DR44, DS.19; glatt</v>
      </c>
      <c r="F78" s="562"/>
      <c r="G78" s="562"/>
      <c r="H78" s="562"/>
      <c r="I78" s="562"/>
      <c r="J78" s="562"/>
      <c r="K78" s="563"/>
      <c r="L78" s="79" t="str">
        <f t="shared" si="16"/>
        <v/>
      </c>
      <c r="M78" s="433" t="str">
        <f t="shared" si="3"/>
        <v>Stk.</v>
      </c>
      <c r="N78" s="80"/>
      <c r="O78" s="202" t="str">
        <f t="shared" si="17"/>
        <v/>
      </c>
      <c r="P78" s="5"/>
      <c r="Q78" s="5"/>
      <c r="R78" s="200">
        <v>10.72</v>
      </c>
      <c r="S78" s="195"/>
      <c r="T78" s="195"/>
      <c r="U78" s="195"/>
      <c r="V78" s="195"/>
      <c r="W78" s="195"/>
      <c r="X78" s="195"/>
      <c r="Y78" s="195"/>
      <c r="Z78" s="195"/>
      <c r="AA78" s="195"/>
      <c r="AB78" s="1"/>
      <c r="AC78" s="149">
        <f>ROUNDUP($A78/10,0)*10</f>
        <v>0</v>
      </c>
      <c r="AD78" s="149">
        <f t="shared" si="12"/>
        <v>0</v>
      </c>
      <c r="AH78" s="470">
        <v>112381</v>
      </c>
      <c r="AI78" s="470">
        <v>112382</v>
      </c>
      <c r="AJ78" s="470">
        <v>112383</v>
      </c>
      <c r="AK78" s="470">
        <v>1123824</v>
      </c>
      <c r="AL78" s="470">
        <v>112385</v>
      </c>
      <c r="AM78" s="470">
        <v>112386</v>
      </c>
      <c r="AN78" s="470">
        <v>112388</v>
      </c>
      <c r="AO78" s="470">
        <v>122387</v>
      </c>
      <c r="AP78" s="470">
        <v>112389</v>
      </c>
      <c r="AQ78" s="470"/>
      <c r="AR78" s="469">
        <v>112361</v>
      </c>
      <c r="AS78" s="469">
        <v>112362</v>
      </c>
      <c r="AT78" s="469">
        <v>112363</v>
      </c>
      <c r="AU78" s="469">
        <v>112364</v>
      </c>
      <c r="AV78" s="469">
        <v>112365</v>
      </c>
      <c r="AW78" s="469">
        <v>112366</v>
      </c>
      <c r="AX78" s="469">
        <v>112368</v>
      </c>
      <c r="AY78" s="469">
        <v>122367</v>
      </c>
      <c r="AZ78" s="469">
        <v>122369</v>
      </c>
      <c r="BA78" s="469">
        <v>112370</v>
      </c>
      <c r="BB78" s="468">
        <f t="shared" ref="BB78" si="18">IF($P$21=1,AH78,IF($P$21=4,AI78,IF($P$21=5,AJ78,IF($P$21=11,AK78,IF($P$21=7,AL78,IF($P$21=3,AM78,IF($P$21=6,AN78,IF($P$21=9,AO78,IF($P$21=2,AP78,IF($P$21=8,AQ78,0))))))))))</f>
        <v>0</v>
      </c>
      <c r="BC78" s="468">
        <f t="shared" ref="BC78" si="19">IF($P$21=1,AR78,IF($P$21=4,AS78,IF($P$21=5,AT78,IF($P$21=11,AU78,IF($P$21=7,AV78,IF($P$21=3,AW78,IF($P$21=6,AX78,IF($P$21=9,AY78,IF($P$21=2,AZ78,IF($P$21=8,BA78,0))))))))))</f>
        <v>0</v>
      </c>
    </row>
    <row r="79" spans="1:55" ht="32.1" customHeight="1">
      <c r="A79" s="98"/>
      <c r="B79" s="79" t="str">
        <f>VLOOKUP(878,Sprachindex!$A:$Z,Info!$O$7,FALSE)</f>
        <v>Stk.</v>
      </c>
      <c r="C79" s="81"/>
      <c r="D79" s="78">
        <f t="shared" ref="D79:D94" si="20">IF($P$21=1,AH79,IF($P$21=4,AI79,IF($P$21=5,AJ79,IF($P$21=11,AK79,IF($P$21=7,AL79,IF($P$21=3,AM79,IF($P$21=6,AN79,IF($P$21=9,AO79,IF($P$21=2,AP79,IF($P$21=8,AQ79,0))))))))))</f>
        <v>0</v>
      </c>
      <c r="E79" s="561" t="str">
        <f>VLOOKUP(802,Sprachindex!$A:$Z,Info!$O$7,FALSE)</f>
        <v>Schneestopper für Dachraute 44 × 44</v>
      </c>
      <c r="F79" s="562"/>
      <c r="G79" s="562"/>
      <c r="H79" s="562"/>
      <c r="I79" s="562"/>
      <c r="J79" s="562"/>
      <c r="K79" s="563"/>
      <c r="L79" s="79" t="str">
        <f t="shared" si="16"/>
        <v/>
      </c>
      <c r="M79" s="433" t="str">
        <f t="shared" si="3"/>
        <v>Stk.</v>
      </c>
      <c r="N79" s="80"/>
      <c r="O79" s="202" t="str">
        <f t="shared" si="17"/>
        <v/>
      </c>
      <c r="P79" s="5"/>
      <c r="Q79" s="5"/>
      <c r="R79" s="200">
        <v>1.74</v>
      </c>
      <c r="S79" s="195"/>
      <c r="T79" s="195"/>
      <c r="U79" s="195"/>
      <c r="V79" s="195"/>
      <c r="W79" s="195"/>
      <c r="X79" s="195"/>
      <c r="Y79" s="195"/>
      <c r="Z79" s="195"/>
      <c r="AA79" s="195"/>
      <c r="AB79" s="1"/>
      <c r="AC79" s="149">
        <f>ROUNDUP($A79/100,0)*100</f>
        <v>0</v>
      </c>
      <c r="AD79" s="149">
        <f t="shared" si="12"/>
        <v>0</v>
      </c>
      <c r="AH79" s="44">
        <v>112341</v>
      </c>
      <c r="AI79" s="44">
        <v>112342</v>
      </c>
      <c r="AJ79" s="44">
        <v>112343</v>
      </c>
      <c r="AK79" s="44">
        <v>112344</v>
      </c>
      <c r="AL79" s="44">
        <v>112345</v>
      </c>
      <c r="AM79" s="44">
        <v>112346</v>
      </c>
      <c r="AN79" s="44">
        <v>112348</v>
      </c>
      <c r="AO79" s="44">
        <v>112347</v>
      </c>
      <c r="AP79" s="44">
        <v>112349</v>
      </c>
      <c r="AQ79" s="44">
        <v>112350</v>
      </c>
    </row>
    <row r="80" spans="1:55" ht="32.1" customHeight="1">
      <c r="A80" s="98"/>
      <c r="B80" s="79" t="str">
        <f>VLOOKUP(878,Sprachindex!$A:$Z,Info!$O$7,FALSE)</f>
        <v>Stk.</v>
      </c>
      <c r="C80" s="81"/>
      <c r="D80" s="78">
        <f t="shared" si="20"/>
        <v>0</v>
      </c>
      <c r="E80" s="561" t="str">
        <f>VLOOKUP(2190,Sprachindex!$A:$Z,Info!$O$7,FALSE)</f>
        <v>Haken für Schneerechensystem, inkl. Befestigungsmaterial</v>
      </c>
      <c r="F80" s="562"/>
      <c r="G80" s="562"/>
      <c r="H80" s="562"/>
      <c r="I80" s="562"/>
      <c r="J80" s="562"/>
      <c r="K80" s="563"/>
      <c r="L80" s="79" t="str">
        <f t="shared" si="16"/>
        <v/>
      </c>
      <c r="M80" s="433" t="str">
        <f t="shared" si="3"/>
        <v>Stk.</v>
      </c>
      <c r="N80" s="80"/>
      <c r="O80" s="202" t="str">
        <f t="shared" si="17"/>
        <v/>
      </c>
      <c r="P80" s="5"/>
      <c r="Q80" s="5"/>
      <c r="R80" s="200">
        <v>55.82</v>
      </c>
      <c r="S80" s="195"/>
      <c r="T80" s="195"/>
      <c r="U80" s="195"/>
      <c r="V80" s="195"/>
      <c r="W80" s="195"/>
      <c r="X80" s="195"/>
      <c r="Y80" s="195"/>
      <c r="Z80" s="195"/>
      <c r="AA80" s="195"/>
      <c r="AB80" s="1"/>
      <c r="AC80" s="149">
        <f>ROUNDUP($A80/10,0)*10</f>
        <v>0</v>
      </c>
      <c r="AD80" s="149">
        <f t="shared" si="12"/>
        <v>0</v>
      </c>
      <c r="AH80" s="44">
        <v>120180</v>
      </c>
      <c r="AI80" s="44">
        <v>120181</v>
      </c>
      <c r="AJ80" s="44">
        <v>120182</v>
      </c>
      <c r="AK80" s="44">
        <v>120183</v>
      </c>
      <c r="AL80" s="44">
        <v>120184</v>
      </c>
      <c r="AM80" s="44">
        <v>120185</v>
      </c>
      <c r="AN80" s="44">
        <v>120186</v>
      </c>
      <c r="AO80" s="44">
        <v>120187</v>
      </c>
      <c r="AP80" s="44">
        <v>120188</v>
      </c>
      <c r="AQ80" s="44">
        <v>120189</v>
      </c>
    </row>
    <row r="81" spans="1:43" ht="32.1" customHeight="1">
      <c r="A81" s="98"/>
      <c r="B81" s="79" t="str">
        <f>VLOOKUP(878,Sprachindex!$A:$Z,Info!$O$7,FALSE)</f>
        <v>Stk.</v>
      </c>
      <c r="C81" s="81"/>
      <c r="D81" s="78">
        <v>515396</v>
      </c>
      <c r="E81" s="561" t="str">
        <f>VLOOKUP(2191,Sprachindex!$A:$Z,Info!$O$7,FALSE)</f>
        <v>Haken für Schneerechensystem XL, inkl. Befestigungsmaterial</v>
      </c>
      <c r="F81" s="562"/>
      <c r="G81" s="562"/>
      <c r="H81" s="562"/>
      <c r="I81" s="562"/>
      <c r="J81" s="562"/>
      <c r="K81" s="563"/>
      <c r="L81" s="79" t="str">
        <f t="shared" si="16"/>
        <v/>
      </c>
      <c r="M81" s="433" t="str">
        <f t="shared" si="3"/>
        <v>Stk.</v>
      </c>
      <c r="N81" s="80"/>
      <c r="O81" s="202" t="str">
        <f t="shared" si="17"/>
        <v/>
      </c>
      <c r="P81" s="5"/>
      <c r="Q81" s="5"/>
      <c r="R81" s="200">
        <v>97.9</v>
      </c>
      <c r="S81" s="195"/>
      <c r="T81" s="195"/>
      <c r="U81" s="195"/>
      <c r="V81" s="195"/>
      <c r="W81" s="195"/>
      <c r="X81" s="195"/>
      <c r="Y81" s="195"/>
      <c r="Z81" s="195"/>
      <c r="AA81" s="195"/>
      <c r="AB81" s="135"/>
      <c r="AC81" s="149">
        <f>ROUNDUP($A81/18,0)*18</f>
        <v>0</v>
      </c>
      <c r="AD81" s="149">
        <f t="shared" si="12"/>
        <v>0</v>
      </c>
      <c r="AE81" s="145"/>
      <c r="AH81" s="44"/>
      <c r="AI81" s="44"/>
      <c r="AJ81" s="44"/>
      <c r="AK81" s="44"/>
      <c r="AL81" s="44"/>
      <c r="AM81" s="44"/>
      <c r="AN81" s="44"/>
      <c r="AO81" s="44"/>
      <c r="AP81" s="44"/>
      <c r="AQ81" s="44"/>
    </row>
    <row r="82" spans="1:43" ht="32.1" customHeight="1">
      <c r="A82" s="98"/>
      <c r="B82" s="79" t="str">
        <f>VLOOKUP(1512,Sprachindex!$A:$Z,Info!$O$7,FALSE)</f>
        <v>lfm</v>
      </c>
      <c r="C82" s="81"/>
      <c r="D82" s="78">
        <f t="shared" si="20"/>
        <v>0</v>
      </c>
      <c r="E82" s="561" t="str">
        <f>VLOOKUP(793,Sprachindex!$A:$Z,Info!$O$7,FALSE)</f>
        <v>Einlegeprofil (3.000 mm)</v>
      </c>
      <c r="F82" s="562"/>
      <c r="G82" s="562"/>
      <c r="H82" s="562"/>
      <c r="I82" s="562"/>
      <c r="J82" s="562"/>
      <c r="K82" s="563"/>
      <c r="L82" s="79" t="str">
        <f t="shared" si="16"/>
        <v/>
      </c>
      <c r="M82" s="433" t="str">
        <f t="shared" si="3"/>
        <v>lfm</v>
      </c>
      <c r="N82" s="80"/>
      <c r="O82" s="202" t="str">
        <f t="shared" si="17"/>
        <v/>
      </c>
      <c r="P82" s="5"/>
      <c r="Q82" s="5"/>
      <c r="R82" s="200">
        <v>10.71</v>
      </c>
      <c r="S82" s="195"/>
      <c r="T82" s="195"/>
      <c r="U82" s="195"/>
      <c r="V82" s="195"/>
      <c r="W82" s="195"/>
      <c r="X82" s="195"/>
      <c r="Y82" s="195"/>
      <c r="Z82" s="195"/>
      <c r="AA82" s="195"/>
      <c r="AB82" s="1"/>
      <c r="AC82" s="149">
        <f>ROUNDUP($A82/3,0)*3</f>
        <v>0</v>
      </c>
      <c r="AD82" s="149">
        <f>ROUNDUP($A82/3,0)*3</f>
        <v>0</v>
      </c>
      <c r="AH82" s="44">
        <v>120350</v>
      </c>
      <c r="AI82" s="44">
        <v>120351</v>
      </c>
      <c r="AJ82" s="44">
        <v>120352</v>
      </c>
      <c r="AK82" s="44">
        <v>120353</v>
      </c>
      <c r="AL82" s="44">
        <v>120354</v>
      </c>
      <c r="AM82" s="44">
        <v>120355</v>
      </c>
      <c r="AN82" s="44">
        <v>120356</v>
      </c>
      <c r="AO82" s="44">
        <v>120357</v>
      </c>
      <c r="AP82" s="44">
        <v>120358</v>
      </c>
      <c r="AQ82" s="44">
        <v>120359</v>
      </c>
    </row>
    <row r="83" spans="1:43" ht="32.1" customHeight="1">
      <c r="A83" s="98"/>
      <c r="B83" s="79" t="str">
        <f>VLOOKUP(878,Sprachindex!$A:$Z,Info!$O$7,FALSE)</f>
        <v>Stk.</v>
      </c>
      <c r="C83" s="81"/>
      <c r="D83" s="78">
        <f t="shared" si="20"/>
        <v>0</v>
      </c>
      <c r="E83" s="561" t="str">
        <f>VLOOKUP(794,Sprachindex!$A:$Z,Info!$O$7,FALSE)</f>
        <v>Eiskralle</v>
      </c>
      <c r="F83" s="562"/>
      <c r="G83" s="562"/>
      <c r="H83" s="562"/>
      <c r="I83" s="562"/>
      <c r="J83" s="562"/>
      <c r="K83" s="563"/>
      <c r="L83" s="79" t="str">
        <f t="shared" si="16"/>
        <v/>
      </c>
      <c r="M83" s="433" t="str">
        <f t="shared" si="3"/>
        <v>Stk.</v>
      </c>
      <c r="N83" s="80"/>
      <c r="O83" s="202" t="str">
        <f t="shared" si="17"/>
        <v/>
      </c>
      <c r="P83" s="5"/>
      <c r="Q83" s="5"/>
      <c r="R83" s="200">
        <v>4.6399999999999997</v>
      </c>
      <c r="S83" s="195"/>
      <c r="T83" s="195"/>
      <c r="U83" s="195"/>
      <c r="V83" s="195"/>
      <c r="W83" s="195"/>
      <c r="X83" s="195"/>
      <c r="Y83" s="195"/>
      <c r="Z83" s="195"/>
      <c r="AA83" s="195"/>
      <c r="AB83" s="1"/>
      <c r="AC83" s="149">
        <f>ROUNDUP($A83/100,0)*100</f>
        <v>0</v>
      </c>
      <c r="AD83" s="149">
        <f t="shared" ref="AD83:AD92" si="21">ROUNDUP($A83,0)</f>
        <v>0</v>
      </c>
      <c r="AH83" s="44">
        <v>120700</v>
      </c>
      <c r="AI83" s="44">
        <v>120701</v>
      </c>
      <c r="AJ83" s="44">
        <v>120702</v>
      </c>
      <c r="AK83" s="44">
        <v>120703</v>
      </c>
      <c r="AL83" s="44">
        <v>120704</v>
      </c>
      <c r="AM83" s="44">
        <v>120705</v>
      </c>
      <c r="AN83" s="44">
        <v>120706</v>
      </c>
      <c r="AO83" s="44">
        <v>120707</v>
      </c>
      <c r="AP83" s="44">
        <v>120708</v>
      </c>
      <c r="AQ83" s="44">
        <v>120709</v>
      </c>
    </row>
    <row r="84" spans="1:43" ht="32.1" customHeight="1">
      <c r="A84" s="98"/>
      <c r="B84" s="79" t="str">
        <f>VLOOKUP(878,Sprachindex!$A:$Z,Info!$O$7,FALSE)</f>
        <v>Stk.</v>
      </c>
      <c r="C84" s="81"/>
      <c r="D84" s="78">
        <f t="shared" si="20"/>
        <v>0</v>
      </c>
      <c r="E84" s="561" t="str">
        <f>VLOOKUP(791,Sprachindex!$A:$Z,Info!$O$7,FALSE)</f>
        <v>Abschluss für Schneerechensystem</v>
      </c>
      <c r="F84" s="562"/>
      <c r="G84" s="562"/>
      <c r="H84" s="562"/>
      <c r="I84" s="562"/>
      <c r="J84" s="562"/>
      <c r="K84" s="563"/>
      <c r="L84" s="79" t="str">
        <f t="shared" si="16"/>
        <v/>
      </c>
      <c r="M84" s="433" t="str">
        <f t="shared" si="3"/>
        <v>Stk.</v>
      </c>
      <c r="N84" s="80"/>
      <c r="O84" s="202" t="str">
        <f t="shared" si="17"/>
        <v/>
      </c>
      <c r="P84" s="5"/>
      <c r="Q84" s="5"/>
      <c r="R84" s="200">
        <v>6.33</v>
      </c>
      <c r="S84" s="195"/>
      <c r="T84" s="195"/>
      <c r="U84" s="195"/>
      <c r="V84" s="195"/>
      <c r="W84" s="195"/>
      <c r="X84" s="195"/>
      <c r="Y84" s="195"/>
      <c r="Z84" s="195"/>
      <c r="AA84" s="195"/>
      <c r="AB84" s="1"/>
      <c r="AC84" s="149">
        <f>ROUNDUP($A84/2,0)*2</f>
        <v>0</v>
      </c>
      <c r="AD84" s="149">
        <f t="shared" si="21"/>
        <v>0</v>
      </c>
      <c r="AH84" s="44">
        <v>120390</v>
      </c>
      <c r="AI84" s="44">
        <v>120391</v>
      </c>
      <c r="AJ84" s="44">
        <v>120392</v>
      </c>
      <c r="AK84" s="44">
        <v>120393</v>
      </c>
      <c r="AL84" s="44">
        <v>120394</v>
      </c>
      <c r="AM84" s="44">
        <v>120395</v>
      </c>
      <c r="AN84" s="44">
        <v>120396</v>
      </c>
      <c r="AO84" s="44">
        <v>120397</v>
      </c>
      <c r="AP84" s="44">
        <v>120398</v>
      </c>
      <c r="AQ84" s="44">
        <v>120399</v>
      </c>
    </row>
    <row r="85" spans="1:43" ht="32.1" customHeight="1">
      <c r="A85" s="98"/>
      <c r="B85" s="79" t="str">
        <f>VLOOKUP(878,Sprachindex!$A:$Z,Info!$O$7,FALSE)</f>
        <v>Stk.</v>
      </c>
      <c r="C85" s="81"/>
      <c r="D85" s="78">
        <v>515395</v>
      </c>
      <c r="E85" s="561" t="str">
        <f>VLOOKUP(2192,Sprachindex!$A:$Z,Info!$O$7,FALSE)</f>
        <v>Abschluss für Schneerechensystem XL</v>
      </c>
      <c r="F85" s="562"/>
      <c r="G85" s="562"/>
      <c r="H85" s="562"/>
      <c r="I85" s="562"/>
      <c r="J85" s="562"/>
      <c r="K85" s="563"/>
      <c r="L85" s="79" t="str">
        <f t="shared" si="16"/>
        <v/>
      </c>
      <c r="M85" s="433" t="str">
        <f t="shared" si="3"/>
        <v>Stk.</v>
      </c>
      <c r="N85" s="80"/>
      <c r="O85" s="202" t="str">
        <f t="shared" si="17"/>
        <v/>
      </c>
      <c r="P85" s="5"/>
      <c r="Q85" s="5"/>
      <c r="R85" s="200">
        <v>8.3000000000000007</v>
      </c>
      <c r="S85" s="195"/>
      <c r="T85" s="195"/>
      <c r="U85" s="195"/>
      <c r="V85" s="195"/>
      <c r="W85" s="195"/>
      <c r="X85" s="195"/>
      <c r="Y85" s="195"/>
      <c r="Z85" s="195"/>
      <c r="AA85" s="195"/>
      <c r="AB85" s="135"/>
      <c r="AC85" s="149">
        <f>ROUNDUP($A85/18,0)*18</f>
        <v>0</v>
      </c>
      <c r="AD85" s="149">
        <f t="shared" si="21"/>
        <v>0</v>
      </c>
      <c r="AE85" s="145"/>
      <c r="AH85" s="44"/>
      <c r="AI85" s="44"/>
      <c r="AJ85" s="44"/>
      <c r="AK85" s="44"/>
      <c r="AL85" s="44"/>
      <c r="AM85" s="44"/>
      <c r="AN85" s="44"/>
      <c r="AO85" s="44"/>
      <c r="AP85" s="44"/>
      <c r="AQ85" s="44"/>
    </row>
    <row r="86" spans="1:43" ht="32.1" customHeight="1">
      <c r="A86" s="98"/>
      <c r="B86" s="79" t="str">
        <f>VLOOKUP(878,Sprachindex!$A:$Z,Info!$O$7,FALSE)</f>
        <v>Stk.</v>
      </c>
      <c r="C86" s="81"/>
      <c r="D86" s="78">
        <f t="shared" si="20"/>
        <v>0</v>
      </c>
      <c r="E86" s="561" t="str">
        <f>VLOOKUP(424,Sprachindex!$A:$Z,Info!$O$7,FALSE)</f>
        <v>Gebirgsschneefangstütze</v>
      </c>
      <c r="F86" s="562"/>
      <c r="G86" s="562"/>
      <c r="H86" s="562"/>
      <c r="I86" s="562"/>
      <c r="J86" s="562"/>
      <c r="K86" s="563"/>
      <c r="L86" s="79" t="str">
        <f t="shared" si="16"/>
        <v/>
      </c>
      <c r="M86" s="433" t="str">
        <f t="shared" si="3"/>
        <v>Stk.</v>
      </c>
      <c r="N86" s="80"/>
      <c r="O86" s="202" t="str">
        <f t="shared" si="17"/>
        <v/>
      </c>
      <c r="P86" s="5"/>
      <c r="Q86" s="5"/>
      <c r="R86" s="200">
        <v>55.82</v>
      </c>
      <c r="S86" s="195"/>
      <c r="T86" s="195"/>
      <c r="U86" s="195"/>
      <c r="V86" s="195"/>
      <c r="W86" s="195"/>
      <c r="X86" s="195"/>
      <c r="Y86" s="195"/>
      <c r="Z86" s="195"/>
      <c r="AA86" s="195"/>
      <c r="AB86" s="1"/>
      <c r="AC86" s="149">
        <f>ROUNDUP($A86/2,0)*2</f>
        <v>0</v>
      </c>
      <c r="AD86" s="149">
        <f t="shared" si="21"/>
        <v>0</v>
      </c>
      <c r="AH86" s="44">
        <v>120150</v>
      </c>
      <c r="AI86" s="44">
        <v>120151</v>
      </c>
      <c r="AJ86" s="44">
        <v>120152</v>
      </c>
      <c r="AK86" s="44">
        <v>120153</v>
      </c>
      <c r="AL86" s="44">
        <v>120154</v>
      </c>
      <c r="AM86" s="44">
        <v>120155</v>
      </c>
      <c r="AN86" s="44">
        <v>120156</v>
      </c>
      <c r="AO86" s="44">
        <v>120157</v>
      </c>
      <c r="AP86" s="44">
        <v>120158</v>
      </c>
      <c r="AQ86" s="44">
        <v>120159</v>
      </c>
    </row>
    <row r="87" spans="1:43" ht="32.1" customHeight="1">
      <c r="A87" s="98"/>
      <c r="B87" s="79" t="str">
        <f>VLOOKUP(878,Sprachindex!$A:$Z,Info!$O$7,FALSE)</f>
        <v>Stk.</v>
      </c>
      <c r="C87" s="81"/>
      <c r="D87" s="78">
        <f t="shared" si="20"/>
        <v>0</v>
      </c>
      <c r="E87" s="561" t="str">
        <f>VLOOKUP(510,Sprachindex!$A:$Z,Info!$O$7,FALSE)</f>
        <v>Kaminhut (700 × 700 mm)</v>
      </c>
      <c r="F87" s="562"/>
      <c r="G87" s="562"/>
      <c r="H87" s="562"/>
      <c r="I87" s="562"/>
      <c r="J87" s="562"/>
      <c r="K87" s="563"/>
      <c r="L87" s="79" t="str">
        <f t="shared" si="16"/>
        <v/>
      </c>
      <c r="M87" s="433" t="str">
        <f t="shared" si="3"/>
        <v>Stk.</v>
      </c>
      <c r="N87" s="80"/>
      <c r="O87" s="202" t="str">
        <f t="shared" si="17"/>
        <v/>
      </c>
      <c r="P87" s="5"/>
      <c r="Q87" s="5"/>
      <c r="R87" s="200">
        <v>152.69999999999999</v>
      </c>
      <c r="S87" s="195"/>
      <c r="T87" s="195"/>
      <c r="U87" s="195"/>
      <c r="V87" s="195"/>
      <c r="W87" s="195"/>
      <c r="X87" s="195"/>
      <c r="Y87" s="195"/>
      <c r="Z87" s="195"/>
      <c r="AA87" s="195"/>
      <c r="AB87" s="1"/>
      <c r="AC87" s="149">
        <f>ROUNDUP($A87,0)</f>
        <v>0</v>
      </c>
      <c r="AD87" s="149">
        <f t="shared" si="21"/>
        <v>0</v>
      </c>
      <c r="AH87" s="44">
        <v>110420</v>
      </c>
      <c r="AI87" s="44">
        <v>110421</v>
      </c>
      <c r="AJ87" s="44">
        <v>110422</v>
      </c>
      <c r="AK87" s="44">
        <v>110423</v>
      </c>
      <c r="AL87" s="44">
        <v>110424</v>
      </c>
      <c r="AM87" s="44">
        <v>110425</v>
      </c>
      <c r="AN87" s="44">
        <v>110426</v>
      </c>
      <c r="AO87" s="44">
        <v>110427</v>
      </c>
      <c r="AP87" s="44">
        <v>110428</v>
      </c>
      <c r="AQ87" s="44">
        <v>110429</v>
      </c>
    </row>
    <row r="88" spans="1:43" ht="32.1" customHeight="1">
      <c r="A88" s="98"/>
      <c r="B88" s="79" t="str">
        <f>VLOOKUP(878,Sprachindex!$A:$Z,Info!$O$7,FALSE)</f>
        <v>Stk.</v>
      </c>
      <c r="C88" s="81"/>
      <c r="D88" s="78">
        <f t="shared" si="20"/>
        <v>0</v>
      </c>
      <c r="E88" s="561" t="str">
        <f>VLOOKUP(511,Sprachindex!$A:$Z,Info!$O$7,FALSE)</f>
        <v>Kaminhut (800 × 800 mm)</v>
      </c>
      <c r="F88" s="562"/>
      <c r="G88" s="562"/>
      <c r="H88" s="562"/>
      <c r="I88" s="562"/>
      <c r="J88" s="562"/>
      <c r="K88" s="563"/>
      <c r="L88" s="79" t="str">
        <f t="shared" si="16"/>
        <v/>
      </c>
      <c r="M88" s="433" t="str">
        <f t="shared" si="3"/>
        <v>Stk.</v>
      </c>
      <c r="N88" s="80"/>
      <c r="O88" s="202" t="str">
        <f t="shared" si="17"/>
        <v/>
      </c>
      <c r="P88" s="5"/>
      <c r="Q88" s="5"/>
      <c r="R88" s="200">
        <v>165</v>
      </c>
      <c r="S88" s="195"/>
      <c r="T88" s="195"/>
      <c r="U88" s="195"/>
      <c r="V88" s="195"/>
      <c r="W88" s="195"/>
      <c r="X88" s="195"/>
      <c r="Y88" s="195"/>
      <c r="Z88" s="195"/>
      <c r="AA88" s="195"/>
      <c r="AB88" s="1"/>
      <c r="AC88" s="149">
        <f>ROUNDUP($A88,0)</f>
        <v>0</v>
      </c>
      <c r="AD88" s="149">
        <f t="shared" si="21"/>
        <v>0</v>
      </c>
      <c r="AH88" s="44">
        <v>110430</v>
      </c>
      <c r="AI88" s="44">
        <v>110431</v>
      </c>
      <c r="AJ88" s="44">
        <v>110432</v>
      </c>
      <c r="AK88" s="44">
        <v>110433</v>
      </c>
      <c r="AL88" s="44">
        <v>110434</v>
      </c>
      <c r="AM88" s="44">
        <v>110435</v>
      </c>
      <c r="AN88" s="44">
        <v>110436</v>
      </c>
      <c r="AO88" s="44">
        <v>110437</v>
      </c>
      <c r="AP88" s="44">
        <v>110438</v>
      </c>
      <c r="AQ88" s="44">
        <v>110439</v>
      </c>
    </row>
    <row r="89" spans="1:43" ht="32.1" customHeight="1">
      <c r="A89" s="98"/>
      <c r="B89" s="79" t="str">
        <f>VLOOKUP(878,Sprachindex!$A:$Z,Info!$O$7,FALSE)</f>
        <v>Stk.</v>
      </c>
      <c r="C89" s="81"/>
      <c r="D89" s="78">
        <f t="shared" si="20"/>
        <v>0</v>
      </c>
      <c r="E89" s="561" t="str">
        <f>VLOOKUP(507,Sprachindex!$A:$Z,Info!$O$7,FALSE)</f>
        <v>Kaminhut (1.000 × 700 mm)</v>
      </c>
      <c r="F89" s="562"/>
      <c r="G89" s="562"/>
      <c r="H89" s="562"/>
      <c r="I89" s="562"/>
      <c r="J89" s="562"/>
      <c r="K89" s="563"/>
      <c r="L89" s="79" t="str">
        <f t="shared" si="16"/>
        <v/>
      </c>
      <c r="M89" s="433" t="str">
        <f t="shared" si="3"/>
        <v>Stk.</v>
      </c>
      <c r="N89" s="80"/>
      <c r="O89" s="202" t="str">
        <f t="shared" si="17"/>
        <v/>
      </c>
      <c r="P89" s="5"/>
      <c r="Q89" s="5"/>
      <c r="R89" s="200">
        <v>165.6</v>
      </c>
      <c r="S89" s="195"/>
      <c r="T89" s="195"/>
      <c r="U89" s="195"/>
      <c r="V89" s="195"/>
      <c r="W89" s="195"/>
      <c r="X89" s="195"/>
      <c r="Y89" s="195"/>
      <c r="Z89" s="195"/>
      <c r="AA89" s="195"/>
      <c r="AB89" s="1"/>
      <c r="AC89" s="149">
        <f>ROUNDUP($A89,0)</f>
        <v>0</v>
      </c>
      <c r="AD89" s="149">
        <f t="shared" si="21"/>
        <v>0</v>
      </c>
      <c r="AH89" s="44">
        <v>110440</v>
      </c>
      <c r="AI89" s="44">
        <v>110441</v>
      </c>
      <c r="AJ89" s="44">
        <v>110442</v>
      </c>
      <c r="AK89" s="44">
        <v>110443</v>
      </c>
      <c r="AL89" s="44">
        <v>110444</v>
      </c>
      <c r="AM89" s="44">
        <v>110445</v>
      </c>
      <c r="AN89" s="44">
        <v>110446</v>
      </c>
      <c r="AO89" s="44">
        <v>110447</v>
      </c>
      <c r="AP89" s="44">
        <v>110448</v>
      </c>
      <c r="AQ89" s="44">
        <v>110449</v>
      </c>
    </row>
    <row r="90" spans="1:43" ht="32.1" customHeight="1">
      <c r="A90" s="98"/>
      <c r="B90" s="79" t="str">
        <f>VLOOKUP(878,Sprachindex!$A:$Z,Info!$O$7,FALSE)</f>
        <v>Stk.</v>
      </c>
      <c r="C90" s="81"/>
      <c r="D90" s="78">
        <f t="shared" si="20"/>
        <v>0</v>
      </c>
      <c r="E90" s="561" t="str">
        <f>VLOOKUP(508,Sprachindex!$A:$Z,Info!$O$7,FALSE)</f>
        <v>Kaminhut (1.100 × 800 mm)</v>
      </c>
      <c r="F90" s="562"/>
      <c r="G90" s="562"/>
      <c r="H90" s="562"/>
      <c r="I90" s="562"/>
      <c r="J90" s="562"/>
      <c r="K90" s="563"/>
      <c r="L90" s="79" t="str">
        <f t="shared" si="16"/>
        <v/>
      </c>
      <c r="M90" s="433" t="str">
        <f t="shared" si="3"/>
        <v>Stk.</v>
      </c>
      <c r="N90" s="80"/>
      <c r="O90" s="202" t="str">
        <f t="shared" si="17"/>
        <v/>
      </c>
      <c r="P90" s="5"/>
      <c r="Q90" s="5"/>
      <c r="R90" s="200">
        <v>198.5</v>
      </c>
      <c r="S90" s="195"/>
      <c r="T90" s="195"/>
      <c r="U90" s="195"/>
      <c r="V90" s="195"/>
      <c r="W90" s="195"/>
      <c r="X90" s="195"/>
      <c r="Y90" s="195"/>
      <c r="Z90" s="195"/>
      <c r="AA90" s="195"/>
      <c r="AB90" s="1"/>
      <c r="AC90" s="149">
        <f>ROUNDUP($A90,0)</f>
        <v>0</v>
      </c>
      <c r="AD90" s="149">
        <f t="shared" si="21"/>
        <v>0</v>
      </c>
      <c r="AH90" s="44">
        <v>110450</v>
      </c>
      <c r="AI90" s="44">
        <v>110451</v>
      </c>
      <c r="AJ90" s="44">
        <v>110452</v>
      </c>
      <c r="AK90" s="44">
        <v>110453</v>
      </c>
      <c r="AL90" s="44">
        <v>110454</v>
      </c>
      <c r="AM90" s="44">
        <v>110455</v>
      </c>
      <c r="AN90" s="44">
        <v>110456</v>
      </c>
      <c r="AO90" s="44">
        <v>110457</v>
      </c>
      <c r="AP90" s="44">
        <v>110458</v>
      </c>
      <c r="AQ90" s="44">
        <v>110459</v>
      </c>
    </row>
    <row r="91" spans="1:43" ht="32.1" customHeight="1">
      <c r="A91" s="98"/>
      <c r="B91" s="79" t="str">
        <f>VLOOKUP(878,Sprachindex!$A:$Z,Info!$O$7,FALSE)</f>
        <v>Stk.</v>
      </c>
      <c r="C91" s="81"/>
      <c r="D91" s="78">
        <f t="shared" si="20"/>
        <v>0</v>
      </c>
      <c r="E91" s="561" t="str">
        <f>VLOOKUP(509,Sprachindex!$A:$Z,Info!$O$7,FALSE)</f>
        <v>Kaminhut (1.500 × 800 mm)</v>
      </c>
      <c r="F91" s="562"/>
      <c r="G91" s="562"/>
      <c r="H91" s="562"/>
      <c r="I91" s="562"/>
      <c r="J91" s="562"/>
      <c r="K91" s="563"/>
      <c r="L91" s="79" t="str">
        <f t="shared" si="16"/>
        <v/>
      </c>
      <c r="M91" s="433" t="str">
        <f t="shared" si="3"/>
        <v>Stk.</v>
      </c>
      <c r="N91" s="80"/>
      <c r="O91" s="202" t="str">
        <f t="shared" si="17"/>
        <v/>
      </c>
      <c r="P91" s="5"/>
      <c r="Q91" s="5"/>
      <c r="R91" s="200">
        <v>271.39999999999998</v>
      </c>
      <c r="S91" s="195"/>
      <c r="T91" s="195"/>
      <c r="U91" s="195"/>
      <c r="V91" s="195"/>
      <c r="W91" s="195"/>
      <c r="X91" s="195"/>
      <c r="Y91" s="195"/>
      <c r="Z91" s="195"/>
      <c r="AA91" s="195"/>
      <c r="AB91" s="1"/>
      <c r="AC91" s="149">
        <f>ROUNDUP($A91,0)</f>
        <v>0</v>
      </c>
      <c r="AD91" s="149">
        <f t="shared" si="21"/>
        <v>0</v>
      </c>
      <c r="AH91" s="44">
        <v>110460</v>
      </c>
      <c r="AI91" s="44">
        <v>110461</v>
      </c>
      <c r="AJ91" s="44">
        <v>110462</v>
      </c>
      <c r="AK91" s="44">
        <v>110463</v>
      </c>
      <c r="AL91" s="44">
        <v>110464</v>
      </c>
      <c r="AM91" s="44">
        <v>110465</v>
      </c>
      <c r="AN91" s="44">
        <v>110466</v>
      </c>
      <c r="AO91" s="44">
        <v>110467</v>
      </c>
      <c r="AP91" s="44">
        <v>110468</v>
      </c>
      <c r="AQ91" s="44">
        <v>110469</v>
      </c>
    </row>
    <row r="92" spans="1:43" ht="32.1" customHeight="1">
      <c r="A92" s="98"/>
      <c r="B92" s="79" t="str">
        <f>VLOOKUP(878,Sprachindex!$A:$Z,Info!$O$7,FALSE)</f>
        <v>Stk.</v>
      </c>
      <c r="C92" s="78"/>
      <c r="D92" s="78">
        <f t="shared" si="20"/>
        <v>0</v>
      </c>
      <c r="E92" s="561" t="str">
        <f>VLOOKUP(512,Sprachindex!$A:$Z,Info!$O$7,FALSE)</f>
        <v>Kaminstrebe gebogen</v>
      </c>
      <c r="F92" s="562"/>
      <c r="G92" s="562"/>
      <c r="H92" s="562"/>
      <c r="I92" s="562"/>
      <c r="J92" s="562"/>
      <c r="K92" s="563"/>
      <c r="L92" s="79" t="str">
        <f t="shared" si="16"/>
        <v/>
      </c>
      <c r="M92" s="433" t="str">
        <f t="shared" si="3"/>
        <v>Stk.</v>
      </c>
      <c r="N92" s="80"/>
      <c r="O92" s="202" t="str">
        <f t="shared" si="17"/>
        <v/>
      </c>
      <c r="P92" s="5"/>
      <c r="Q92" s="5"/>
      <c r="R92" s="200">
        <v>16.77</v>
      </c>
      <c r="S92" s="195"/>
      <c r="T92" s="195"/>
      <c r="U92" s="195"/>
      <c r="V92" s="195"/>
      <c r="W92" s="195"/>
      <c r="X92" s="195"/>
      <c r="Y92" s="195"/>
      <c r="Z92" s="195"/>
      <c r="AA92" s="195"/>
      <c r="AB92" s="1"/>
      <c r="AC92" s="149">
        <f>ROUNDUP($A92/10,0)*10</f>
        <v>0</v>
      </c>
      <c r="AD92" s="149">
        <f t="shared" si="21"/>
        <v>0</v>
      </c>
      <c r="AH92" s="44">
        <v>110410</v>
      </c>
      <c r="AI92" s="44">
        <v>110411</v>
      </c>
      <c r="AJ92" s="44">
        <v>110412</v>
      </c>
      <c r="AK92" s="44">
        <v>110413</v>
      </c>
      <c r="AL92" s="44">
        <v>110414</v>
      </c>
      <c r="AM92" s="44">
        <v>110415</v>
      </c>
      <c r="AN92" s="44">
        <v>110416</v>
      </c>
      <c r="AO92" s="44">
        <v>110417</v>
      </c>
      <c r="AP92" s="44">
        <v>110418</v>
      </c>
      <c r="AQ92" s="44">
        <v>110419</v>
      </c>
    </row>
    <row r="93" spans="1:43" ht="32.1" customHeight="1">
      <c r="A93" s="98"/>
      <c r="B93" s="79" t="str">
        <f>VLOOKUP(1512,Sprachindex!$A:$Z,Info!$O$7,FALSE)</f>
        <v>lfm</v>
      </c>
      <c r="C93" s="81"/>
      <c r="D93" s="78">
        <f t="shared" si="20"/>
        <v>0</v>
      </c>
      <c r="E93" s="561" t="str">
        <f>VLOOKUP(402,Sprachindex!$A:$Z,Info!$O$7,FALSE)</f>
        <v>Flachprofil (35 × 7 × 3.000 mm)</v>
      </c>
      <c r="F93" s="562"/>
      <c r="G93" s="562"/>
      <c r="H93" s="562"/>
      <c r="I93" s="562"/>
      <c r="J93" s="562"/>
      <c r="K93" s="563"/>
      <c r="L93" s="79" t="str">
        <f t="shared" si="16"/>
        <v/>
      </c>
      <c r="M93" s="433" t="str">
        <f t="shared" si="3"/>
        <v>lfm</v>
      </c>
      <c r="N93" s="80"/>
      <c r="O93" s="202" t="str">
        <f t="shared" si="17"/>
        <v/>
      </c>
      <c r="P93" s="5"/>
      <c r="Q93" s="5"/>
      <c r="R93" s="200">
        <v>11.32</v>
      </c>
      <c r="S93" s="195"/>
      <c r="T93" s="195"/>
      <c r="U93" s="195"/>
      <c r="V93" s="195"/>
      <c r="W93" s="195"/>
      <c r="X93" s="195"/>
      <c r="Y93" s="195"/>
      <c r="Z93" s="195"/>
      <c r="AA93" s="195"/>
      <c r="AB93" s="1"/>
      <c r="AC93" s="149">
        <f>ROUNDUP($A93/3,0)*3</f>
        <v>0</v>
      </c>
      <c r="AD93" s="149">
        <f>ROUNDUP($A93/3,0)*3</f>
        <v>0</v>
      </c>
      <c r="AH93" s="44">
        <v>110400</v>
      </c>
      <c r="AI93" s="44">
        <v>110401</v>
      </c>
      <c r="AJ93" s="44">
        <v>110402</v>
      </c>
      <c r="AK93" s="44">
        <v>110403</v>
      </c>
      <c r="AL93" s="44">
        <v>110404</v>
      </c>
      <c r="AM93" s="44">
        <v>110405</v>
      </c>
      <c r="AN93" s="44">
        <v>110406</v>
      </c>
      <c r="AO93" s="44">
        <v>110407</v>
      </c>
      <c r="AP93" s="44">
        <v>110408</v>
      </c>
      <c r="AQ93" s="117" t="s">
        <v>74</v>
      </c>
    </row>
    <row r="94" spans="1:43" ht="32.1" customHeight="1">
      <c r="A94" s="98"/>
      <c r="B94" s="79" t="str">
        <f>VLOOKUP(878,Sprachindex!$A:$Z,Info!$O$7,FALSE)</f>
        <v>Stk.</v>
      </c>
      <c r="C94" s="81"/>
      <c r="D94" s="78">
        <f t="shared" si="20"/>
        <v>0</v>
      </c>
      <c r="E94" s="561" t="str">
        <f>VLOOKUP(459,Sprachindex!$A:$Z,Info!$O$7,FALSE)</f>
        <v>Hauerbuckel; zum Abdecken von Befestigungsmitteln</v>
      </c>
      <c r="F94" s="562"/>
      <c r="G94" s="562"/>
      <c r="H94" s="562"/>
      <c r="I94" s="562"/>
      <c r="J94" s="562"/>
      <c r="K94" s="563"/>
      <c r="L94" s="79" t="str">
        <f t="shared" si="16"/>
        <v/>
      </c>
      <c r="M94" s="433" t="str">
        <f t="shared" si="3"/>
        <v>Stk.</v>
      </c>
      <c r="N94" s="80"/>
      <c r="O94" s="202" t="str">
        <f t="shared" si="17"/>
        <v/>
      </c>
      <c r="P94" s="5"/>
      <c r="Q94" s="5"/>
      <c r="R94" s="200">
        <v>2.06</v>
      </c>
      <c r="S94" s="195"/>
      <c r="T94" s="195"/>
      <c r="U94" s="195"/>
      <c r="V94" s="195"/>
      <c r="W94" s="195"/>
      <c r="X94" s="195"/>
      <c r="Y94" s="195"/>
      <c r="Z94" s="195"/>
      <c r="AA94" s="195"/>
      <c r="AB94" s="1"/>
      <c r="AC94" s="149">
        <f>ROUNDUP($A94,0)</f>
        <v>0</v>
      </c>
      <c r="AD94" s="149">
        <f>ROUNDUP($A94,0)</f>
        <v>0</v>
      </c>
      <c r="AH94" s="44">
        <v>112401</v>
      </c>
      <c r="AI94" s="44">
        <v>112402</v>
      </c>
      <c r="AJ94" s="44">
        <v>112403</v>
      </c>
      <c r="AK94" s="44">
        <v>112404</v>
      </c>
      <c r="AL94" s="44">
        <v>112405</v>
      </c>
      <c r="AM94" s="44">
        <v>112406</v>
      </c>
      <c r="AN94" s="44">
        <v>112407</v>
      </c>
      <c r="AO94" s="44">
        <v>112408</v>
      </c>
      <c r="AP94" s="44">
        <v>112409</v>
      </c>
      <c r="AQ94" s="44">
        <v>112410</v>
      </c>
    </row>
    <row r="95" spans="1:43" ht="32.1" customHeight="1">
      <c r="A95" s="98"/>
      <c r="B95" s="79" t="str">
        <f>VLOOKUP(878,Sprachindex!$A:$Z,Info!$O$7,FALSE)</f>
        <v>Stk.</v>
      </c>
      <c r="C95" s="81"/>
      <c r="D95" s="78">
        <v>340404</v>
      </c>
      <c r="E95" s="561" t="str">
        <f>VLOOKUP(1422,Sprachindex!$A:$Z,Info!$O$7,FALSE)</f>
        <v>Dachleitungshalter für Blitzschutzdraht</v>
      </c>
      <c r="F95" s="562"/>
      <c r="G95" s="562"/>
      <c r="H95" s="562"/>
      <c r="I95" s="562"/>
      <c r="J95" s="562"/>
      <c r="K95" s="563"/>
      <c r="L95" s="79" t="str">
        <f t="shared" si="16"/>
        <v/>
      </c>
      <c r="M95" s="433" t="str">
        <f t="shared" si="3"/>
        <v>Stk.</v>
      </c>
      <c r="N95" s="80"/>
      <c r="O95" s="202" t="str">
        <f t="shared" si="17"/>
        <v/>
      </c>
      <c r="P95" s="5"/>
      <c r="Q95" s="5"/>
      <c r="R95" s="200">
        <v>7.16</v>
      </c>
      <c r="S95" s="195"/>
      <c r="T95" s="195"/>
      <c r="U95" s="195"/>
      <c r="V95" s="195"/>
      <c r="W95" s="195"/>
      <c r="X95" s="195"/>
      <c r="Y95" s="195"/>
      <c r="Z95" s="195"/>
      <c r="AA95" s="195"/>
      <c r="AB95" s="1"/>
      <c r="AC95" s="149">
        <f>ROUNDUP($A95/50,0)*50</f>
        <v>0</v>
      </c>
      <c r="AD95" s="149">
        <f t="shared" ref="AD95:AE103" si="22">ROUNDUP($A95,0)</f>
        <v>0</v>
      </c>
      <c r="AH95" s="125"/>
      <c r="AI95" s="125"/>
      <c r="AJ95" s="125"/>
      <c r="AK95" s="125"/>
      <c r="AL95" s="125"/>
      <c r="AM95" s="125"/>
      <c r="AN95" s="125"/>
      <c r="AO95" s="125"/>
      <c r="AP95" s="125"/>
      <c r="AQ95" s="125"/>
    </row>
    <row r="96" spans="1:43" ht="32.1" customHeight="1">
      <c r="A96" s="98"/>
      <c r="B96" s="79" t="str">
        <f>VLOOKUP(878,Sprachindex!$A:$Z,Info!$O$7,FALSE)</f>
        <v>Stk.</v>
      </c>
      <c r="C96" s="78"/>
      <c r="D96" s="78">
        <v>420501</v>
      </c>
      <c r="E96" s="581" t="str">
        <f>VLOOKUP(851,Sprachindex!$A:$Z,Info!$O$7,FALSE)</f>
        <v>Spezialkleber</v>
      </c>
      <c r="F96" s="582"/>
      <c r="G96" s="582"/>
      <c r="H96" s="582"/>
      <c r="I96" s="582"/>
      <c r="J96" s="582"/>
      <c r="K96" s="583"/>
      <c r="L96" s="79" t="str">
        <f t="shared" si="16"/>
        <v/>
      </c>
      <c r="M96" s="433" t="str">
        <f t="shared" si="3"/>
        <v>Stk.</v>
      </c>
      <c r="N96" s="80"/>
      <c r="O96" s="202" t="str">
        <f t="shared" si="17"/>
        <v/>
      </c>
      <c r="P96" s="5"/>
      <c r="Q96" s="5"/>
      <c r="R96" s="200">
        <v>39.130000000000003</v>
      </c>
      <c r="S96" s="195"/>
      <c r="T96" s="195"/>
      <c r="U96" s="195"/>
      <c r="V96" s="195"/>
      <c r="W96" s="195"/>
      <c r="X96" s="195"/>
      <c r="Y96" s="195"/>
      <c r="Z96" s="195"/>
      <c r="AA96" s="195"/>
      <c r="AB96" s="1"/>
      <c r="AC96" s="149">
        <f>ROUNDUP($A96/24,0)*24</f>
        <v>0</v>
      </c>
      <c r="AD96" s="149">
        <f t="shared" si="22"/>
        <v>0</v>
      </c>
    </row>
    <row r="97" spans="1:53" ht="32.1" customHeight="1">
      <c r="A97" s="98"/>
      <c r="B97" s="79" t="str">
        <f>VLOOKUP(821,Sprachindex!$A:$Z,Info!$O$7,FALSE)</f>
        <v>Set</v>
      </c>
      <c r="C97" s="81"/>
      <c r="D97" s="78">
        <v>420500</v>
      </c>
      <c r="E97" s="561" t="str">
        <f>VLOOKUP(852,Sprachindex!$A:$Z,Info!$O$7,FALSE)</f>
        <v>Spezialkleberset</v>
      </c>
      <c r="F97" s="562"/>
      <c r="G97" s="562"/>
      <c r="H97" s="562"/>
      <c r="I97" s="562"/>
      <c r="J97" s="562"/>
      <c r="K97" s="563"/>
      <c r="L97" s="79" t="str">
        <f t="shared" si="16"/>
        <v/>
      </c>
      <c r="M97" s="433" t="str">
        <f t="shared" ref="M97:M103" si="23">B97</f>
        <v>Set</v>
      </c>
      <c r="N97" s="80"/>
      <c r="O97" s="202" t="str">
        <f t="shared" si="17"/>
        <v/>
      </c>
      <c r="P97" s="5"/>
      <c r="Q97" s="5"/>
      <c r="R97" s="200">
        <v>53.57</v>
      </c>
      <c r="S97" s="195"/>
      <c r="T97" s="195"/>
      <c r="U97" s="195"/>
      <c r="V97" s="195"/>
      <c r="W97" s="195"/>
      <c r="X97" s="195"/>
      <c r="Y97" s="195"/>
      <c r="Z97" s="195"/>
      <c r="AA97" s="195"/>
      <c r="AB97" s="1"/>
      <c r="AC97" s="149">
        <f>ROUNDUP($A97,0)</f>
        <v>0</v>
      </c>
      <c r="AD97" s="149">
        <f t="shared" si="22"/>
        <v>0</v>
      </c>
    </row>
    <row r="98" spans="1:53" ht="32.1" customHeight="1">
      <c r="A98" s="98"/>
      <c r="B98" s="79" t="str">
        <f>VLOOKUP(878,Sprachindex!$A:$Z,Info!$O$7,FALSE)</f>
        <v>Stk.</v>
      </c>
      <c r="C98" s="78"/>
      <c r="D98" s="78">
        <v>340415</v>
      </c>
      <c r="E98" s="599" t="str">
        <f>VLOOKUP(184,Sprachindex!$A:$Z,Info!$O$7,FALSE)</f>
        <v>Aufsparrenschraubenpaket</v>
      </c>
      <c r="F98" s="599"/>
      <c r="G98" s="599"/>
      <c r="H98" s="599"/>
      <c r="I98" s="599"/>
      <c r="J98" s="599"/>
      <c r="K98" s="599"/>
      <c r="L98" s="79" t="str">
        <f>IF($A98=0,"",IF($P$11=1,AC98,AD98))</f>
        <v/>
      </c>
      <c r="M98" s="433" t="str">
        <f t="shared" si="23"/>
        <v>Stk.</v>
      </c>
      <c r="N98" s="80"/>
      <c r="O98" s="202" t="str">
        <f t="shared" si="17"/>
        <v/>
      </c>
      <c r="P98" s="5"/>
      <c r="Q98" s="5"/>
      <c r="R98" s="200">
        <v>55.96</v>
      </c>
      <c r="S98" s="195"/>
      <c r="T98" s="195"/>
      <c r="U98" s="195"/>
      <c r="V98" s="195"/>
      <c r="W98" s="195"/>
      <c r="X98" s="195"/>
      <c r="Y98" s="195"/>
      <c r="Z98" s="195"/>
      <c r="AA98" s="195"/>
      <c r="AB98" s="1"/>
      <c r="AC98" s="149">
        <f>ROUNDUP($A98,0)</f>
        <v>0</v>
      </c>
      <c r="AD98" s="149">
        <f t="shared" si="22"/>
        <v>0</v>
      </c>
    </row>
    <row r="99" spans="1:53" ht="32.1" customHeight="1">
      <c r="A99" s="98"/>
      <c r="B99" s="79" t="str">
        <f>VLOOKUP(878,Sprachindex!$A:$Z,Info!$O$7,FALSE)</f>
        <v>Stk.</v>
      </c>
      <c r="C99" s="78"/>
      <c r="D99" s="78">
        <v>340416</v>
      </c>
      <c r="E99" s="599" t="str">
        <f>VLOOKUP(183,Sprachindex!$A:$Z,Info!$O$7,FALSE)</f>
        <v>Aufsparrenmontagepaket</v>
      </c>
      <c r="F99" s="599"/>
      <c r="G99" s="599"/>
      <c r="H99" s="599"/>
      <c r="I99" s="599"/>
      <c r="J99" s="599"/>
      <c r="K99" s="599"/>
      <c r="L99" s="79" t="str">
        <f>IF($A99=0,"",IF($P$11=1,AC99,AD99))</f>
        <v/>
      </c>
      <c r="M99" s="433" t="str">
        <f t="shared" si="23"/>
        <v>Stk.</v>
      </c>
      <c r="N99" s="80"/>
      <c r="O99" s="202" t="str">
        <f t="shared" si="17"/>
        <v/>
      </c>
      <c r="P99" s="5"/>
      <c r="Q99" s="5"/>
      <c r="R99" s="200">
        <v>61.99</v>
      </c>
      <c r="S99" s="195"/>
      <c r="T99" s="195"/>
      <c r="U99" s="195"/>
      <c r="V99" s="195"/>
      <c r="W99" s="195"/>
      <c r="X99" s="195"/>
      <c r="Y99" s="195"/>
      <c r="Z99" s="195"/>
      <c r="AA99" s="195"/>
      <c r="AB99" s="1"/>
      <c r="AC99" s="149">
        <f>ROUNDUP($A99,0)</f>
        <v>0</v>
      </c>
      <c r="AD99" s="149">
        <f t="shared" si="22"/>
        <v>0</v>
      </c>
    </row>
    <row r="100" spans="1:53" ht="32.1" customHeight="1">
      <c r="A100" s="98"/>
      <c r="B100" s="79" t="str">
        <f>VLOOKUP(878,Sprachindex!$A:$Z,Info!$O$7,FALSE)</f>
        <v>Stk.</v>
      </c>
      <c r="C100" s="81"/>
      <c r="D100" s="78">
        <v>119008</v>
      </c>
      <c r="E100" s="561" t="str">
        <f>VLOOKUP(2237,Sprachindex!$A:$Z,Info!$O$7,FALSE)</f>
        <v>Taurus-BEF-10 auf Fußteilen</v>
      </c>
      <c r="F100" s="562"/>
      <c r="G100" s="562"/>
      <c r="H100" s="562"/>
      <c r="I100" s="562"/>
      <c r="J100" s="562"/>
      <c r="K100" s="563"/>
      <c r="L100" s="79" t="str">
        <f>IF($A100=0,"",IF($P$11=1,AD100,AE100))</f>
        <v/>
      </c>
      <c r="M100" s="171" t="str">
        <f>VLOOKUP(878,Sprachindex!$A:$Z,Info!$O$7,FALSE)</f>
        <v>Stk.</v>
      </c>
      <c r="N100" s="80"/>
      <c r="O100" s="202" t="str">
        <f t="shared" si="17"/>
        <v/>
      </c>
      <c r="P100" s="5"/>
      <c r="Q100" s="5"/>
      <c r="R100" s="200">
        <v>138.6</v>
      </c>
      <c r="S100" s="195"/>
      <c r="T100" s="195"/>
      <c r="U100" s="195"/>
      <c r="V100" s="195"/>
      <c r="W100" s="195"/>
      <c r="X100" s="195"/>
      <c r="Y100" s="195"/>
      <c r="Z100" s="195"/>
      <c r="AA100" s="195"/>
      <c r="AB100" s="195"/>
      <c r="AC100" s="135"/>
      <c r="AD100" s="149">
        <f t="shared" si="22"/>
        <v>0</v>
      </c>
      <c r="AE100" s="149">
        <f t="shared" si="22"/>
        <v>0</v>
      </c>
      <c r="AF100" s="151"/>
      <c r="AG100" s="145"/>
    </row>
    <row r="101" spans="1:53" ht="32.1" customHeight="1">
      <c r="A101" s="98"/>
      <c r="B101" s="79" t="str">
        <f>VLOOKUP(878,Sprachindex!$A:$Z,Info!$O$7,FALSE)</f>
        <v>Stk.</v>
      </c>
      <c r="C101" s="81"/>
      <c r="D101" s="78">
        <v>120268</v>
      </c>
      <c r="E101" s="561" t="str">
        <f>VLOOKUP(2238,Sprachindex!$A:$Z,Info!$O$7,FALSE)</f>
        <v>Einzelanschlagspunkt auf Fußteilen</v>
      </c>
      <c r="F101" s="562"/>
      <c r="G101" s="562"/>
      <c r="H101" s="562"/>
      <c r="I101" s="562"/>
      <c r="J101" s="562"/>
      <c r="K101" s="563"/>
      <c r="L101" s="79" t="str">
        <f>IF($A101=0,"",IF($P$11=1,AD101,AE101))</f>
        <v/>
      </c>
      <c r="M101" s="171" t="str">
        <f>VLOOKUP(878,Sprachindex!$A:$Z,Info!$O$7,FALSE)</f>
        <v>Stk.</v>
      </c>
      <c r="N101" s="80"/>
      <c r="O101" s="202" t="str">
        <f t="shared" si="17"/>
        <v/>
      </c>
      <c r="P101" s="5"/>
      <c r="Q101" s="5"/>
      <c r="R101" s="200">
        <v>135.6</v>
      </c>
      <c r="S101" s="195"/>
      <c r="T101" s="195"/>
      <c r="U101" s="195"/>
      <c r="V101" s="195"/>
      <c r="W101" s="195"/>
      <c r="X101" s="195"/>
      <c r="Y101" s="195"/>
      <c r="Z101" s="195"/>
      <c r="AA101" s="195"/>
      <c r="AB101" s="195"/>
      <c r="AC101" s="135"/>
      <c r="AD101" s="149">
        <f t="shared" si="22"/>
        <v>0</v>
      </c>
      <c r="AE101" s="149">
        <f t="shared" si="22"/>
        <v>0</v>
      </c>
      <c r="AF101" s="151"/>
      <c r="AG101" s="145"/>
    </row>
    <row r="102" spans="1:53" ht="32.1" customHeight="1">
      <c r="A102" s="98"/>
      <c r="B102" s="79" t="str">
        <f>VLOOKUP(531,Sprachindex!$A:$Z,Info!$O$7,FALSE)</f>
        <v>kg</v>
      </c>
      <c r="C102" s="81"/>
      <c r="D102" s="81" t="str">
        <f>IF(I102=Formeln!A107,AL102,IF(I102=Formeln!A108,AH102,IF(I102=Formeln!A109,AI102,IF(I102=Formeln!A111,AK102,""))))</f>
        <v/>
      </c>
      <c r="E102" s="570" t="str">
        <f>VLOOKUP(583,Sprachindex!$A:$Z,Info!$O$7,FALSE)</f>
        <v>Lochblech (⌀ 5 mm) ca. 24 kg/Rolle (0,7 × 1.000 mm)</v>
      </c>
      <c r="F102" s="571"/>
      <c r="G102" s="571"/>
      <c r="H102" s="571"/>
      <c r="I102" s="572"/>
      <c r="J102" s="573"/>
      <c r="K102" s="573"/>
      <c r="L102" s="141" t="str">
        <f>IF($A102=0,"",IF($I102=Formeln!$A$106," ",IF($P$11=1,AC102,AD102)))</f>
        <v/>
      </c>
      <c r="M102" s="433" t="str">
        <f t="shared" si="23"/>
        <v>kg</v>
      </c>
      <c r="N102" s="80"/>
      <c r="O102" s="202" t="str">
        <f t="shared" si="17"/>
        <v/>
      </c>
      <c r="P102" s="5"/>
      <c r="Q102" s="5"/>
      <c r="R102" s="200">
        <v>26.02</v>
      </c>
      <c r="S102" s="195"/>
      <c r="T102" s="195"/>
      <c r="U102" s="195"/>
      <c r="V102" s="195"/>
      <c r="W102" s="195"/>
      <c r="X102" s="195"/>
      <c r="Y102" s="195"/>
      <c r="Z102" s="195"/>
      <c r="AA102" s="195"/>
      <c r="AB102" s="1"/>
      <c r="AC102" s="149">
        <f>ROUNDUP($A102/24,0)*24</f>
        <v>0</v>
      </c>
      <c r="AD102" s="149">
        <f t="shared" si="22"/>
        <v>0</v>
      </c>
      <c r="AE102" s="8" t="str">
        <f>IF(A102&gt;24, Formeln!A119, Formeln!A118)</f>
        <v>Rolle</v>
      </c>
      <c r="AF102" s="8"/>
      <c r="AH102" s="44">
        <v>507202</v>
      </c>
      <c r="AI102" s="44">
        <v>507203</v>
      </c>
      <c r="AJ102" s="44"/>
      <c r="AK102" s="44">
        <v>507205</v>
      </c>
      <c r="AL102" s="44">
        <v>507206</v>
      </c>
    </row>
    <row r="103" spans="1:53" ht="50.1" customHeight="1">
      <c r="A103" s="98"/>
      <c r="B103" s="79" t="str">
        <f>VLOOKUP(531,Sprachindex!$A:$Z,Info!$O$7,FALSE)</f>
        <v>kg</v>
      </c>
      <c r="C103" s="81"/>
      <c r="D103" s="81" t="str">
        <f>IF(AND(I103=Formeln!A24,K103=Formeln!A129),AH103,IF(AND(I103=Formeln!A24,K103=Formeln!A132),AI103,IF(AND(I103=Formeln!A24,K103=Formeln!A134),AJ103,IF(AND(I103=Formeln!A24,K103=Formeln!A128),AK103,IF(AND(I103=Formeln!A24,K103=Formeln!A137),AL103,IF(AND(I103=Formeln!A24,K103=Formeln!A131),AM103,IF(AND(I103=Formeln!A24,K103=Formeln!A135),AN103,IF(AND(I103=Formeln!A24,K103=Formeln!A133),AO103,IF(AND(I103=Formeln!A24,K103=Formeln!A130),AP103,IF(AND(I103=Formeln!A24,K103=Formeln!A136),AQ103,IF(AND(I103=Formeln!A25,K103=Formeln!A129),AR103,IF(AND(I103=Formeln!A25,K103=Formeln!A132),AS103,IF(AND(I103=Formeln!A25,K103=Formeln!A134),AT103,IF(AND(I103=Formeln!A25,K103=Formeln!A128),AU103,IF(AND(I103=Formeln!A25,K103=Formeln!A137),AV103,IF(AND(I103=Formeln!A25,K103=Formeln!A131),AW103,IF(AND(I103=Formeln!A25,K103=Formeln!A135),AX103,IF(AND(I103=Formeln!A25,K103=Formeln!A133),AY103,IF(AND(I103=Formeln!A25,K103=Formeln!A130),AZ103,IF(AND(I103=Formeln!A25,K103=Formeln!A136),BA103,""))))))))))))))))))))</f>
        <v/>
      </c>
      <c r="E103" s="561" t="str">
        <f>VLOOKUP(669,Sprachindex!$A:$Z,Info!$O$7,FALSE)</f>
        <v>PREFALZ Ergänzungsband; 0,7 × 1.000 mm (für Zusatzverblechungen)</v>
      </c>
      <c r="F103" s="562"/>
      <c r="G103" s="562"/>
      <c r="H103" s="85" t="str">
        <f>VLOOKUP(638,Sprachindex!$A:$Z,Info!$O$7,FALSE)</f>
        <v>Oberfläche:</v>
      </c>
      <c r="I103" s="86"/>
      <c r="J103" s="84" t="str">
        <f>VLOOKUP(385,Sprachindex!$A:$Z,Info!$O$7,FALSE)</f>
        <v>Farbe:</v>
      </c>
      <c r="K103" s="86"/>
      <c r="L103" s="141" t="str">
        <f>IF($A103=0,"",IF(OR($I103=Formeln!$A$23,$K103=Formeln!$A$127)," ",IF($P$11=1,AC103,AD103)))</f>
        <v/>
      </c>
      <c r="M103" s="433" t="str">
        <f t="shared" si="23"/>
        <v>kg</v>
      </c>
      <c r="N103" s="80"/>
      <c r="O103" s="202" t="str">
        <f>IF(ISNUMBER(A103),$L103*R103, "")</f>
        <v/>
      </c>
      <c r="P103" s="5"/>
      <c r="Q103" s="5"/>
      <c r="R103" s="200">
        <v>43.62</v>
      </c>
      <c r="S103" s="195"/>
      <c r="T103" s="195"/>
      <c r="U103" s="195"/>
      <c r="V103" s="195"/>
      <c r="W103" s="195"/>
      <c r="X103" s="195"/>
      <c r="Y103" s="195"/>
      <c r="Z103" s="195"/>
      <c r="AA103" s="195"/>
      <c r="AB103" s="1"/>
      <c r="AC103" s="161">
        <f>ROUNDUP($A103/30,0)*30</f>
        <v>0</v>
      </c>
      <c r="AD103" s="161">
        <f t="shared" si="22"/>
        <v>0</v>
      </c>
      <c r="AE103" s="8" t="str">
        <f>IF(A103&gt;60, Formeln!A119, Formeln!A118)</f>
        <v>Rolle</v>
      </c>
      <c r="AF103" s="8"/>
      <c r="AH103" s="117" t="s">
        <v>76</v>
      </c>
      <c r="AI103" s="117" t="s">
        <v>77</v>
      </c>
      <c r="AJ103" s="117" t="s">
        <v>78</v>
      </c>
      <c r="AK103" s="117" t="s">
        <v>99</v>
      </c>
      <c r="AL103" s="117" t="s">
        <v>79</v>
      </c>
      <c r="AM103" s="117" t="s">
        <v>80</v>
      </c>
      <c r="AN103" s="117" t="s">
        <v>81</v>
      </c>
      <c r="AO103" s="117" t="s">
        <v>82</v>
      </c>
      <c r="AP103" s="117" t="s">
        <v>83</v>
      </c>
      <c r="AQ103" s="117" t="s">
        <v>84</v>
      </c>
      <c r="AR103" s="117" t="s">
        <v>85</v>
      </c>
      <c r="AS103" s="117" t="s">
        <v>86</v>
      </c>
      <c r="AT103" s="117" t="s">
        <v>87</v>
      </c>
      <c r="AU103" s="117" t="s">
        <v>88</v>
      </c>
      <c r="AV103" s="117" t="s">
        <v>89</v>
      </c>
      <c r="AW103" s="117" t="s">
        <v>90</v>
      </c>
      <c r="AX103" s="117" t="s">
        <v>91</v>
      </c>
      <c r="AY103" s="117" t="s">
        <v>92</v>
      </c>
      <c r="AZ103" s="117" t="s">
        <v>93</v>
      </c>
      <c r="BA103" s="117" t="s">
        <v>94</v>
      </c>
    </row>
    <row r="104" spans="1:53" ht="32.1" customHeight="1">
      <c r="A104" s="98"/>
      <c r="B104" s="104"/>
      <c r="C104" s="104"/>
      <c r="D104" s="104"/>
      <c r="E104" s="575"/>
      <c r="F104" s="576"/>
      <c r="G104" s="576"/>
      <c r="H104" s="576"/>
      <c r="I104" s="576"/>
      <c r="J104" s="576"/>
      <c r="K104" s="577"/>
      <c r="L104" s="104"/>
      <c r="M104" s="433"/>
      <c r="N104" s="447"/>
      <c r="O104" s="202" t="str">
        <f t="shared" si="17"/>
        <v/>
      </c>
      <c r="P104" s="5"/>
      <c r="Q104" s="5"/>
      <c r="R104" s="200">
        <v>0</v>
      </c>
      <c r="S104" s="195"/>
      <c r="T104" s="195"/>
      <c r="U104" s="195"/>
      <c r="V104" s="195"/>
      <c r="W104" s="195"/>
      <c r="X104" s="195"/>
      <c r="Y104" s="195"/>
      <c r="Z104" s="195"/>
      <c r="AA104" s="195"/>
      <c r="AB104" s="1"/>
      <c r="AC104" s="8"/>
      <c r="AD104" s="8"/>
      <c r="AH104" s="47" t="s">
        <v>33</v>
      </c>
      <c r="AI104" s="47" t="s">
        <v>34</v>
      </c>
      <c r="AJ104" s="47" t="s">
        <v>35</v>
      </c>
      <c r="AK104" s="47" t="s">
        <v>36</v>
      </c>
      <c r="AL104" s="47" t="s">
        <v>37</v>
      </c>
      <c r="AM104" s="47" t="s">
        <v>38</v>
      </c>
      <c r="AN104" s="47" t="s">
        <v>39</v>
      </c>
      <c r="AO104" s="47" t="s">
        <v>40</v>
      </c>
      <c r="AP104" s="47" t="s">
        <v>41</v>
      </c>
      <c r="AQ104" s="47" t="s">
        <v>42</v>
      </c>
      <c r="AR104" s="47" t="s">
        <v>33</v>
      </c>
      <c r="AS104" s="47" t="s">
        <v>34</v>
      </c>
      <c r="AT104" s="47" t="s">
        <v>35</v>
      </c>
      <c r="AU104" s="47" t="s">
        <v>36</v>
      </c>
      <c r="AV104" s="47" t="s">
        <v>37</v>
      </c>
      <c r="AW104" s="47" t="s">
        <v>38</v>
      </c>
      <c r="AX104" s="47" t="s">
        <v>39</v>
      </c>
      <c r="AY104" s="47" t="s">
        <v>40</v>
      </c>
      <c r="AZ104" s="47" t="s">
        <v>41</v>
      </c>
      <c r="BA104" s="47" t="s">
        <v>42</v>
      </c>
    </row>
    <row r="105" spans="1:53" ht="32.1" customHeight="1">
      <c r="A105" s="98"/>
      <c r="B105" s="104"/>
      <c r="C105" s="104"/>
      <c r="D105" s="104"/>
      <c r="E105" s="575"/>
      <c r="F105" s="576"/>
      <c r="G105" s="576"/>
      <c r="H105" s="576"/>
      <c r="I105" s="576"/>
      <c r="J105" s="576"/>
      <c r="K105" s="577"/>
      <c r="L105" s="104"/>
      <c r="M105" s="433"/>
      <c r="N105" s="447"/>
      <c r="O105" s="202" t="str">
        <f t="shared" si="17"/>
        <v/>
      </c>
      <c r="P105" s="5"/>
      <c r="Q105" s="5"/>
      <c r="R105" s="200">
        <v>0</v>
      </c>
      <c r="S105" s="195"/>
      <c r="T105" s="195"/>
      <c r="U105" s="195"/>
      <c r="V105" s="195"/>
      <c r="W105" s="195"/>
      <c r="X105" s="195"/>
      <c r="Y105" s="195"/>
      <c r="Z105" s="195"/>
      <c r="AA105" s="195"/>
      <c r="AB105" s="1"/>
      <c r="AC105" s="8"/>
      <c r="AD105" s="8"/>
    </row>
    <row r="106" spans="1:53" ht="32.1" customHeight="1" thickBot="1">
      <c r="A106" s="153"/>
      <c r="B106" s="154"/>
      <c r="C106" s="154"/>
      <c r="D106" s="154"/>
      <c r="E106" s="578"/>
      <c r="F106" s="579"/>
      <c r="G106" s="579"/>
      <c r="H106" s="579"/>
      <c r="I106" s="579"/>
      <c r="J106" s="579"/>
      <c r="K106" s="580"/>
      <c r="L106" s="154"/>
      <c r="M106" s="434"/>
      <c r="N106" s="448"/>
      <c r="O106" s="202" t="str">
        <f t="shared" si="17"/>
        <v/>
      </c>
      <c r="P106" s="5"/>
      <c r="Q106" s="5"/>
      <c r="R106" s="204"/>
      <c r="S106" s="195"/>
      <c r="T106" s="195"/>
      <c r="U106" s="195"/>
      <c r="V106" s="195"/>
      <c r="W106" s="195"/>
      <c r="X106" s="195"/>
      <c r="Y106" s="195"/>
      <c r="Z106" s="195"/>
      <c r="AA106" s="195"/>
      <c r="AB106" s="1"/>
      <c r="AC106" s="8"/>
      <c r="AD106" s="8"/>
    </row>
    <row r="107" spans="1:53" ht="15" customHeight="1">
      <c r="A107" s="70"/>
      <c r="B107" s="70"/>
      <c r="C107" s="70"/>
      <c r="D107" s="564"/>
      <c r="E107" s="564"/>
      <c r="F107" s="564"/>
      <c r="G107" s="564"/>
      <c r="H107" s="564"/>
      <c r="I107" s="564"/>
      <c r="J107" s="564"/>
      <c r="K107" s="564"/>
      <c r="L107" s="564"/>
      <c r="M107" s="564"/>
      <c r="N107" s="564"/>
      <c r="O107" s="204"/>
      <c r="P107" s="204"/>
      <c r="Q107" s="204"/>
      <c r="R107" s="204"/>
      <c r="S107" s="204"/>
      <c r="T107" s="204"/>
      <c r="U107" s="204"/>
      <c r="V107" s="204"/>
      <c r="W107" s="204"/>
      <c r="X107" s="204"/>
      <c r="Y107" s="204"/>
      <c r="Z107" s="204"/>
    </row>
    <row r="108" spans="1:53" ht="17.399999999999999">
      <c r="A108" s="70"/>
      <c r="B108" s="70"/>
      <c r="C108" s="89" t="str">
        <f>VLOOKUP(1035,Sprachindex!$A:$Z,Info!$O$7,FALSE)</f>
        <v>Zusatzvermerk:</v>
      </c>
      <c r="D108" s="565"/>
      <c r="E108" s="565"/>
      <c r="F108" s="565"/>
      <c r="G108" s="565"/>
      <c r="H108" s="565"/>
      <c r="I108" s="565"/>
      <c r="J108" s="565"/>
      <c r="K108" s="565"/>
      <c r="L108" s="565"/>
      <c r="M108" s="565"/>
      <c r="N108" s="565"/>
      <c r="O108" s="196">
        <f>SUM(O31:O106)</f>
        <v>0</v>
      </c>
      <c r="P108" s="204"/>
      <c r="Q108" s="204"/>
      <c r="R108" s="204"/>
      <c r="S108" s="204"/>
      <c r="T108" s="204"/>
      <c r="U108" s="204"/>
      <c r="V108" s="204"/>
      <c r="W108" s="204"/>
      <c r="X108" s="204"/>
      <c r="Y108" s="204"/>
      <c r="Z108" s="204"/>
    </row>
    <row r="109" spans="1:53" ht="17.399999999999999">
      <c r="A109" s="70"/>
      <c r="B109" s="70"/>
      <c r="C109" s="70"/>
      <c r="D109" s="566"/>
      <c r="E109" s="566"/>
      <c r="F109" s="566"/>
      <c r="G109" s="566"/>
      <c r="H109" s="566"/>
      <c r="I109" s="566"/>
      <c r="J109" s="566"/>
      <c r="K109" s="566"/>
      <c r="L109" s="566"/>
      <c r="M109" s="566"/>
      <c r="N109" s="566"/>
      <c r="P109" s="204"/>
      <c r="Q109" s="204"/>
      <c r="R109" s="204"/>
      <c r="S109" s="204"/>
      <c r="T109" s="204"/>
      <c r="U109" s="204"/>
      <c r="V109" s="204"/>
      <c r="W109" s="204"/>
      <c r="X109" s="204"/>
      <c r="Y109" s="204"/>
      <c r="Z109" s="204"/>
    </row>
    <row r="110" spans="1:53" ht="17.399999999999999">
      <c r="A110" s="70"/>
      <c r="B110" s="70"/>
      <c r="C110" s="70"/>
      <c r="D110" s="565"/>
      <c r="E110" s="565"/>
      <c r="F110" s="565"/>
      <c r="G110" s="565"/>
      <c r="H110" s="565"/>
      <c r="I110" s="565"/>
      <c r="J110" s="565"/>
      <c r="K110" s="565"/>
      <c r="L110" s="565"/>
      <c r="M110" s="565"/>
      <c r="N110" s="565"/>
      <c r="O110" s="204"/>
      <c r="P110" s="204"/>
      <c r="Q110" s="204"/>
      <c r="R110" s="204"/>
      <c r="S110" s="204"/>
      <c r="T110" s="204"/>
      <c r="U110" s="204"/>
      <c r="V110" s="204"/>
      <c r="W110" s="204"/>
      <c r="X110" s="204"/>
      <c r="Y110" s="204"/>
      <c r="Z110" s="204"/>
    </row>
    <row r="111" spans="1:53" ht="17.399999999999999">
      <c r="A111" s="70"/>
      <c r="B111" s="70"/>
      <c r="C111" s="70"/>
      <c r="D111" s="566"/>
      <c r="E111" s="566"/>
      <c r="F111" s="566"/>
      <c r="G111" s="566"/>
      <c r="H111" s="566"/>
      <c r="I111" s="566"/>
      <c r="J111" s="566"/>
      <c r="K111" s="566"/>
      <c r="L111" s="566"/>
      <c r="M111" s="566"/>
      <c r="N111" s="566"/>
      <c r="O111" s="204"/>
      <c r="P111" s="204"/>
      <c r="Q111" s="204"/>
      <c r="R111" s="204"/>
      <c r="S111" s="204"/>
      <c r="T111" s="204"/>
      <c r="U111" s="204"/>
      <c r="V111" s="204"/>
      <c r="W111" s="204"/>
      <c r="X111" s="204"/>
      <c r="Y111" s="204"/>
      <c r="Z111" s="204"/>
    </row>
    <row r="112" spans="1:53" ht="17.399999999999999">
      <c r="A112" s="70"/>
      <c r="B112" s="70"/>
      <c r="C112" s="70"/>
      <c r="D112" s="565"/>
      <c r="E112" s="565"/>
      <c r="F112" s="565"/>
      <c r="G112" s="565"/>
      <c r="H112" s="565"/>
      <c r="I112" s="565"/>
      <c r="J112" s="565"/>
      <c r="K112" s="565"/>
      <c r="L112" s="565"/>
      <c r="M112" s="565"/>
      <c r="N112" s="565"/>
      <c r="O112" s="204"/>
      <c r="P112" s="204"/>
      <c r="Q112" s="204"/>
      <c r="R112" s="70"/>
      <c r="S112" s="204"/>
      <c r="T112" s="204"/>
      <c r="U112" s="204"/>
      <c r="V112" s="204"/>
      <c r="W112" s="204"/>
      <c r="X112" s="204"/>
      <c r="Y112" s="204"/>
      <c r="Z112" s="204"/>
    </row>
    <row r="113" spans="1:26" ht="17.399999999999999">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7.399999999999999">
      <c r="A114" s="70"/>
      <c r="B114" s="70"/>
      <c r="C114" s="70"/>
      <c r="D114" s="70"/>
      <c r="E114" s="70"/>
      <c r="F114" s="70"/>
      <c r="G114" s="70"/>
      <c r="H114" s="70"/>
      <c r="I114" s="70"/>
      <c r="J114" s="70"/>
      <c r="K114" s="70"/>
      <c r="L114" s="70"/>
      <c r="M114" s="70"/>
      <c r="N114" s="70"/>
      <c r="O114" s="70"/>
      <c r="P114" s="70"/>
      <c r="Q114" s="70"/>
      <c r="R114" s="69"/>
      <c r="S114" s="70"/>
      <c r="T114" s="70"/>
      <c r="U114" s="70"/>
      <c r="V114" s="70"/>
      <c r="W114" s="70"/>
      <c r="X114" s="70"/>
      <c r="Y114" s="70"/>
      <c r="Z114" s="70"/>
    </row>
    <row r="115" spans="1:26" ht="17.399999999999999">
      <c r="A115" s="90" t="str">
        <f>VLOOKUP(2097,Sprachindex!$A:$Z,Info!$O$7,FALSE)</f>
        <v>Produkttechnik</v>
      </c>
      <c r="B115" s="91"/>
      <c r="C115" s="91"/>
      <c r="D115" s="569"/>
      <c r="E115" s="569"/>
      <c r="F115" s="569"/>
      <c r="G115" s="569"/>
      <c r="H115" s="569"/>
      <c r="I115" s="569"/>
      <c r="J115" s="569"/>
      <c r="K115" s="92" t="str">
        <f>VLOOKUP(856,Sprachindex!$A:$Z,Info!$O$7,FALSE)</f>
        <v>Stand:</v>
      </c>
      <c r="L115" s="567">
        <f>Info!M59</f>
        <v>45511</v>
      </c>
      <c r="M115" s="567"/>
      <c r="N115" s="568"/>
      <c r="O115" s="69"/>
      <c r="P115" s="69"/>
      <c r="Q115" s="69"/>
      <c r="S115" s="69"/>
      <c r="T115" s="69"/>
      <c r="U115" s="69"/>
      <c r="V115" s="69"/>
      <c r="W115" s="69"/>
      <c r="X115" s="69"/>
      <c r="Y115" s="69"/>
      <c r="Z115" s="69"/>
    </row>
    <row r="116" spans="1:26" ht="13.8"/>
    <row r="117" spans="1:26" ht="13.8" hidden="1"/>
    <row r="118" spans="1:26" ht="13.8" hidden="1"/>
    <row r="119" spans="1:26" ht="13.8" hidden="1"/>
    <row r="120" spans="1:26" ht="13.8" hidden="1"/>
    <row r="121" spans="1:26" ht="13.8" hidden="1"/>
    <row r="122" spans="1:26" ht="13.8" hidden="1"/>
    <row r="123" spans="1:26" ht="13.8" hidden="1"/>
    <row r="124" spans="1:26" ht="13.8" hidden="1"/>
    <row r="125" spans="1:26" ht="14.25" hidden="1" customHeight="1"/>
    <row r="126" spans="1:26" ht="14.25" hidden="1" customHeight="1"/>
    <row r="127" spans="1:26" ht="14.25" hidden="1" customHeight="1"/>
  </sheetData>
  <sheetProtection algorithmName="SHA-512" hashValue="MzcLoJWC6RNb6LQqZLRrOB2/aLOS6jntD6qcpt7MXcBe24G+dHqzoZ05O5NpISmaPLwD7v7OqxuPo1Puxo+xKg==" saltValue="z1AMOOJj/bU7ig8lQBvQfQ==" spinCount="100000" sheet="1" objects="1" selectLockedCells="1" autoFilter="0"/>
  <protectedRanges>
    <protectedRange password="DEBF" sqref="AE102:AF103" name="darf vom Benutzer nicht verändert werden_1_12"/>
    <protectedRange password="DEBF" sqref="AC104:AD106" name="darf vom Benutzer nicht verändert werden_1_5_10"/>
    <protectedRange password="DEBF" sqref="AC31" name="darf vom Benutzer nicht verändert werden_1_5_2_2_2_1_1"/>
    <protectedRange password="DEBF" sqref="AC34 AC32:AD33" name="darf vom Benutzer nicht verändert werden_1_5_2_10"/>
    <protectedRange password="DEBF" sqref="AD34" name="darf vom Benutzer nicht verändert werden_1_3"/>
    <protectedRange password="DEBF" sqref="AD35" name="darf vom Benutzer nicht verändert werden_1_1_1"/>
    <protectedRange password="DEBF" sqref="AC35" name="darf vom Benutzer nicht verändert werden_1_4_1"/>
    <protectedRange password="DEBF" sqref="AD38" name="darf vom Benutzer nicht verändert werden_1_2_3"/>
    <protectedRange password="DEBF" sqref="AC38 AC39:AD50 AD54" name="darf vom Benutzer nicht verändert werden_1_5_12"/>
    <protectedRange password="DEBF" sqref="AC55:AD70" name="darf vom Benutzer nicht verändert werden_1_5_13"/>
    <protectedRange password="DEBF" sqref="AC71:AD71" name="darf vom Benutzer nicht verändert werden_1_5_14"/>
    <protectedRange password="DEBF" sqref="AC72:AD72" name="darf vom Benutzer nicht verändert werden_1_5_15"/>
    <protectedRange password="DEBF" sqref="AC73:AD77" name="darf vom Benutzer nicht verändert werden_1_5_16"/>
    <protectedRange password="DEBF" sqref="AC78:AD78" name="darf vom Benutzer nicht verändert werden_1_5_15_1"/>
    <protectedRange password="DEBF" sqref="AC79:AD79" name="darf vom Benutzer nicht verändert werden_1_5_17"/>
    <protectedRange password="DEBF" sqref="AC80:AD80 AC82:AD84 AC86:AD96" name="darf vom Benutzer nicht verändert werden_1_5_18"/>
    <protectedRange password="DEBF" sqref="AC98:AD99 AC102:AD103" name="darf vom Benutzer nicht verändert werden_1_5_19"/>
    <protectedRange password="DEBF" sqref="AC97:AD97" name="darf vom Benutzer nicht verändert werden_1_5"/>
    <protectedRange password="DEBF" sqref="AC37:AD37" name="darf vom Benutzer nicht verändert werden_1_5_1"/>
    <protectedRange password="DEBF" sqref="AC51:AD53 AC54" name="darf vom Benutzer nicht verändert werden_1_5_14_1"/>
    <protectedRange password="DEBF" sqref="AC81:AD81" name="darf vom Benutzer nicht verändert werden_1_5_2"/>
    <protectedRange password="DEBF" sqref="AC85:AD85" name="darf vom Benutzer nicht verändert werden_1_5_3"/>
    <protectedRange password="DEBF" sqref="AD36" name="darf vom Benutzer nicht verändert werden_1_2"/>
    <protectedRange password="DEBF" sqref="AC36" name="darf vom Benutzer nicht verändert werden_1_5_2_5"/>
    <protectedRange password="DEBF" sqref="AD100:AF101" name="darf vom Benutzer nicht verändert werden_1_5_4"/>
  </protectedRanges>
  <autoFilter ref="A29:A106" xr:uid="{00000000-0009-0000-0000-000005000000}"/>
  <mergeCells count="108">
    <mergeCell ref="D115:J115"/>
    <mergeCell ref="E103:G103"/>
    <mergeCell ref="E104:K104"/>
    <mergeCell ref="E105:K105"/>
    <mergeCell ref="E106:K106"/>
    <mergeCell ref="E95:K95"/>
    <mergeCell ref="E98:K98"/>
    <mergeCell ref="E97:K97"/>
    <mergeCell ref="E92:K92"/>
    <mergeCell ref="D107:N108"/>
    <mergeCell ref="D109:N110"/>
    <mergeCell ref="D111:N112"/>
    <mergeCell ref="L115:N115"/>
    <mergeCell ref="E94:K94"/>
    <mergeCell ref="E96:K96"/>
    <mergeCell ref="E100:K100"/>
    <mergeCell ref="E101:K101"/>
    <mergeCell ref="AC29:AD29"/>
    <mergeCell ref="E102:H102"/>
    <mergeCell ref="I102:K102"/>
    <mergeCell ref="E86:K86"/>
    <mergeCell ref="E99:K99"/>
    <mergeCell ref="E89:K89"/>
    <mergeCell ref="E90:K90"/>
    <mergeCell ref="E88:K88"/>
    <mergeCell ref="E71:K71"/>
    <mergeCell ref="E93:K93"/>
    <mergeCell ref="E84:K84"/>
    <mergeCell ref="E56:H56"/>
    <mergeCell ref="J56:K56"/>
    <mergeCell ref="E58:K58"/>
    <mergeCell ref="E59:K59"/>
    <mergeCell ref="E42:K42"/>
    <mergeCell ref="E67:K67"/>
    <mergeCell ref="E34:K34"/>
    <mergeCell ref="E35:G35"/>
    <mergeCell ref="H35:K35"/>
    <mergeCell ref="E36:G36"/>
    <mergeCell ref="H36:K36"/>
    <mergeCell ref="E37:K37"/>
    <mergeCell ref="E38:G38"/>
    <mergeCell ref="H38:K38"/>
    <mergeCell ref="E39:K39"/>
    <mergeCell ref="E40:K40"/>
    <mergeCell ref="E52:K52"/>
    <mergeCell ref="E53:K53"/>
    <mergeCell ref="E51:K51"/>
    <mergeCell ref="E47:K47"/>
    <mergeCell ref="E57:H57"/>
    <mergeCell ref="J57:K57"/>
    <mergeCell ref="E41:K41"/>
    <mergeCell ref="E48:G48"/>
    <mergeCell ref="H48:K48"/>
    <mergeCell ref="E50:K50"/>
    <mergeCell ref="E55:H55"/>
    <mergeCell ref="J55:K55"/>
    <mergeCell ref="E49:G49"/>
    <mergeCell ref="H49:K49"/>
    <mergeCell ref="E54:K54"/>
    <mergeCell ref="E43:K43"/>
    <mergeCell ref="E44:K44"/>
    <mergeCell ref="E45:K45"/>
    <mergeCell ref="E46:K46"/>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E91:K91"/>
    <mergeCell ref="E87:K87"/>
    <mergeCell ref="E72:K72"/>
    <mergeCell ref="E83:K83"/>
    <mergeCell ref="E75:K75"/>
    <mergeCell ref="E76:K76"/>
    <mergeCell ref="E77:K77"/>
    <mergeCell ref="E78:K78"/>
    <mergeCell ref="E79:K79"/>
    <mergeCell ref="E80:K80"/>
    <mergeCell ref="E82:K82"/>
    <mergeCell ref="E81:K81"/>
    <mergeCell ref="E85:K85"/>
    <mergeCell ref="E60:K60"/>
    <mergeCell ref="E65:K65"/>
    <mergeCell ref="E62:K62"/>
    <mergeCell ref="E63:K63"/>
    <mergeCell ref="E64:K64"/>
    <mergeCell ref="E61:K61"/>
    <mergeCell ref="E73:K73"/>
    <mergeCell ref="E74:K74"/>
    <mergeCell ref="E69:K69"/>
    <mergeCell ref="E66:K66"/>
    <mergeCell ref="E68:K68"/>
    <mergeCell ref="E70:K70"/>
  </mergeCells>
  <conditionalFormatting sqref="A31:A106">
    <cfRule type="cellIs" dxfId="1245" priority="18" operator="equal">
      <formula>""</formula>
    </cfRule>
  </conditionalFormatting>
  <conditionalFormatting sqref="B104:E106">
    <cfRule type="cellIs" dxfId="1244" priority="628" operator="equal">
      <formula>""</formula>
    </cfRule>
  </conditionalFormatting>
  <conditionalFormatting sqref="C9:E11">
    <cfRule type="cellIs" dxfId="1242" priority="759" operator="equal">
      <formula>""</formula>
    </cfRule>
  </conditionalFormatting>
  <conditionalFormatting sqref="C13:E15">
    <cfRule type="cellIs" dxfId="1241" priority="756" operator="equal">
      <formula>""</formula>
    </cfRule>
  </conditionalFormatting>
  <conditionalFormatting sqref="C18:E21">
    <cfRule type="cellIs" dxfId="1240" priority="752" operator="equal">
      <formula>""</formula>
    </cfRule>
  </conditionalFormatting>
  <conditionalFormatting sqref="C24:E27">
    <cfRule type="cellIs" dxfId="1239" priority="270" operator="equal">
      <formula>""</formula>
    </cfRule>
  </conditionalFormatting>
  <conditionalFormatting sqref="D67">
    <cfRule type="duplicateValues" dxfId="1238" priority="286"/>
  </conditionalFormatting>
  <conditionalFormatting sqref="D68">
    <cfRule type="duplicateValues" dxfId="1237" priority="288"/>
  </conditionalFormatting>
  <conditionalFormatting sqref="D69">
    <cfRule type="duplicateValues" dxfId="1236" priority="499"/>
  </conditionalFormatting>
  <conditionalFormatting sqref="D77">
    <cfRule type="duplicateValues" dxfId="1235" priority="478"/>
  </conditionalFormatting>
  <conditionalFormatting sqref="H36:K36">
    <cfRule type="cellIs" dxfId="1233" priority="26" operator="equal">
      <formula>""</formula>
    </cfRule>
  </conditionalFormatting>
  <conditionalFormatting sqref="I13">
    <cfRule type="expression" dxfId="1229" priority="2000">
      <formula>$P$13=2</formula>
    </cfRule>
    <cfRule type="expression" dxfId="1228" priority="2001">
      <formula>$P$13=1</formula>
    </cfRule>
  </conditionalFormatting>
  <conditionalFormatting sqref="I21:I22 I28">
    <cfRule type="expression" dxfId="1227" priority="2002">
      <formula>$P$21=10</formula>
    </cfRule>
  </conditionalFormatting>
  <conditionalFormatting sqref="I24:I26">
    <cfRule type="cellIs" dxfId="1226" priority="16" operator="equal">
      <formula>""</formula>
    </cfRule>
  </conditionalFormatting>
  <conditionalFormatting sqref="L13">
    <cfRule type="expression" dxfId="1219" priority="2004">
      <formula>$P$13=1</formula>
    </cfRule>
    <cfRule type="expression" dxfId="1218" priority="2005">
      <formula>$P$13=2</formula>
    </cfRule>
  </conditionalFormatting>
  <conditionalFormatting sqref="L104:M106">
    <cfRule type="cellIs" dxfId="1217" priority="668" operator="equal">
      <formula>""</formula>
    </cfRule>
  </conditionalFormatting>
  <conditionalFormatting sqref="AH47">
    <cfRule type="duplicateValues" dxfId="1214" priority="220"/>
  </conditionalFormatting>
  <conditionalFormatting sqref="AH48">
    <cfRule type="duplicateValues" dxfId="1213" priority="246"/>
  </conditionalFormatting>
  <conditionalFormatting sqref="AH49">
    <cfRule type="duplicateValues" dxfId="1212" priority="239"/>
  </conditionalFormatting>
  <conditionalFormatting sqref="AH50 AH52:AH53">
    <cfRule type="duplicateValues" dxfId="1211" priority="232"/>
  </conditionalFormatting>
  <conditionalFormatting sqref="AH86">
    <cfRule type="duplicateValues" dxfId="1210" priority="66"/>
  </conditionalFormatting>
  <conditionalFormatting sqref="AH102:AL102">
    <cfRule type="duplicateValues" dxfId="1209" priority="449"/>
  </conditionalFormatting>
  <conditionalFormatting sqref="AH51:AP51">
    <cfRule type="duplicateValues" dxfId="1208" priority="34"/>
  </conditionalFormatting>
  <conditionalFormatting sqref="AH55:AP55">
    <cfRule type="duplicateValues" dxfId="1207" priority="203"/>
  </conditionalFormatting>
  <conditionalFormatting sqref="AH56:AP56 AR56:AZ56">
    <cfRule type="duplicateValues" dxfId="1206" priority="164"/>
  </conditionalFormatting>
  <conditionalFormatting sqref="AH57:AP57 AR57:BA57">
    <cfRule type="duplicateValues" dxfId="1205" priority="120"/>
  </conditionalFormatting>
  <conditionalFormatting sqref="AH62:AP62">
    <cfRule type="duplicateValues" dxfId="1204" priority="135"/>
  </conditionalFormatting>
  <conditionalFormatting sqref="AH63:AP63">
    <cfRule type="duplicateValues" dxfId="1203" priority="133"/>
  </conditionalFormatting>
  <conditionalFormatting sqref="AH64:AP64">
    <cfRule type="duplicateValues" dxfId="1202" priority="128"/>
  </conditionalFormatting>
  <conditionalFormatting sqref="AH65:AP65">
    <cfRule type="duplicateValues" dxfId="1201" priority="126"/>
  </conditionalFormatting>
  <conditionalFormatting sqref="AH66:AP66">
    <cfRule type="duplicateValues" dxfId="1200" priority="131"/>
  </conditionalFormatting>
  <conditionalFormatting sqref="AH70:AP70">
    <cfRule type="duplicateValues" dxfId="1199" priority="489"/>
  </conditionalFormatting>
  <conditionalFormatting sqref="AH75:AP75">
    <cfRule type="duplicateValues" dxfId="1198" priority="83"/>
  </conditionalFormatting>
  <conditionalFormatting sqref="AH76:AP76">
    <cfRule type="duplicateValues" dxfId="1197" priority="80"/>
  </conditionalFormatting>
  <conditionalFormatting sqref="AH79:AP79">
    <cfRule type="duplicateValues" dxfId="1196" priority="476"/>
  </conditionalFormatting>
  <conditionalFormatting sqref="AH80:AP80">
    <cfRule type="duplicateValues" dxfId="1195" priority="70"/>
  </conditionalFormatting>
  <conditionalFormatting sqref="AH82:AP82">
    <cfRule type="duplicateValues" dxfId="1194" priority="74"/>
  </conditionalFormatting>
  <conditionalFormatting sqref="AH83:AP83">
    <cfRule type="duplicateValues" dxfId="1193" priority="69"/>
  </conditionalFormatting>
  <conditionalFormatting sqref="AH84:AP84">
    <cfRule type="duplicateValues" dxfId="1192" priority="68"/>
  </conditionalFormatting>
  <conditionalFormatting sqref="AH87:AP87">
    <cfRule type="duplicateValues" dxfId="1191" priority="65"/>
  </conditionalFormatting>
  <conditionalFormatting sqref="AH88:AP88">
    <cfRule type="duplicateValues" dxfId="1190" priority="64"/>
  </conditionalFormatting>
  <conditionalFormatting sqref="AH89:AP89">
    <cfRule type="duplicateValues" dxfId="1189" priority="63"/>
  </conditionalFormatting>
  <conditionalFormatting sqref="AH90:AP90">
    <cfRule type="duplicateValues" dxfId="1188" priority="62"/>
  </conditionalFormatting>
  <conditionalFormatting sqref="AH91:AP91">
    <cfRule type="duplicateValues" dxfId="1187" priority="61"/>
  </conditionalFormatting>
  <conditionalFormatting sqref="AH92:AP92">
    <cfRule type="duplicateValues" dxfId="1186" priority="75"/>
  </conditionalFormatting>
  <conditionalFormatting sqref="AH93:AP93">
    <cfRule type="duplicateValues" dxfId="1185" priority="60"/>
  </conditionalFormatting>
  <conditionalFormatting sqref="AH94:AP94">
    <cfRule type="duplicateValues" dxfId="1184" priority="59"/>
  </conditionalFormatting>
  <conditionalFormatting sqref="AH95:AP95">
    <cfRule type="duplicateValues" dxfId="1183" priority="452"/>
  </conditionalFormatting>
  <conditionalFormatting sqref="AH103:AP103">
    <cfRule type="duplicateValues" dxfId="1182" priority="42"/>
  </conditionalFormatting>
  <conditionalFormatting sqref="AH37:AQ37">
    <cfRule type="duplicateValues" dxfId="1181" priority="36"/>
  </conditionalFormatting>
  <conditionalFormatting sqref="AH58:AQ58">
    <cfRule type="duplicateValues" dxfId="1180" priority="138"/>
  </conditionalFormatting>
  <conditionalFormatting sqref="AH59:AQ59">
    <cfRule type="duplicateValues" dxfId="1179" priority="129"/>
  </conditionalFormatting>
  <conditionalFormatting sqref="AH60:AQ60">
    <cfRule type="duplicateValues" dxfId="1178" priority="137"/>
  </conditionalFormatting>
  <conditionalFormatting sqref="AH61:AQ61 AQ62:AQ64">
    <cfRule type="duplicateValues" dxfId="1177" priority="136"/>
  </conditionalFormatting>
  <conditionalFormatting sqref="AH73:AQ73">
    <cfRule type="duplicateValues" dxfId="1176" priority="85"/>
  </conditionalFormatting>
  <conditionalFormatting sqref="AH74:AQ74">
    <cfRule type="duplicateValues" dxfId="1175" priority="84"/>
  </conditionalFormatting>
  <conditionalFormatting sqref="AH81:AQ81">
    <cfRule type="duplicateValues" dxfId="1174" priority="25"/>
  </conditionalFormatting>
  <conditionalFormatting sqref="AH85:AQ85">
    <cfRule type="duplicateValues" dxfId="1173" priority="28"/>
  </conditionalFormatting>
  <conditionalFormatting sqref="AH31:AU33">
    <cfRule type="duplicateValues" dxfId="1172" priority="14"/>
  </conditionalFormatting>
  <conditionalFormatting sqref="AH40:AU46">
    <cfRule type="duplicateValues" dxfId="1171" priority="12"/>
  </conditionalFormatting>
  <conditionalFormatting sqref="AH54:AU54">
    <cfRule type="duplicateValues" dxfId="1170" priority="10"/>
  </conditionalFormatting>
  <conditionalFormatting sqref="AH71:AU71">
    <cfRule type="duplicateValues" dxfId="1169" priority="6"/>
  </conditionalFormatting>
  <conditionalFormatting sqref="AH72:AU72">
    <cfRule type="duplicateValues" dxfId="1168" priority="4"/>
  </conditionalFormatting>
  <conditionalFormatting sqref="AH78:AU78">
    <cfRule type="duplicateValues" dxfId="1167" priority="8"/>
  </conditionalFormatting>
  <conditionalFormatting sqref="AI47">
    <cfRule type="duplicateValues" dxfId="1166" priority="217"/>
  </conditionalFormatting>
  <conditionalFormatting sqref="AI48">
    <cfRule type="duplicateValues" dxfId="1165" priority="243"/>
  </conditionalFormatting>
  <conditionalFormatting sqref="AI49">
    <cfRule type="duplicateValues" dxfId="1164" priority="236"/>
  </conditionalFormatting>
  <conditionalFormatting sqref="AI50 AI52:AI53">
    <cfRule type="duplicateValues" dxfId="1163" priority="231"/>
  </conditionalFormatting>
  <conditionalFormatting sqref="AI86:AP86">
    <cfRule type="duplicateValues" dxfId="1162" priority="67"/>
  </conditionalFormatting>
  <conditionalFormatting sqref="AJ47">
    <cfRule type="duplicateValues" dxfId="1161" priority="218"/>
  </conditionalFormatting>
  <conditionalFormatting sqref="AJ48">
    <cfRule type="duplicateValues" dxfId="1160" priority="244"/>
  </conditionalFormatting>
  <conditionalFormatting sqref="AJ49">
    <cfRule type="duplicateValues" dxfId="1159" priority="237"/>
  </conditionalFormatting>
  <conditionalFormatting sqref="AJ50 AJ52:AJ53">
    <cfRule type="duplicateValues" dxfId="1158" priority="230"/>
  </conditionalFormatting>
  <conditionalFormatting sqref="AK47">
    <cfRule type="duplicateValues" dxfId="1157" priority="214"/>
  </conditionalFormatting>
  <conditionalFormatting sqref="AK48">
    <cfRule type="duplicateValues" dxfId="1156" priority="240"/>
  </conditionalFormatting>
  <conditionalFormatting sqref="AK49">
    <cfRule type="duplicateValues" dxfId="1155" priority="238"/>
  </conditionalFormatting>
  <conditionalFormatting sqref="AK50 AK52:AK53">
    <cfRule type="duplicateValues" dxfId="1154" priority="229"/>
  </conditionalFormatting>
  <conditionalFormatting sqref="AL47">
    <cfRule type="duplicateValues" dxfId="1153" priority="213"/>
  </conditionalFormatting>
  <conditionalFormatting sqref="AL50 AL52:AL53">
    <cfRule type="duplicateValues" dxfId="1152" priority="228"/>
  </conditionalFormatting>
  <conditionalFormatting sqref="AM47">
    <cfRule type="duplicateValues" dxfId="1151" priority="219"/>
  </conditionalFormatting>
  <conditionalFormatting sqref="AM48">
    <cfRule type="duplicateValues" dxfId="1150" priority="245"/>
  </conditionalFormatting>
  <conditionalFormatting sqref="AM49">
    <cfRule type="duplicateValues" dxfId="1149" priority="235"/>
  </conditionalFormatting>
  <conditionalFormatting sqref="AM50 AM52:AM53">
    <cfRule type="duplicateValues" dxfId="1148" priority="227"/>
  </conditionalFormatting>
  <conditionalFormatting sqref="AN47">
    <cfRule type="duplicateValues" dxfId="1147" priority="215"/>
  </conditionalFormatting>
  <conditionalFormatting sqref="AN48">
    <cfRule type="duplicateValues" dxfId="1146" priority="241"/>
  </conditionalFormatting>
  <conditionalFormatting sqref="AN49">
    <cfRule type="duplicateValues" dxfId="1145" priority="233"/>
  </conditionalFormatting>
  <conditionalFormatting sqref="AN50 AN52:AN53">
    <cfRule type="duplicateValues" dxfId="1144" priority="226"/>
  </conditionalFormatting>
  <conditionalFormatting sqref="AO47">
    <cfRule type="duplicateValues" dxfId="1143" priority="216"/>
  </conditionalFormatting>
  <conditionalFormatting sqref="AO48">
    <cfRule type="duplicateValues" dxfId="1142" priority="242"/>
  </conditionalFormatting>
  <conditionalFormatting sqref="AO49">
    <cfRule type="duplicateValues" dxfId="1141" priority="234"/>
  </conditionalFormatting>
  <conditionalFormatting sqref="AO50 AO52:AO53">
    <cfRule type="duplicateValues" dxfId="1140" priority="225"/>
  </conditionalFormatting>
  <conditionalFormatting sqref="AP47">
    <cfRule type="duplicateValues" dxfId="1139" priority="212"/>
  </conditionalFormatting>
  <conditionalFormatting sqref="AP48">
    <cfRule type="duplicateValues" dxfId="1138" priority="211"/>
  </conditionalFormatting>
  <conditionalFormatting sqref="AP49">
    <cfRule type="duplicateValues" dxfId="1137" priority="210"/>
  </conditionalFormatting>
  <conditionalFormatting sqref="AP50 AP52:AP53">
    <cfRule type="duplicateValues" dxfId="1136" priority="224"/>
  </conditionalFormatting>
  <conditionalFormatting sqref="AQ47">
    <cfRule type="duplicateValues" dxfId="1135" priority="206"/>
  </conditionalFormatting>
  <conditionalFormatting sqref="AQ48">
    <cfRule type="duplicateValues" dxfId="1134" priority="208"/>
  </conditionalFormatting>
  <conditionalFormatting sqref="AQ49">
    <cfRule type="duplicateValues" dxfId="1133" priority="207"/>
  </conditionalFormatting>
  <conditionalFormatting sqref="AQ50 AQ52:AQ53">
    <cfRule type="duplicateValues" dxfId="1132" priority="209"/>
  </conditionalFormatting>
  <conditionalFormatting sqref="AQ62">
    <cfRule type="duplicateValues" dxfId="1131" priority="134"/>
  </conditionalFormatting>
  <conditionalFormatting sqref="AQ63">
    <cfRule type="duplicateValues" dxfId="1130" priority="132"/>
  </conditionalFormatting>
  <conditionalFormatting sqref="AQ64">
    <cfRule type="duplicateValues" dxfId="1129" priority="127"/>
  </conditionalFormatting>
  <conditionalFormatting sqref="AQ65">
    <cfRule type="duplicateValues" dxfId="1128" priority="125"/>
  </conditionalFormatting>
  <conditionalFormatting sqref="AQ66">
    <cfRule type="duplicateValues" dxfId="1127" priority="130"/>
  </conditionalFormatting>
  <conditionalFormatting sqref="AQ70">
    <cfRule type="duplicateValues" dxfId="1126" priority="86"/>
  </conditionalFormatting>
  <conditionalFormatting sqref="AQ75">
    <cfRule type="duplicateValues" dxfId="1125" priority="82"/>
  </conditionalFormatting>
  <conditionalFormatting sqref="AQ76">
    <cfRule type="duplicateValues" dxfId="1124" priority="81"/>
  </conditionalFormatting>
  <conditionalFormatting sqref="AQ79">
    <cfRule type="duplicateValues" dxfId="1123" priority="477"/>
  </conditionalFormatting>
  <conditionalFormatting sqref="AQ80">
    <cfRule type="duplicateValues" dxfId="1122" priority="55"/>
  </conditionalFormatting>
  <conditionalFormatting sqref="AQ82">
    <cfRule type="duplicateValues" dxfId="1121" priority="52"/>
  </conditionalFormatting>
  <conditionalFormatting sqref="AQ83">
    <cfRule type="duplicateValues" dxfId="1120" priority="54"/>
  </conditionalFormatting>
  <conditionalFormatting sqref="AQ84">
    <cfRule type="duplicateValues" dxfId="1119" priority="53"/>
  </conditionalFormatting>
  <conditionalFormatting sqref="AQ86">
    <cfRule type="duplicateValues" dxfId="1118" priority="50"/>
  </conditionalFormatting>
  <conditionalFormatting sqref="AQ87">
    <cfRule type="duplicateValues" dxfId="1117" priority="49"/>
  </conditionalFormatting>
  <conditionalFormatting sqref="AQ88">
    <cfRule type="duplicateValues" dxfId="1116" priority="48"/>
  </conditionalFormatting>
  <conditionalFormatting sqref="AQ89">
    <cfRule type="duplicateValues" dxfId="1115" priority="47"/>
  </conditionalFormatting>
  <conditionalFormatting sqref="AQ90">
    <cfRule type="duplicateValues" dxfId="1114" priority="46"/>
  </conditionalFormatting>
  <conditionalFormatting sqref="AQ91">
    <cfRule type="duplicateValues" dxfId="1113" priority="45"/>
  </conditionalFormatting>
  <conditionalFormatting sqref="AQ92">
    <cfRule type="duplicateValues" dxfId="1112" priority="51"/>
  </conditionalFormatting>
  <conditionalFormatting sqref="AQ93">
    <cfRule type="duplicateValues" dxfId="1111" priority="44"/>
  </conditionalFormatting>
  <conditionalFormatting sqref="AQ94">
    <cfRule type="duplicateValues" dxfId="1110" priority="43"/>
  </conditionalFormatting>
  <conditionalFormatting sqref="AQ95">
    <cfRule type="duplicateValues" dxfId="1109" priority="451"/>
  </conditionalFormatting>
  <conditionalFormatting sqref="AQ103">
    <cfRule type="duplicateValues" dxfId="1108" priority="38"/>
  </conditionalFormatting>
  <conditionalFormatting sqref="AR103:AU103">
    <cfRule type="duplicateValues" dxfId="1107" priority="41"/>
  </conditionalFormatting>
  <conditionalFormatting sqref="AR51:BA51">
    <cfRule type="duplicateValues" dxfId="1106" priority="33"/>
  </conditionalFormatting>
  <conditionalFormatting sqref="AR55:BA55">
    <cfRule type="duplicateValues" dxfId="1105" priority="202"/>
  </conditionalFormatting>
  <conditionalFormatting sqref="AV103:AZ103">
    <cfRule type="duplicateValues" dxfId="1104" priority="40"/>
  </conditionalFormatting>
  <conditionalFormatting sqref="AV31:BA33">
    <cfRule type="duplicateValues" dxfId="1103" priority="13"/>
  </conditionalFormatting>
  <conditionalFormatting sqref="AV40:BA46">
    <cfRule type="duplicateValues" dxfId="1102" priority="11"/>
  </conditionalFormatting>
  <conditionalFormatting sqref="AV54:BA54">
    <cfRule type="duplicateValues" dxfId="1101" priority="9"/>
  </conditionalFormatting>
  <conditionalFormatting sqref="AV71:BA71">
    <cfRule type="duplicateValues" dxfId="1100" priority="5"/>
  </conditionalFormatting>
  <conditionalFormatting sqref="AV72:BA72">
    <cfRule type="duplicateValues" dxfId="1099" priority="3"/>
  </conditionalFormatting>
  <conditionalFormatting sqref="AV78:BA78">
    <cfRule type="duplicateValues" dxfId="1098" priority="7"/>
  </conditionalFormatting>
  <conditionalFormatting sqref="BA56">
    <cfRule type="duplicateValues" dxfId="1097" priority="112"/>
  </conditionalFormatting>
  <conditionalFormatting sqref="BA103">
    <cfRule type="duplicateValues" dxfId="1096" priority="39"/>
  </conditionalFormatting>
  <conditionalFormatting sqref="BC55:BK55">
    <cfRule type="duplicateValues" dxfId="1095" priority="201"/>
  </conditionalFormatting>
  <conditionalFormatting sqref="BC56:BK56 BM56:BU56">
    <cfRule type="duplicateValues" dxfId="1094" priority="144"/>
  </conditionalFormatting>
  <conditionalFormatting sqref="BC57:BK57 BM57:BV57">
    <cfRule type="duplicateValues" dxfId="1093" priority="119"/>
  </conditionalFormatting>
  <conditionalFormatting sqref="BM55:BU55">
    <cfRule type="duplicateValues" dxfId="1092" priority="200"/>
  </conditionalFormatting>
  <conditionalFormatting sqref="BV55">
    <cfRule type="duplicateValues" dxfId="1091" priority="111"/>
  </conditionalFormatting>
  <conditionalFormatting sqref="BV56">
    <cfRule type="duplicateValues" dxfId="1090" priority="110"/>
  </conditionalFormatting>
  <conditionalFormatting sqref="BX55">
    <cfRule type="duplicateValues" dxfId="1089" priority="163"/>
  </conditionalFormatting>
  <conditionalFormatting sqref="BX56:CF56 CH56:CP56">
    <cfRule type="duplicateValues" dxfId="1088" priority="143"/>
  </conditionalFormatting>
  <conditionalFormatting sqref="BX57:CF57 CH57:CQ57">
    <cfRule type="duplicateValues" dxfId="1087" priority="118"/>
  </conditionalFormatting>
  <conditionalFormatting sqref="BY55:CF55">
    <cfRule type="duplicateValues" dxfId="1086" priority="199"/>
  </conditionalFormatting>
  <conditionalFormatting sqref="CH55:CQ55">
    <cfRule type="duplicateValues" dxfId="1085" priority="198"/>
  </conditionalFormatting>
  <conditionalFormatting sqref="CQ56">
    <cfRule type="duplicateValues" dxfId="1084" priority="109"/>
  </conditionalFormatting>
  <conditionalFormatting sqref="CS55">
    <cfRule type="duplicateValues" dxfId="1083" priority="162"/>
  </conditionalFormatting>
  <conditionalFormatting sqref="CS56:DA56 DX56:EF56">
    <cfRule type="duplicateValues" dxfId="1082" priority="142"/>
  </conditionalFormatting>
  <conditionalFormatting sqref="CS57:DA57 DX57:EG57">
    <cfRule type="duplicateValues" dxfId="1081" priority="117"/>
  </conditionalFormatting>
  <conditionalFormatting sqref="CT55:DA55">
    <cfRule type="duplicateValues" dxfId="1080" priority="204"/>
  </conditionalFormatting>
  <conditionalFormatting sqref="DC55:DK55">
    <cfRule type="duplicateValues" dxfId="1079" priority="205"/>
  </conditionalFormatting>
  <conditionalFormatting sqref="DC56:DK56">
    <cfRule type="duplicateValues" dxfId="1078" priority="121"/>
  </conditionalFormatting>
  <conditionalFormatting sqref="DC57:DL57">
    <cfRule type="duplicateValues" dxfId="1077" priority="115"/>
  </conditionalFormatting>
  <conditionalFormatting sqref="DL55">
    <cfRule type="duplicateValues" dxfId="1076" priority="108"/>
  </conditionalFormatting>
  <conditionalFormatting sqref="DL56">
    <cfRule type="duplicateValues" dxfId="1075" priority="107"/>
  </conditionalFormatting>
  <conditionalFormatting sqref="DN55">
    <cfRule type="duplicateValues" dxfId="1074" priority="161"/>
  </conditionalFormatting>
  <conditionalFormatting sqref="DO55:DV55">
    <cfRule type="duplicateValues" dxfId="1073" priority="196"/>
  </conditionalFormatting>
  <conditionalFormatting sqref="DX55:EF55">
    <cfRule type="duplicateValues" dxfId="1072" priority="197"/>
  </conditionalFormatting>
  <conditionalFormatting sqref="EG55">
    <cfRule type="duplicateValues" dxfId="1071" priority="106"/>
  </conditionalFormatting>
  <conditionalFormatting sqref="EG56">
    <cfRule type="duplicateValues" dxfId="1070" priority="105"/>
  </conditionalFormatting>
  <conditionalFormatting sqref="EI55">
    <cfRule type="duplicateValues" dxfId="1069" priority="160"/>
  </conditionalFormatting>
  <conditionalFormatting sqref="EI56:EQ56 ES56:FA56">
    <cfRule type="duplicateValues" dxfId="1068" priority="141"/>
  </conditionalFormatting>
  <conditionalFormatting sqref="EI57:EQ57 ES57:FB57">
    <cfRule type="duplicateValues" dxfId="1067" priority="116"/>
  </conditionalFormatting>
  <conditionalFormatting sqref="EJ55:EQ55">
    <cfRule type="duplicateValues" dxfId="1066" priority="195"/>
  </conditionalFormatting>
  <conditionalFormatting sqref="ES55:FA55">
    <cfRule type="duplicateValues" dxfId="1065" priority="122"/>
  </conditionalFormatting>
  <conditionalFormatting sqref="FB55">
    <cfRule type="duplicateValues" dxfId="1064" priority="104"/>
  </conditionalFormatting>
  <conditionalFormatting sqref="FB56">
    <cfRule type="duplicateValues" dxfId="1063" priority="103"/>
  </conditionalFormatting>
  <conditionalFormatting sqref="FD55">
    <cfRule type="duplicateValues" dxfId="1062" priority="159"/>
  </conditionalFormatting>
  <conditionalFormatting sqref="FD56:FL56 FN56:FV56">
    <cfRule type="duplicateValues" dxfId="1061" priority="140"/>
  </conditionalFormatting>
  <conditionalFormatting sqref="FE55:FL55">
    <cfRule type="duplicateValues" dxfId="1060" priority="194"/>
  </conditionalFormatting>
  <conditionalFormatting sqref="FN55:FV55">
    <cfRule type="duplicateValues" dxfId="1059" priority="193"/>
  </conditionalFormatting>
  <conditionalFormatting sqref="FW55">
    <cfRule type="duplicateValues" dxfId="1058" priority="102"/>
  </conditionalFormatting>
  <conditionalFormatting sqref="FW56">
    <cfRule type="duplicateValues" dxfId="1057" priority="101"/>
  </conditionalFormatting>
  <conditionalFormatting sqref="FY55">
    <cfRule type="duplicateValues" dxfId="1056" priority="158"/>
  </conditionalFormatting>
  <conditionalFormatting sqref="FY56:GG56 GI56:GQ56">
    <cfRule type="duplicateValues" dxfId="1055" priority="139"/>
  </conditionalFormatting>
  <conditionalFormatting sqref="FZ55:GG55">
    <cfRule type="duplicateValues" dxfId="1054" priority="192"/>
  </conditionalFormatting>
  <conditionalFormatting sqref="GI55:GQ55">
    <cfRule type="duplicateValues" dxfId="1053" priority="191"/>
  </conditionalFormatting>
  <conditionalFormatting sqref="GR55">
    <cfRule type="duplicateValues" dxfId="1052" priority="100"/>
  </conditionalFormatting>
  <conditionalFormatting sqref="GR56">
    <cfRule type="duplicateValues" dxfId="1051" priority="99"/>
  </conditionalFormatting>
  <conditionalFormatting sqref="GT55">
    <cfRule type="duplicateValues" dxfId="1050" priority="157"/>
  </conditionalFormatting>
  <conditionalFormatting sqref="GU55:HB55">
    <cfRule type="duplicateValues" dxfId="1049" priority="190"/>
  </conditionalFormatting>
  <conditionalFormatting sqref="HD55:HL55">
    <cfRule type="duplicateValues" dxfId="1048" priority="189"/>
  </conditionalFormatting>
  <conditionalFormatting sqref="HM55">
    <cfRule type="duplicateValues" dxfId="1047" priority="87"/>
  </conditionalFormatting>
  <conditionalFormatting sqref="HO55">
    <cfRule type="duplicateValues" dxfId="1046" priority="156"/>
  </conditionalFormatting>
  <conditionalFormatting sqref="HP55:HW55">
    <cfRule type="duplicateValues" dxfId="1045" priority="188"/>
  </conditionalFormatting>
  <conditionalFormatting sqref="HY55:IG55">
    <cfRule type="duplicateValues" dxfId="1044" priority="187"/>
  </conditionalFormatting>
  <conditionalFormatting sqref="IH55">
    <cfRule type="duplicateValues" dxfId="1043" priority="88"/>
  </conditionalFormatting>
  <conditionalFormatting sqref="IJ55">
    <cfRule type="duplicateValues" dxfId="1042" priority="155"/>
  </conditionalFormatting>
  <conditionalFormatting sqref="IK55:IR55">
    <cfRule type="duplicateValues" dxfId="1041" priority="186"/>
  </conditionalFormatting>
  <conditionalFormatting sqref="IT55:JB55">
    <cfRule type="duplicateValues" dxfId="1040" priority="185"/>
  </conditionalFormatting>
  <conditionalFormatting sqref="JC55">
    <cfRule type="duplicateValues" dxfId="1039" priority="89"/>
  </conditionalFormatting>
  <conditionalFormatting sqref="JE55">
    <cfRule type="duplicateValues" dxfId="1038" priority="154"/>
  </conditionalFormatting>
  <conditionalFormatting sqref="JF55:JM55">
    <cfRule type="duplicateValues" dxfId="1037" priority="184"/>
  </conditionalFormatting>
  <conditionalFormatting sqref="JO55:JW55">
    <cfRule type="duplicateValues" dxfId="1036" priority="183"/>
  </conditionalFormatting>
  <conditionalFormatting sqref="JX55">
    <cfRule type="duplicateValues" dxfId="1035" priority="90"/>
  </conditionalFormatting>
  <conditionalFormatting sqref="JZ55">
    <cfRule type="duplicateValues" dxfId="1034" priority="153"/>
  </conditionalFormatting>
  <conditionalFormatting sqref="KA55:KH55">
    <cfRule type="duplicateValues" dxfId="1033" priority="182"/>
  </conditionalFormatting>
  <conditionalFormatting sqref="KJ55:KR55">
    <cfRule type="duplicateValues" dxfId="1032" priority="181"/>
  </conditionalFormatting>
  <conditionalFormatting sqref="KS55">
    <cfRule type="duplicateValues" dxfId="1031" priority="91"/>
  </conditionalFormatting>
  <conditionalFormatting sqref="KU55">
    <cfRule type="duplicateValues" dxfId="1030" priority="152"/>
  </conditionalFormatting>
  <conditionalFormatting sqref="KV55:LC55">
    <cfRule type="duplicateValues" dxfId="1029" priority="180"/>
  </conditionalFormatting>
  <conditionalFormatting sqref="LE55:LM55">
    <cfRule type="duplicateValues" dxfId="1028" priority="179"/>
  </conditionalFormatting>
  <conditionalFormatting sqref="LN55">
    <cfRule type="duplicateValues" dxfId="1027" priority="92"/>
  </conditionalFormatting>
  <conditionalFormatting sqref="LP55">
    <cfRule type="duplicateValues" dxfId="1026" priority="151"/>
  </conditionalFormatting>
  <conditionalFormatting sqref="LQ55:LX55">
    <cfRule type="duplicateValues" dxfId="1025" priority="177"/>
  </conditionalFormatting>
  <conditionalFormatting sqref="LZ55:MH55">
    <cfRule type="duplicateValues" dxfId="1024" priority="178"/>
  </conditionalFormatting>
  <conditionalFormatting sqref="MI55">
    <cfRule type="duplicateValues" dxfId="1023" priority="93"/>
  </conditionalFormatting>
  <conditionalFormatting sqref="MK55">
    <cfRule type="duplicateValues" dxfId="1022" priority="150"/>
  </conditionalFormatting>
  <conditionalFormatting sqref="ML55:MS55">
    <cfRule type="duplicateValues" dxfId="1021" priority="176"/>
  </conditionalFormatting>
  <conditionalFormatting sqref="MU55:NC55">
    <cfRule type="duplicateValues" dxfId="1020" priority="175"/>
  </conditionalFormatting>
  <conditionalFormatting sqref="ND55">
    <cfRule type="duplicateValues" dxfId="1019" priority="94"/>
  </conditionalFormatting>
  <conditionalFormatting sqref="NF55">
    <cfRule type="duplicateValues" dxfId="1018" priority="149"/>
  </conditionalFormatting>
  <conditionalFormatting sqref="NG55:NN55">
    <cfRule type="duplicateValues" dxfId="1017" priority="174"/>
  </conditionalFormatting>
  <conditionalFormatting sqref="NP55:NX55">
    <cfRule type="duplicateValues" dxfId="1016" priority="173"/>
  </conditionalFormatting>
  <conditionalFormatting sqref="NY55">
    <cfRule type="duplicateValues" dxfId="1015" priority="95"/>
  </conditionalFormatting>
  <conditionalFormatting sqref="OA55">
    <cfRule type="duplicateValues" dxfId="1014" priority="148"/>
  </conditionalFormatting>
  <conditionalFormatting sqref="OB55:OI55">
    <cfRule type="duplicateValues" dxfId="1013" priority="172"/>
  </conditionalFormatting>
  <conditionalFormatting sqref="OK55:OS55">
    <cfRule type="duplicateValues" dxfId="1012" priority="171"/>
  </conditionalFormatting>
  <conditionalFormatting sqref="OT55">
    <cfRule type="duplicateValues" dxfId="1011" priority="96"/>
  </conditionalFormatting>
  <conditionalFormatting sqref="OV55">
    <cfRule type="duplicateValues" dxfId="1010" priority="147"/>
  </conditionalFormatting>
  <conditionalFormatting sqref="OW55:PD55">
    <cfRule type="duplicateValues" dxfId="1009" priority="170"/>
  </conditionalFormatting>
  <conditionalFormatting sqref="PF55:PN55">
    <cfRule type="duplicateValues" dxfId="1008" priority="169"/>
  </conditionalFormatting>
  <conditionalFormatting sqref="PO55">
    <cfRule type="duplicateValues" dxfId="1007" priority="97"/>
  </conditionalFormatting>
  <conditionalFormatting sqref="PQ55">
    <cfRule type="duplicateValues" dxfId="1006" priority="146"/>
  </conditionalFormatting>
  <conditionalFormatting sqref="PR55:PY55">
    <cfRule type="duplicateValues" dxfId="1005" priority="168"/>
  </conditionalFormatting>
  <conditionalFormatting sqref="QA55:QI55">
    <cfRule type="duplicateValues" dxfId="1004" priority="167"/>
  </conditionalFormatting>
  <conditionalFormatting sqref="QJ55">
    <cfRule type="duplicateValues" dxfId="1003" priority="98"/>
  </conditionalFormatting>
  <conditionalFormatting sqref="QL55">
    <cfRule type="duplicateValues" dxfId="1002" priority="145"/>
  </conditionalFormatting>
  <conditionalFormatting sqref="QM55:QT55">
    <cfRule type="duplicateValues" dxfId="1001" priority="166"/>
  </conditionalFormatting>
  <conditionalFormatting sqref="QV55:RE55">
    <cfRule type="duplicateValues" dxfId="1000" priority="165"/>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19" r:id="rId6" name="Group Box 3">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34825" r:id="rId7" name="Option Button 9">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34826" r:id="rId8" name="Option Button 10">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34827" r:id="rId9" name="Option Button 11">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34828" r:id="rId10" name="Option Button 12">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34829" r:id="rId11" name="Option Button 13">
              <controlPr defaultSize="0" autoFill="0" autoLine="0" autoPict="0" altText="">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34830" r:id="rId12" name="Option Button 14">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34831" r:id="rId13" name="Option Button 15">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34832" r:id="rId14" name="Option Button 16">
              <controlPr defaultSize="0" autoFill="0" autoLine="0" autoPict="0" altText="">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34833" r:id="rId15" name="Option Button 17">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34834" r:id="rId1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34840" r:id="rId17"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3" r:id="rId19" name="Option Button 27">
              <controlPr defaultSize="0" autoFill="0" autoLine="0" autoPict="0" altText="">
                <anchor moveWithCells="1">
                  <from>
                    <xdr:col>12</xdr:col>
                    <xdr:colOff>83820</xdr:colOff>
                    <xdr:row>14</xdr:row>
                    <xdr:rowOff>160020</xdr:rowOff>
                  </from>
                  <to>
                    <xdr:col>12</xdr:col>
                    <xdr:colOff>144780</xdr:colOff>
                    <xdr:row>15</xdr:row>
                    <xdr:rowOff>30480</xdr:rowOff>
                  </to>
                </anchor>
              </controlPr>
            </control>
          </mc:Choice>
        </mc:AlternateContent>
        <mc:AlternateContent xmlns:mc="http://schemas.openxmlformats.org/markup-compatibility/2006">
          <mc:Choice Requires="x14">
            <control shapeId="34844" r:id="rId20" name="Option Button 28">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34845" r:id="rId21"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2"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3" name="Group Box 33">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34850" r:id="rId24"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5"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DB6C093-B0F8-49AF-B74E-1FE18B9DFD58}">
            <xm:f>Info!$V$7=2</xm:f>
            <x14:dxf>
              <font>
                <color theme="0" tint="-4.9989318521683403E-2"/>
              </font>
              <border>
                <vertical/>
                <horizontal/>
              </border>
            </x14:dxf>
          </x14:cfRule>
          <xm:sqref>B100:N100</xm:sqref>
        </x14:conditionalFormatting>
        <x14:conditionalFormatting xmlns:xm="http://schemas.microsoft.com/office/excel/2006/main">
          <x14:cfRule type="expression" priority="644" id="{89C7E41D-56B3-4FE8-88D5-B93EF89A5337}">
            <xm:f>$H$35=Formeln!$A$1</xm:f>
            <x14:dxf>
              <fill>
                <patternFill>
                  <bgColor theme="0" tint="-0.14996795556505021"/>
                </patternFill>
              </fill>
            </x14:dxf>
          </x14:cfRule>
          <xm:sqref>H35:K35</xm:sqref>
        </x14:conditionalFormatting>
        <x14:conditionalFormatting xmlns:xm="http://schemas.microsoft.com/office/excel/2006/main">
          <x14:cfRule type="expression" priority="642" id="{B5DC80F8-1CC2-4297-9D4D-2AB571B93E0B}">
            <xm:f>$H$38=Formeln!$A$1</xm:f>
            <x14:dxf>
              <fill>
                <patternFill>
                  <bgColor theme="0" tint="-0.14996795556505021"/>
                </patternFill>
              </fill>
            </x14:dxf>
          </x14:cfRule>
          <xm:sqref>H38:K38</xm:sqref>
        </x14:conditionalFormatting>
        <x14:conditionalFormatting xmlns:xm="http://schemas.microsoft.com/office/excel/2006/main">
          <x14:cfRule type="expression" priority="381" id="{082F2C70-C63E-4273-8FFF-362259CF9A2D}">
            <xm:f>$H$48=Formeln!$A$1</xm:f>
            <x14:dxf>
              <fill>
                <patternFill>
                  <bgColor theme="0" tint="-0.14996795556505021"/>
                </patternFill>
              </fill>
            </x14:dxf>
          </x14:cfRule>
          <xm:sqref>H48:K48</xm:sqref>
        </x14:conditionalFormatting>
        <x14:conditionalFormatting xmlns:xm="http://schemas.microsoft.com/office/excel/2006/main">
          <x14:cfRule type="expression" priority="380" id="{77647DCB-3294-4866-9999-E420D472828C}">
            <xm:f>$H$49=Formeln!$A$1</xm:f>
            <x14:dxf>
              <fill>
                <patternFill>
                  <bgColor theme="0" tint="-0.14996795556505021"/>
                </patternFill>
              </fill>
            </x14:dxf>
          </x14:cfRule>
          <xm:sqref>H49:K49</xm:sqref>
        </x14:conditionalFormatting>
        <x14:conditionalFormatting xmlns:xm="http://schemas.microsoft.com/office/excel/2006/main">
          <x14:cfRule type="expression" priority="634" id="{2EAD09A3-AD22-4BC3-8CAB-C631F890839B}">
            <xm:f>$I$103=Formeln!$A$1</xm:f>
            <x14:dxf>
              <fill>
                <patternFill>
                  <bgColor theme="0" tint="-0.14996795556505021"/>
                </patternFill>
              </fill>
            </x14:dxf>
          </x14:cfRule>
          <xm:sqref>I103</xm:sqref>
        </x14:conditionalFormatting>
        <x14:conditionalFormatting xmlns:xm="http://schemas.microsoft.com/office/excel/2006/main">
          <x14:cfRule type="expression" priority="635" id="{66898D22-BD49-4F36-A7D4-C849D98407A4}">
            <xm:f>$I$102=Formeln!$A$1</xm:f>
            <x14:dxf>
              <fill>
                <patternFill>
                  <bgColor theme="0" tint="-0.14996795556505021"/>
                </patternFill>
              </fill>
            </x14:dxf>
          </x14:cfRule>
          <xm:sqref>I102:K102</xm:sqref>
        </x14:conditionalFormatting>
        <x14:conditionalFormatting xmlns:xm="http://schemas.microsoft.com/office/excel/2006/main">
          <x14:cfRule type="expression" priority="265" id="{082AC7D9-51CA-4F9A-99EB-32AD47D3FA3A}">
            <xm:f>$J$55=Formeln!$A$30</xm:f>
            <x14:dxf>
              <fill>
                <patternFill>
                  <bgColor theme="0" tint="-0.14996795556505021"/>
                </patternFill>
              </fill>
            </x14:dxf>
          </x14:cfRule>
          <xm:sqref>J55:K55</xm:sqref>
        </x14:conditionalFormatting>
        <x14:conditionalFormatting xmlns:xm="http://schemas.microsoft.com/office/excel/2006/main">
          <x14:cfRule type="expression" priority="264" id="{2E3E1A51-F635-4EF4-A698-C54FECE2870A}">
            <xm:f>$J$56=Formeln!$A$52</xm:f>
            <x14:dxf>
              <fill>
                <patternFill>
                  <bgColor theme="0" tint="-0.14996795556505021"/>
                </patternFill>
              </fill>
            </x14:dxf>
          </x14:cfRule>
          <xm:sqref>J56:K56</xm:sqref>
        </x14:conditionalFormatting>
        <x14:conditionalFormatting xmlns:xm="http://schemas.microsoft.com/office/excel/2006/main">
          <x14:cfRule type="expression" priority="263" id="{26601A48-6730-4133-8444-C64A833AA702}">
            <xm:f>$J$57=Formeln!$C$52</xm:f>
            <x14:dxf>
              <fill>
                <patternFill>
                  <bgColor theme="0" tint="-0.14996795556505021"/>
                </patternFill>
              </fill>
            </x14:dxf>
          </x14:cfRule>
          <xm:sqref>J57:K57</xm:sqref>
        </x14:conditionalFormatting>
        <x14:conditionalFormatting xmlns:xm="http://schemas.microsoft.com/office/excel/2006/main">
          <x14:cfRule type="expression" priority="632" id="{E7D9110D-2DEF-4D48-BFF2-479144C112AB}">
            <xm:f>$K$103=Formeln!$A$1</xm:f>
            <x14:dxf>
              <fill>
                <patternFill>
                  <bgColor theme="0" tint="-0.14996795556505021"/>
                </patternFill>
              </fill>
            </x14:dxf>
          </x14:cfRule>
          <xm:sqref>K103</xm:sqref>
        </x14:conditionalFormatting>
        <x14:conditionalFormatting xmlns:xm="http://schemas.microsoft.com/office/excel/2006/main">
          <x14:cfRule type="expression" priority="17" id="{9F4FAEBA-19B2-40A3-8417-67769A722FA2}">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21" id="{F6A4373A-0628-4FAF-97DD-1AF3FC6BFCFE}">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500-000000000000}">
          <x14:formula1>
            <xm:f>Formeln!$A$30:$A$51</xm:f>
          </x14:formula1>
          <xm:sqref>J55:K55</xm:sqref>
        </x14:dataValidation>
        <x14:dataValidation type="list" allowBlank="1" showInputMessage="1" showErrorMessage="1" xr:uid="{00000000-0002-0000-0500-000001000000}">
          <x14:formula1>
            <xm:f>Formeln!$A$23:$A$25</xm:f>
          </x14:formula1>
          <xm:sqref>I103</xm:sqref>
        </x14:dataValidation>
        <x14:dataValidation type="list" allowBlank="1" showInputMessage="1" showErrorMessage="1" xr:uid="{00000000-0002-0000-0500-000002000000}">
          <x14:formula1>
            <xm:f>Formeln!$A$20:$A$22</xm:f>
          </x14:formula1>
          <xm:sqref>H49:K49</xm:sqref>
        </x14:dataValidation>
        <x14:dataValidation type="list" allowBlank="1" showInputMessage="1" showErrorMessage="1" xr:uid="{00000000-0002-0000-0500-000003000000}">
          <x14:formula1>
            <xm:f>Formeln!$A$17:$A$19</xm:f>
          </x14:formula1>
          <xm:sqref>H48:K48</xm:sqref>
        </x14:dataValidation>
        <x14:dataValidation type="list" allowBlank="1" showInputMessage="1" showErrorMessage="1" xr:uid="{00000000-0002-0000-0500-000004000000}">
          <x14:formula1>
            <xm:f>Formeln!$A$9:$A$15</xm:f>
          </x14:formula1>
          <xm:sqref>H38:K38</xm:sqref>
        </x14:dataValidation>
        <x14:dataValidation type="list" allowBlank="1" showInputMessage="1" showErrorMessage="1" xr:uid="{00000000-0002-0000-0500-000005000000}">
          <x14:formula1>
            <xm:f>Formeln!$A$5:$A$8</xm:f>
          </x14:formula1>
          <xm:sqref>H36:K36</xm:sqref>
        </x14:dataValidation>
        <x14:dataValidation type="list" allowBlank="1" showInputMessage="1" showErrorMessage="1" xr:uid="{00000000-0002-0000-0500-000006000000}">
          <x14:formula1>
            <xm:f>Formeln!$A$1:$A$4</xm:f>
          </x14:formula1>
          <xm:sqref>H35:K35</xm:sqref>
        </x14:dataValidation>
        <x14:dataValidation type="list" allowBlank="1" showInputMessage="1" showErrorMessage="1" xr:uid="{00000000-0002-0000-0500-000007000000}">
          <x14:formula1>
            <xm:f>Formeln!$A$106:$A$111</xm:f>
          </x14:formula1>
          <xm:sqref>I102:K102</xm:sqref>
        </x14:dataValidation>
        <x14:dataValidation type="list" allowBlank="1" showInputMessage="1" showErrorMessage="1" xr:uid="{00000000-0002-0000-0500-000008000000}">
          <x14:formula1>
            <xm:f>Formeln!$A$52:$A$103</xm:f>
          </x14:formula1>
          <xm:sqref>J56:K56</xm:sqref>
        </x14:dataValidation>
        <x14:dataValidation type="list" allowBlank="1" showInputMessage="1" showErrorMessage="1" xr:uid="{00000000-0002-0000-0500-000009000000}">
          <x14:formula1>
            <xm:f>Formeln!$C$52:$C$111</xm:f>
          </x14:formula1>
          <xm:sqref>J57:K57</xm:sqref>
        </x14:dataValidation>
        <x14:dataValidation type="list" allowBlank="1" showInputMessage="1" showErrorMessage="1" xr:uid="{00000000-0002-0000-0500-00000A000000}">
          <x14:formula1>
            <xm:f>Formeln!$A$127:$A$138</xm:f>
          </x14:formula1>
          <xm:sqref>K103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RF128"/>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25" width="9.6640625" style="1" hidden="1" customWidth="1"/>
    <col min="26" max="26" width="10.88671875" style="5" hidden="1" customWidth="1"/>
    <col min="27" max="27" width="15" style="5" hidden="1" customWidth="1"/>
    <col min="28" max="28" width="10.44140625" style="9" hidden="1" customWidth="1"/>
    <col min="29" max="29" width="26" style="9" hidden="1" customWidth="1"/>
    <col min="30" max="30" width="26" style="1" hidden="1" customWidth="1"/>
    <col min="31" max="32" width="5.6640625" style="1" hidden="1" customWidth="1"/>
    <col min="33" max="33" width="1.33203125" style="1" hidden="1" customWidth="1"/>
    <col min="34" max="34" width="18.88671875" style="1" hidden="1" customWidth="1"/>
    <col min="35" max="35" width="8.6640625" style="1" hidden="1" customWidth="1"/>
    <col min="36" max="36" width="11.44140625" style="1" hidden="1" customWidth="1"/>
    <col min="37" max="37" width="10.109375" style="1" hidden="1" customWidth="1"/>
    <col min="38" max="38" width="12.88671875" style="1" hidden="1" customWidth="1"/>
    <col min="39" max="39" width="12.44140625" style="1" hidden="1" customWidth="1"/>
    <col min="40" max="40" width="13.6640625" style="1" hidden="1" customWidth="1"/>
    <col min="41" max="41" width="13.109375" style="1" hidden="1" customWidth="1"/>
    <col min="42" max="42" width="12" style="1" hidden="1" customWidth="1"/>
    <col min="43" max="43" width="17.44140625" style="1" hidden="1" customWidth="1"/>
    <col min="44" max="44" width="12.6640625" style="1" hidden="1" customWidth="1"/>
    <col min="45" max="45" width="11.6640625" style="1" hidden="1" customWidth="1"/>
    <col min="46" max="46" width="11.44140625" style="1" hidden="1" customWidth="1"/>
    <col min="47" max="47" width="10.109375" style="1" hidden="1" customWidth="1"/>
    <col min="48" max="48" width="12.88671875" style="1" hidden="1" customWidth="1"/>
    <col min="49" max="49" width="12.44140625" style="1" hidden="1" customWidth="1"/>
    <col min="50" max="50" width="13.6640625" style="1" hidden="1" customWidth="1"/>
    <col min="51" max="51" width="13.109375" style="1" hidden="1" customWidth="1"/>
    <col min="52" max="52" width="12" style="1" hidden="1" customWidth="1"/>
    <col min="53" max="53" width="17.44140625" style="1" hidden="1" customWidth="1"/>
    <col min="54" max="426" width="12.6640625" style="1" hidden="1" customWidth="1"/>
    <col min="427" max="474" width="0" style="1" hidden="1" customWidth="1"/>
    <col min="475" max="16384" width="4.33203125" style="1" hidden="1"/>
  </cols>
  <sheetData>
    <row r="1" spans="1:30" ht="28.2">
      <c r="N1" s="2" t="str">
        <f>VLOOKUP(279,Sprachindex!$A:$Z,Info!$O$7,FALSE)</f>
        <v>Dachsysteme</v>
      </c>
      <c r="O1" s="2"/>
      <c r="P1" s="2"/>
      <c r="Q1" s="2"/>
      <c r="R1" s="2"/>
      <c r="S1" s="2"/>
      <c r="T1" s="2"/>
      <c r="U1" s="2"/>
      <c r="V1" s="2"/>
      <c r="W1" s="2"/>
      <c r="X1" s="2"/>
      <c r="Y1" s="2"/>
    </row>
    <row r="2" spans="1:30" ht="28.2">
      <c r="D2" s="18"/>
      <c r="N2" s="2" t="str">
        <f>VLOOKUP(267,Sprachindex!$A:$Z,Info!$O$7,FALSE)</f>
        <v>Dachraute 29 × 29</v>
      </c>
      <c r="O2" s="2"/>
      <c r="P2" s="2"/>
      <c r="Q2" s="2"/>
      <c r="R2" s="2"/>
      <c r="S2" s="2"/>
      <c r="T2" s="2"/>
      <c r="U2" s="2"/>
      <c r="V2" s="2"/>
      <c r="W2" s="2"/>
      <c r="X2" s="2"/>
      <c r="Y2" s="2"/>
    </row>
    <row r="3" spans="1:30" ht="15" customHeight="1"/>
    <row r="4" spans="1:30" ht="17.25" customHeight="1">
      <c r="N4" s="204"/>
      <c r="O4" s="204"/>
      <c r="P4" s="204"/>
      <c r="Q4" s="204"/>
      <c r="R4" s="204"/>
      <c r="S4" s="204"/>
      <c r="T4" s="204"/>
      <c r="U4" s="204"/>
      <c r="V4" s="204"/>
      <c r="W4" s="204"/>
      <c r="X4" s="204"/>
      <c r="Y4" s="204"/>
      <c r="AD4" s="3"/>
    </row>
    <row r="5" spans="1:30" ht="17.25" customHeight="1">
      <c r="N5" s="204"/>
      <c r="O5" s="204"/>
      <c r="P5" s="204"/>
      <c r="Q5" s="204"/>
      <c r="R5" s="204"/>
      <c r="S5" s="204"/>
      <c r="T5" s="204"/>
      <c r="U5" s="204"/>
      <c r="V5" s="204"/>
      <c r="W5" s="204"/>
      <c r="X5" s="204"/>
      <c r="Y5" s="204"/>
      <c r="AD5" s="3"/>
    </row>
    <row r="6" spans="1:30" ht="17.25" customHeight="1">
      <c r="N6" s="204"/>
      <c r="O6" s="204"/>
      <c r="P6" s="204"/>
      <c r="Q6" s="204"/>
      <c r="R6" s="204"/>
      <c r="S6" s="204"/>
      <c r="T6" s="204"/>
      <c r="U6" s="204"/>
      <c r="V6" s="204"/>
      <c r="W6" s="204"/>
      <c r="X6" s="204"/>
      <c r="Y6" s="204"/>
      <c r="Z6" s="52">
        <v>0</v>
      </c>
      <c r="AA6" s="52"/>
      <c r="AD6" s="3"/>
    </row>
    <row r="7" spans="1:30" ht="17.25" customHeight="1">
      <c r="N7" s="204"/>
      <c r="O7" s="204"/>
      <c r="P7" s="204"/>
      <c r="Q7" s="204"/>
      <c r="R7" s="204"/>
      <c r="S7" s="204"/>
      <c r="T7" s="204"/>
      <c r="U7" s="204"/>
      <c r="V7" s="204"/>
      <c r="W7" s="204"/>
      <c r="X7" s="204"/>
      <c r="Y7" s="204"/>
      <c r="Z7" s="52"/>
      <c r="AA7" s="52"/>
      <c r="AD7" s="3"/>
    </row>
    <row r="8" spans="1:30" ht="17.25" customHeight="1">
      <c r="A8" s="88" t="str">
        <f>VLOOKUP(393,Sprachindex!$A:$Z,Info!$O$7,FALSE)</f>
        <v>Firma / Besteller:</v>
      </c>
      <c r="B8" s="70"/>
      <c r="C8" s="70"/>
      <c r="D8" s="70"/>
      <c r="E8" s="70"/>
      <c r="F8" s="70"/>
      <c r="G8" s="70"/>
      <c r="H8" s="70"/>
      <c r="I8" s="70"/>
      <c r="J8" s="70"/>
      <c r="K8" s="70"/>
      <c r="L8" s="70"/>
      <c r="M8" s="70"/>
      <c r="N8" s="70"/>
      <c r="O8" s="70"/>
      <c r="P8" s="70"/>
      <c r="Q8" s="70"/>
      <c r="R8" s="70"/>
      <c r="S8" s="70"/>
      <c r="T8" s="70"/>
      <c r="U8" s="70"/>
      <c r="V8" s="70"/>
      <c r="W8" s="70"/>
      <c r="X8" s="70"/>
      <c r="Y8" s="70"/>
      <c r="AC8" s="10"/>
    </row>
    <row r="9" spans="1:30" ht="15" customHeight="1">
      <c r="A9" s="70"/>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M9" s="70"/>
      <c r="N9" s="70"/>
      <c r="O9" s="70"/>
      <c r="P9" s="53">
        <v>0</v>
      </c>
      <c r="Q9" s="70"/>
      <c r="R9" s="70"/>
      <c r="S9" s="70"/>
      <c r="T9" s="70"/>
      <c r="U9" s="70"/>
      <c r="V9" s="70"/>
      <c r="W9" s="70"/>
      <c r="X9" s="70"/>
      <c r="Y9" s="70"/>
      <c r="AA9" s="53"/>
      <c r="AB9" s="11"/>
      <c r="AD9" s="4"/>
    </row>
    <row r="10" spans="1:30" ht="15" customHeight="1">
      <c r="A10" s="70"/>
      <c r="B10" s="74" t="str">
        <f>VLOOKUP(884,Sprachindex!$A:$Z,Info!$O$7,FALSE)</f>
        <v>Straße:</v>
      </c>
      <c r="C10" s="585"/>
      <c r="D10" s="586"/>
      <c r="E10" s="587"/>
      <c r="F10" s="70"/>
      <c r="G10" s="70"/>
      <c r="H10" s="70"/>
      <c r="I10" s="93"/>
      <c r="J10" s="71">
        <v>1</v>
      </c>
      <c r="K10" s="70"/>
      <c r="L10" s="70"/>
      <c r="M10" s="70"/>
      <c r="N10" s="70"/>
      <c r="O10" s="70"/>
      <c r="P10" s="5"/>
      <c r="Q10" s="70"/>
      <c r="R10" s="70"/>
      <c r="S10" s="70"/>
      <c r="T10" s="70"/>
      <c r="U10" s="70"/>
      <c r="V10" s="70"/>
      <c r="W10" s="70"/>
      <c r="X10" s="70"/>
      <c r="Y10" s="70"/>
      <c r="AD10" s="4"/>
    </row>
    <row r="11" spans="1:30"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70"/>
      <c r="P11" s="53">
        <v>0</v>
      </c>
      <c r="Q11" s="70"/>
      <c r="R11" s="70"/>
      <c r="S11" s="70"/>
      <c r="T11" s="70"/>
      <c r="U11" s="70"/>
      <c r="V11" s="70"/>
      <c r="W11" s="70"/>
      <c r="X11" s="70"/>
      <c r="Y11" s="70"/>
      <c r="AA11" s="53"/>
      <c r="AB11" s="11"/>
      <c r="AD11" s="4"/>
    </row>
    <row r="12" spans="1:30" ht="15" customHeight="1">
      <c r="A12" s="70"/>
      <c r="B12" s="70"/>
      <c r="C12" s="70"/>
      <c r="D12" s="70"/>
      <c r="E12" s="70"/>
      <c r="F12" s="70"/>
      <c r="G12" s="70"/>
      <c r="H12" s="70"/>
      <c r="I12" s="89"/>
      <c r="J12" s="71">
        <v>1</v>
      </c>
      <c r="K12" s="70"/>
      <c r="L12" s="70"/>
      <c r="M12" s="70"/>
      <c r="N12" s="70"/>
      <c r="O12" s="70"/>
      <c r="P12" s="5"/>
      <c r="Q12" s="70"/>
      <c r="R12" s="70"/>
      <c r="S12" s="70"/>
      <c r="T12" s="70"/>
      <c r="U12" s="70"/>
      <c r="V12" s="70"/>
      <c r="W12" s="70"/>
      <c r="X12" s="70"/>
      <c r="Y12" s="70"/>
    </row>
    <row r="13" spans="1:30"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70"/>
      <c r="P13" s="52"/>
      <c r="Q13" s="70"/>
      <c r="R13" s="70"/>
      <c r="S13" s="70"/>
      <c r="T13" s="70"/>
      <c r="U13" s="70"/>
      <c r="V13" s="70"/>
      <c r="W13" s="70"/>
      <c r="X13" s="70"/>
      <c r="Y13" s="70"/>
      <c r="AA13" s="52"/>
      <c r="AB13" s="12"/>
      <c r="AD13" s="4"/>
    </row>
    <row r="14" spans="1:30" ht="15" customHeight="1">
      <c r="A14" s="70"/>
      <c r="B14" s="74" t="str">
        <f>VLOOKUP(901,Sprachindex!$A:$Z,Info!$O$7,FALSE)</f>
        <v>Telefon:</v>
      </c>
      <c r="C14" s="585"/>
      <c r="D14" s="586"/>
      <c r="E14" s="587"/>
      <c r="F14" s="70"/>
      <c r="G14" s="70"/>
      <c r="H14" s="70"/>
      <c r="I14" s="70"/>
      <c r="J14" s="70"/>
      <c r="K14" s="70"/>
      <c r="L14" s="70"/>
      <c r="M14" s="70"/>
      <c r="N14" s="70"/>
      <c r="O14" s="70"/>
      <c r="P14" s="5"/>
      <c r="Q14" s="70"/>
      <c r="R14" s="70"/>
      <c r="S14" s="70"/>
      <c r="T14" s="70"/>
      <c r="U14" s="70"/>
      <c r="V14" s="70"/>
      <c r="W14" s="70"/>
      <c r="X14" s="70"/>
      <c r="Y14" s="70"/>
      <c r="AD14" s="4"/>
    </row>
    <row r="15" spans="1:30"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0"/>
      <c r="P15" s="5"/>
      <c r="Q15" s="70"/>
      <c r="R15" s="70"/>
      <c r="S15" s="70"/>
      <c r="T15" s="70"/>
      <c r="U15" s="70"/>
      <c r="V15" s="70"/>
      <c r="W15" s="70"/>
      <c r="X15" s="70"/>
      <c r="Y15" s="70"/>
      <c r="AD15" s="4"/>
    </row>
    <row r="16" spans="1:30" ht="15" customHeight="1">
      <c r="A16" s="70"/>
      <c r="B16" s="70"/>
      <c r="C16" s="70"/>
      <c r="D16" s="70"/>
      <c r="E16" s="70"/>
      <c r="F16" s="70"/>
      <c r="G16" s="70" t="str">
        <f>VLOOKUP(25,Sprachindex!$A:$Z,Info!$O$7,FALSE)</f>
        <v>01 P.10 Braun</v>
      </c>
      <c r="H16" s="70"/>
      <c r="I16" s="70"/>
      <c r="J16" s="69" t="str">
        <f>VLOOKUP(37,Sprachindex!$A:$Z,Info!$O$7,FALSE)</f>
        <v>07 P.10 Hellgrau</v>
      </c>
      <c r="K16" s="70"/>
      <c r="L16" s="70"/>
      <c r="M16" s="70"/>
      <c r="N16" s="70"/>
      <c r="O16" s="70"/>
      <c r="P16" s="5"/>
      <c r="Q16" s="70"/>
      <c r="R16" s="70"/>
      <c r="S16" s="70"/>
      <c r="T16" s="70"/>
      <c r="U16" s="70"/>
      <c r="V16" s="70"/>
      <c r="W16" s="70"/>
      <c r="X16" s="70"/>
      <c r="Y16" s="70"/>
    </row>
    <row r="17" spans="1:55" ht="15" customHeight="1">
      <c r="A17" s="88" t="str">
        <f>VLOOKUP(580,Sprachindex!$A:$Z,Info!$O$7,FALSE)</f>
        <v>Lieferadresse:</v>
      </c>
      <c r="B17" s="70"/>
      <c r="C17" s="70"/>
      <c r="D17" s="70"/>
      <c r="E17" s="70"/>
      <c r="F17" s="70"/>
      <c r="G17" s="70" t="str">
        <f>VLOOKUP(27,Sprachindex!$A:$Z,Info!$O$7,FALSE)</f>
        <v>02 P.10 Anthrazit</v>
      </c>
      <c r="H17" s="70"/>
      <c r="I17" s="70"/>
      <c r="J17" s="72" t="str">
        <f>VLOOKUP(51,Sprachindex!$A:$Z,Info!$O$7,FALSE)</f>
        <v>11 P.10 Nussbraun</v>
      </c>
      <c r="K17" s="70"/>
      <c r="L17" s="70"/>
      <c r="M17" s="70"/>
      <c r="N17" s="70"/>
      <c r="O17" s="70"/>
      <c r="P17" s="5"/>
      <c r="Q17" s="70"/>
      <c r="R17" s="70"/>
      <c r="S17" s="70"/>
      <c r="T17" s="70"/>
      <c r="U17" s="70"/>
      <c r="V17" s="70"/>
      <c r="W17" s="70"/>
      <c r="X17" s="70"/>
      <c r="Y17" s="70"/>
      <c r="AC17" s="10"/>
    </row>
    <row r="18" spans="1:55" ht="15" customHeight="1">
      <c r="A18" s="70"/>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M18" s="70"/>
      <c r="N18" s="70"/>
      <c r="O18" s="70"/>
      <c r="P18" s="14"/>
      <c r="Q18" s="70"/>
      <c r="R18" s="70"/>
      <c r="S18" s="70"/>
      <c r="T18" s="70"/>
      <c r="U18" s="70"/>
      <c r="V18" s="70"/>
      <c r="W18" s="70"/>
      <c r="X18" s="70"/>
      <c r="Y18" s="70"/>
      <c r="AA18" s="14"/>
      <c r="AD18" s="4"/>
    </row>
    <row r="19" spans="1:55" ht="15" customHeight="1">
      <c r="A19" s="70"/>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M19" s="70"/>
      <c r="N19" s="70"/>
      <c r="O19" s="70"/>
      <c r="P19" s="5"/>
      <c r="Q19" s="70"/>
      <c r="R19" s="70"/>
      <c r="S19" s="70"/>
      <c r="T19" s="70"/>
      <c r="U19" s="70"/>
      <c r="V19" s="70"/>
      <c r="W19" s="70"/>
      <c r="X19" s="70"/>
      <c r="Y19" s="70"/>
      <c r="AD19" s="4"/>
    </row>
    <row r="20" spans="1:55" ht="15" customHeight="1">
      <c r="A20" s="70"/>
      <c r="B20" s="74" t="str">
        <f>VLOOKUP(884,Sprachindex!$A:$Z,Info!$O$7,FALSE)</f>
        <v>Straße:</v>
      </c>
      <c r="C20" s="585"/>
      <c r="D20" s="586"/>
      <c r="E20" s="587"/>
      <c r="F20" s="70"/>
      <c r="G20" s="70" t="str">
        <f>VLOOKUP(33,Sprachindex!$A:$Z,Info!$O$7,FALSE)</f>
        <v>05 P.10 Oxydrot</v>
      </c>
      <c r="H20" s="70"/>
      <c r="I20" s="70"/>
      <c r="J20" s="72"/>
      <c r="K20" s="70"/>
      <c r="L20" s="71"/>
      <c r="M20" s="70"/>
      <c r="N20" s="70"/>
      <c r="O20" s="70"/>
      <c r="P20" s="5"/>
      <c r="Q20" s="70"/>
      <c r="R20" s="70"/>
      <c r="S20" s="70"/>
      <c r="T20" s="70"/>
      <c r="U20" s="70"/>
      <c r="V20" s="70"/>
      <c r="W20" s="70"/>
      <c r="X20" s="70"/>
      <c r="Y20" s="70"/>
      <c r="AD20" s="4"/>
      <c r="AG20" s="35"/>
      <c r="AH20" s="35"/>
    </row>
    <row r="21" spans="1:55" ht="15" customHeight="1">
      <c r="A21" s="70"/>
      <c r="B21" s="74" t="str">
        <f>VLOOKUP(641,Sprachindex!$A:$Z,Info!$O$7,FALSE)</f>
        <v>Ort:</v>
      </c>
      <c r="C21" s="585"/>
      <c r="D21" s="586"/>
      <c r="E21" s="587"/>
      <c r="F21" s="70"/>
      <c r="G21" s="70" t="str">
        <f>VLOOKUP(35,Sprachindex!$A:$Z,Info!$O$7,FALSE)</f>
        <v>06 P.10 Moosgrün</v>
      </c>
      <c r="H21" s="70"/>
      <c r="I21" s="95"/>
      <c r="J21" s="96"/>
      <c r="K21" s="96"/>
      <c r="L21" s="70"/>
      <c r="M21" s="70"/>
      <c r="N21" s="70"/>
      <c r="P21" s="52">
        <v>0</v>
      </c>
      <c r="Q21" s="70"/>
      <c r="R21" s="70"/>
      <c r="S21" s="70"/>
      <c r="T21" s="70"/>
      <c r="U21" s="70"/>
      <c r="V21" s="70"/>
      <c r="W21" s="70"/>
      <c r="X21" s="70"/>
      <c r="Y21" s="70"/>
      <c r="AA21" s="52"/>
      <c r="AD21" s="4"/>
    </row>
    <row r="22" spans="1:55" ht="15" customHeight="1">
      <c r="A22" s="70"/>
      <c r="B22" s="74"/>
      <c r="C22" s="74"/>
      <c r="D22" s="74"/>
      <c r="E22" s="74"/>
      <c r="F22" s="70"/>
      <c r="G22" s="70"/>
      <c r="H22" s="70"/>
      <c r="I22" s="95"/>
      <c r="J22" s="96"/>
      <c r="K22" s="96"/>
      <c r="L22" s="70"/>
      <c r="M22" s="70"/>
      <c r="N22" s="70"/>
      <c r="O22" s="70"/>
      <c r="P22" s="70"/>
      <c r="Q22" s="70"/>
      <c r="R22" s="70"/>
      <c r="S22" s="70"/>
      <c r="T22" s="70"/>
      <c r="U22" s="70"/>
      <c r="V22" s="70"/>
      <c r="W22" s="70"/>
      <c r="X22" s="70"/>
      <c r="Y22" s="70"/>
      <c r="Z22" s="52"/>
      <c r="AA22" s="52"/>
      <c r="AD22" s="4"/>
    </row>
    <row r="23" spans="1:55"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0"/>
      <c r="P23" s="70"/>
      <c r="Q23" s="70"/>
      <c r="R23" s="70"/>
      <c r="S23" s="70"/>
      <c r="T23" s="70"/>
      <c r="U23" s="70"/>
      <c r="V23" s="70"/>
      <c r="W23" s="70"/>
      <c r="X23" s="70"/>
      <c r="Y23" s="70"/>
      <c r="Z23" s="52"/>
      <c r="AA23" s="52"/>
      <c r="AD23" s="4"/>
    </row>
    <row r="24" spans="1:55" ht="15" customHeight="1">
      <c r="B24" s="584" t="str">
        <f>VLOOKUP(1430,Sprachindex!$A:$Z,Info!$O$7,FALSE)</f>
        <v>Beschreibung</v>
      </c>
      <c r="C24" s="585"/>
      <c r="D24" s="586"/>
      <c r="E24" s="587"/>
      <c r="F24" s="70"/>
      <c r="G24" s="88"/>
      <c r="H24" s="74" t="str">
        <f>VLOOKUP(1429,Sprachindex!$A:$Z,Info!$O$7,FALSE)</f>
        <v>Bearbeiter:</v>
      </c>
      <c r="I24" s="450"/>
      <c r="J24" s="70"/>
      <c r="K24" s="70"/>
      <c r="L24" s="70"/>
      <c r="M24" s="70"/>
      <c r="N24" s="70"/>
      <c r="O24" s="70"/>
      <c r="P24" s="70"/>
      <c r="Q24" s="70"/>
      <c r="R24" s="70"/>
      <c r="S24" s="70"/>
      <c r="T24" s="70"/>
      <c r="U24" s="70"/>
      <c r="V24" s="70"/>
      <c r="W24" s="70"/>
      <c r="X24" s="70"/>
      <c r="Y24" s="70"/>
      <c r="Z24" s="52"/>
      <c r="AA24" s="52"/>
      <c r="AD24" s="4"/>
    </row>
    <row r="25" spans="1:55" ht="15" customHeight="1">
      <c r="B25" s="584"/>
      <c r="C25" s="585"/>
      <c r="D25" s="586"/>
      <c r="E25" s="587"/>
      <c r="F25" s="70"/>
      <c r="G25" s="88"/>
      <c r="H25" s="74" t="str">
        <f>VLOOKUP(2243,Sprachindex!$A:$Z,Info!$O$7,FALSE)</f>
        <v>Projekt-ID:</v>
      </c>
      <c r="I25" s="450"/>
      <c r="J25" s="70"/>
      <c r="K25" s="70"/>
      <c r="L25" s="70"/>
      <c r="M25" s="70"/>
      <c r="N25" s="70"/>
      <c r="O25" s="70"/>
      <c r="P25" s="70"/>
      <c r="Q25" s="70"/>
      <c r="R25" s="70"/>
      <c r="S25" s="70"/>
      <c r="T25" s="70"/>
      <c r="U25" s="70"/>
      <c r="V25" s="70"/>
      <c r="W25" s="70"/>
      <c r="X25" s="70"/>
      <c r="Y25" s="70"/>
      <c r="Z25" s="52"/>
      <c r="AA25" s="52"/>
      <c r="AD25" s="4"/>
    </row>
    <row r="26" spans="1:55" ht="15" customHeight="1">
      <c r="B26" s="584"/>
      <c r="C26" s="585"/>
      <c r="D26" s="586"/>
      <c r="E26" s="587"/>
      <c r="F26" s="70"/>
      <c r="G26" s="88"/>
      <c r="H26" s="74" t="str">
        <f>VLOOKUP(286,Sprachindex!$A:$Z,Info!$O$7,FALSE)</f>
        <v>Datum:</v>
      </c>
      <c r="I26" s="550">
        <f ca="1">TODAY()</f>
        <v>45580</v>
      </c>
      <c r="J26" s="70"/>
      <c r="K26" s="70"/>
      <c r="L26" s="70"/>
      <c r="M26" s="70"/>
      <c r="N26" s="70"/>
      <c r="O26" s="70"/>
      <c r="P26" s="70"/>
      <c r="Q26" s="70"/>
      <c r="R26" s="70"/>
      <c r="S26" s="70"/>
      <c r="T26" s="70"/>
      <c r="U26" s="70"/>
      <c r="V26" s="70"/>
      <c r="W26" s="70"/>
      <c r="X26" s="70"/>
      <c r="Y26" s="70"/>
      <c r="Z26" s="52"/>
      <c r="AA26" s="52"/>
      <c r="AD26" s="4"/>
    </row>
    <row r="27" spans="1:55" ht="15" customHeight="1">
      <c r="B27" s="584"/>
      <c r="C27" s="585"/>
      <c r="D27" s="586"/>
      <c r="E27" s="587"/>
      <c r="F27" s="70"/>
      <c r="G27" s="5"/>
      <c r="H27" s="5"/>
      <c r="I27" s="5"/>
      <c r="J27" s="5"/>
      <c r="K27" s="5"/>
      <c r="L27" s="70"/>
      <c r="M27" s="70"/>
      <c r="N27" s="70"/>
      <c r="O27" s="70"/>
      <c r="P27" s="70"/>
      <c r="Q27" s="70"/>
      <c r="R27" s="70"/>
      <c r="S27" s="70"/>
      <c r="T27" s="70"/>
      <c r="U27" s="70"/>
      <c r="V27" s="70"/>
      <c r="W27" s="70"/>
      <c r="X27" s="70"/>
      <c r="Y27" s="70"/>
      <c r="Z27" s="52"/>
      <c r="AA27" s="52"/>
      <c r="AD27" s="4"/>
    </row>
    <row r="28" spans="1:55" ht="15" customHeight="1">
      <c r="A28" s="70"/>
      <c r="B28" s="74"/>
      <c r="C28" s="70"/>
      <c r="D28" s="70"/>
      <c r="E28" s="70"/>
      <c r="F28" s="70"/>
      <c r="G28" s="70"/>
      <c r="H28" s="70"/>
      <c r="I28" s="95"/>
      <c r="J28" s="70"/>
      <c r="K28" s="70"/>
      <c r="L28" s="70"/>
      <c r="M28" s="70"/>
      <c r="N28" s="70"/>
      <c r="O28" s="70"/>
      <c r="P28" s="70"/>
      <c r="Q28" s="70"/>
      <c r="R28" s="70"/>
      <c r="S28" s="70"/>
      <c r="T28" s="70"/>
      <c r="U28" s="70"/>
      <c r="V28" s="70"/>
      <c r="W28" s="70"/>
      <c r="X28" s="70"/>
      <c r="Y28" s="70"/>
      <c r="AD28" s="4"/>
    </row>
    <row r="29" spans="1:55" ht="15" customHeight="1" thickBot="1">
      <c r="A29" s="100" t="str">
        <f>VLOOKUP(392,Sprachindex!$A:$Z,Info!$O$7,FALSE)</f>
        <v>Filter:</v>
      </c>
      <c r="B29" s="598"/>
      <c r="C29" s="598"/>
      <c r="D29" s="598"/>
      <c r="E29" s="598"/>
      <c r="F29" s="70"/>
      <c r="G29" s="70"/>
      <c r="H29" s="70"/>
      <c r="I29" s="70"/>
      <c r="J29" s="70"/>
      <c r="K29" s="70"/>
      <c r="L29" s="70"/>
      <c r="M29" s="70"/>
      <c r="N29" s="70"/>
      <c r="O29" s="70"/>
      <c r="P29" s="70"/>
      <c r="Q29" s="70"/>
      <c r="R29" s="70"/>
      <c r="S29" s="70"/>
      <c r="T29" s="70"/>
      <c r="U29" s="70"/>
      <c r="V29" s="70"/>
      <c r="W29" s="70"/>
      <c r="X29" s="70"/>
      <c r="Y29" s="70"/>
      <c r="AC29" s="591" t="s">
        <v>25</v>
      </c>
      <c r="AD29" s="591"/>
      <c r="AH29" s="45" t="s">
        <v>26</v>
      </c>
      <c r="AI29" s="13"/>
      <c r="AJ29" s="13"/>
      <c r="AK29" s="13"/>
      <c r="AL29" s="13"/>
      <c r="AM29" s="13"/>
      <c r="AN29" s="13"/>
      <c r="AO29" s="13"/>
      <c r="AP29" s="13"/>
      <c r="AQ29" s="13"/>
      <c r="AR29" s="45" t="s">
        <v>27</v>
      </c>
      <c r="AS29" s="13"/>
      <c r="AT29" s="13"/>
      <c r="AU29" s="13"/>
      <c r="AV29" s="13"/>
      <c r="AW29" s="13"/>
      <c r="AX29" s="13"/>
      <c r="AY29" s="13"/>
      <c r="AZ29" s="13"/>
      <c r="BA29" s="46"/>
      <c r="BB29" s="277" t="s">
        <v>28</v>
      </c>
      <c r="BC29" s="277" t="s">
        <v>29</v>
      </c>
    </row>
    <row r="30" spans="1:55"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P30" s="5"/>
      <c r="Q30" s="5"/>
      <c r="R30" s="78" t="s">
        <v>30</v>
      </c>
      <c r="S30" s="78" t="s">
        <v>30</v>
      </c>
      <c r="T30" s="195"/>
      <c r="U30" s="195"/>
      <c r="V30" s="195"/>
      <c r="W30" s="195"/>
      <c r="X30" s="195"/>
      <c r="Y30" s="195"/>
      <c r="Z30" s="195"/>
      <c r="AA30" s="195"/>
      <c r="AB30" s="195"/>
      <c r="AC30" s="163" t="s">
        <v>31</v>
      </c>
      <c r="AD30" s="163" t="s">
        <v>32</v>
      </c>
      <c r="AH30" s="47" t="s">
        <v>33</v>
      </c>
      <c r="AI30" s="47" t="s">
        <v>34</v>
      </c>
      <c r="AJ30" s="47" t="s">
        <v>35</v>
      </c>
      <c r="AK30" s="47" t="s">
        <v>36</v>
      </c>
      <c r="AL30" s="47" t="s">
        <v>37</v>
      </c>
      <c r="AM30" s="47" t="s">
        <v>38</v>
      </c>
      <c r="AN30" s="47" t="s">
        <v>39</v>
      </c>
      <c r="AO30" s="47" t="s">
        <v>40</v>
      </c>
      <c r="AP30" s="47" t="s">
        <v>41</v>
      </c>
      <c r="AQ30" s="47" t="s">
        <v>42</v>
      </c>
      <c r="AR30" s="47" t="s">
        <v>33</v>
      </c>
      <c r="AS30" s="47" t="s">
        <v>34</v>
      </c>
      <c r="AT30" s="47" t="s">
        <v>35</v>
      </c>
      <c r="AU30" s="47" t="s">
        <v>36</v>
      </c>
      <c r="AV30" s="47" t="s">
        <v>37</v>
      </c>
      <c r="AW30" s="47" t="s">
        <v>38</v>
      </c>
      <c r="AX30" s="47" t="s">
        <v>39</v>
      </c>
      <c r="AY30" s="47" t="s">
        <v>40</v>
      </c>
      <c r="AZ30" s="47" t="s">
        <v>41</v>
      </c>
      <c r="BA30" s="47" t="s">
        <v>42</v>
      </c>
    </row>
    <row r="31" spans="1:55" ht="32.1" customHeight="1">
      <c r="A31" s="102"/>
      <c r="B31" s="77" t="str">
        <f>VLOOKUP(588,Sprachindex!$A:$Z,Info!$O$7,FALSE)</f>
        <v>m²</v>
      </c>
      <c r="C31" s="103"/>
      <c r="D31" s="78">
        <f>IF($P$9=1,BC31,BB31)</f>
        <v>0</v>
      </c>
      <c r="E31" s="600" t="str">
        <f>VLOOKUP(267,Sprachindex!$A:$Z,Info!$O$7,FALSE)</f>
        <v>Dachraute 29 × 29</v>
      </c>
      <c r="F31" s="601"/>
      <c r="G31" s="601"/>
      <c r="H31" s="601"/>
      <c r="I31" s="601"/>
      <c r="J31" s="601"/>
      <c r="K31" s="602"/>
      <c r="L31" s="77" t="str">
        <f>IF(A31=0,"",IF($P$11=1,AC31,AD31))</f>
        <v/>
      </c>
      <c r="M31" s="432" t="str">
        <f>B31</f>
        <v>m²</v>
      </c>
      <c r="N31" s="437"/>
      <c r="O31" s="202" t="str">
        <f>IF(ISNUMBER(A31), IF(P21=7, $L31*S31, $L31*R31), "")</f>
        <v/>
      </c>
      <c r="P31" s="5"/>
      <c r="Q31" s="5"/>
      <c r="R31" s="200">
        <v>39.020000000000003</v>
      </c>
      <c r="S31" s="200">
        <v>40.03</v>
      </c>
      <c r="T31" s="195"/>
      <c r="U31" s="195"/>
      <c r="V31" s="195"/>
      <c r="W31" s="195"/>
      <c r="X31" s="195"/>
      <c r="Y31" s="195"/>
      <c r="Z31" s="195"/>
      <c r="AA31" s="195"/>
      <c r="AB31" s="195"/>
      <c r="AC31" s="164">
        <f>ROUNDUP($A31/10,0)*10</f>
        <v>0</v>
      </c>
      <c r="AD31" s="210">
        <f>TRUNC(ROUNDUP(A31/(1/12),0)*(1/12),2)</f>
        <v>0</v>
      </c>
      <c r="AH31" s="470">
        <v>110800</v>
      </c>
      <c r="AI31" s="470">
        <v>110801</v>
      </c>
      <c r="AJ31" s="470">
        <v>110802</v>
      </c>
      <c r="AK31" s="470">
        <v>110803</v>
      </c>
      <c r="AL31" s="470">
        <v>110804</v>
      </c>
      <c r="AM31" s="470">
        <v>110805</v>
      </c>
      <c r="AN31" s="470">
        <v>110806</v>
      </c>
      <c r="AO31" s="470">
        <v>110807</v>
      </c>
      <c r="AP31" s="470">
        <v>110808</v>
      </c>
      <c r="AQ31" s="470"/>
      <c r="AR31" s="469">
        <v>110810</v>
      </c>
      <c r="AS31" s="469">
        <v>110811</v>
      </c>
      <c r="AT31" s="469">
        <v>110812</v>
      </c>
      <c r="AU31" s="469">
        <v>110813</v>
      </c>
      <c r="AV31" s="469">
        <v>110814</v>
      </c>
      <c r="AW31" s="469">
        <v>110815</v>
      </c>
      <c r="AX31" s="469">
        <v>110816</v>
      </c>
      <c r="AY31" s="469">
        <v>110817</v>
      </c>
      <c r="AZ31" s="469">
        <v>110818</v>
      </c>
      <c r="BA31" s="469">
        <v>110819</v>
      </c>
      <c r="BB31" s="468">
        <f>IF($P$21=1,AH31,IF($P$21=4,AI31,IF($P$21=5,AJ31,IF($P$21=11,AK31,IF($P$21=7,AL31,IF($P$21=3,AM31,IF($P$21=6,AN31,IF($P$21=9,AO31,IF($P$21=2,AP31,IF($P$21=8,AQ31,0))))))))))</f>
        <v>0</v>
      </c>
      <c r="BC31" s="468">
        <f>IF($P$21=1,AR31,IF($P$21=4,AS31,IF($P$21=5,AT31,IF($P$21=11,AU31,IF($P$21=7,AV31,IF($P$21=3,AW31,IF($P$21=6,AX31,IF($P$21=9,AY31,IF($P$21=2,AZ31,IF($P$21=8,BA31,0))))))))))</f>
        <v>0</v>
      </c>
    </row>
    <row r="32" spans="1:55" ht="32.1" customHeight="1">
      <c r="A32" s="98"/>
      <c r="B32" s="79" t="str">
        <f>VLOOKUP(878,Sprachindex!$A:$Z,Info!$O$7,FALSE)</f>
        <v>Stk.</v>
      </c>
      <c r="C32" s="78"/>
      <c r="D32" s="78">
        <f t="shared" ref="D32:D33" si="0">IF($P$9=1,BC32,BB32)</f>
        <v>0</v>
      </c>
      <c r="E32" s="561" t="str">
        <f>VLOOKUP(865,Sprachindex!$A:$Z,Info!$O$7,FALSE)</f>
        <v>Startplatte für Dachraute 29 × 29</v>
      </c>
      <c r="F32" s="562"/>
      <c r="G32" s="562"/>
      <c r="H32" s="562"/>
      <c r="I32" s="562"/>
      <c r="J32" s="562"/>
      <c r="K32" s="563"/>
      <c r="L32" s="79" t="str">
        <f>IF(A32=0,"",IF($P$11=1,AC32,AD32))</f>
        <v/>
      </c>
      <c r="M32" s="433" t="str">
        <f t="shared" ref="M32:M95" si="1">B32</f>
        <v>Stk.</v>
      </c>
      <c r="N32" s="80"/>
      <c r="O32" s="202" t="str">
        <f>IF(ISNUMBER(A32),$L32*R32, "")</f>
        <v/>
      </c>
      <c r="P32" s="5"/>
      <c r="Q32" s="5"/>
      <c r="R32" s="200">
        <v>6.54</v>
      </c>
      <c r="S32" s="195"/>
      <c r="T32" s="195"/>
      <c r="U32" s="195"/>
      <c r="V32" s="195"/>
      <c r="W32" s="195"/>
      <c r="X32" s="195"/>
      <c r="Y32" s="195"/>
      <c r="Z32" s="195"/>
      <c r="AA32" s="195"/>
      <c r="AB32" s="195"/>
      <c r="AC32" s="149">
        <f>ROUNDUP(ROUNDUP($A32/100,0)*100,1)</f>
        <v>0</v>
      </c>
      <c r="AD32" s="149">
        <f>ROUNDUP($A32,0)</f>
        <v>0</v>
      </c>
      <c r="AH32" s="470">
        <v>110820</v>
      </c>
      <c r="AI32" s="470">
        <v>110821</v>
      </c>
      <c r="AJ32" s="470">
        <v>110822</v>
      </c>
      <c r="AK32" s="470">
        <v>110823</v>
      </c>
      <c r="AL32" s="470">
        <v>110824</v>
      </c>
      <c r="AM32" s="470">
        <v>110825</v>
      </c>
      <c r="AN32" s="470">
        <v>110826</v>
      </c>
      <c r="AO32" s="470">
        <v>110827</v>
      </c>
      <c r="AP32" s="470">
        <v>110828</v>
      </c>
      <c r="AQ32" s="470"/>
      <c r="AR32" s="469">
        <v>110830</v>
      </c>
      <c r="AS32" s="469">
        <v>110831</v>
      </c>
      <c r="AT32" s="469">
        <v>110832</v>
      </c>
      <c r="AU32" s="469">
        <v>110833</v>
      </c>
      <c r="AV32" s="469">
        <v>110834</v>
      </c>
      <c r="AW32" s="469">
        <v>110835</v>
      </c>
      <c r="AX32" s="469">
        <v>110836</v>
      </c>
      <c r="AY32" s="469">
        <v>110837</v>
      </c>
      <c r="AZ32" s="469">
        <v>110838</v>
      </c>
      <c r="BA32" s="469">
        <v>110839</v>
      </c>
      <c r="BB32" s="468">
        <f t="shared" ref="BB32:BB33" si="2">IF($P$21=1,AH32,IF($P$21=4,AI32,IF($P$21=5,AJ32,IF($P$21=11,AK32,IF($P$21=7,AL32,IF($P$21=3,AM32,IF($P$21=6,AN32,IF($P$21=9,AO32,IF($P$21=2,AP32,IF($P$21=8,AQ32,0))))))))))</f>
        <v>0</v>
      </c>
      <c r="BC32" s="468">
        <f t="shared" ref="BC32:BC33" si="3">IF($P$21=1,AR32,IF($P$21=4,AS32,IF($P$21=5,AT32,IF($P$21=11,AU32,IF($P$21=7,AV32,IF($P$21=3,AW32,IF($P$21=6,AX32,IF($P$21=9,AY32,IF($P$21=2,AZ32,IF($P$21=8,BA32,0))))))))))</f>
        <v>0</v>
      </c>
    </row>
    <row r="33" spans="1:55" ht="32.1" customHeight="1">
      <c r="A33" s="98"/>
      <c r="B33" s="79" t="str">
        <f>VLOOKUP(878,Sprachindex!$A:$Z,Info!$O$7,FALSE)</f>
        <v>Stk.</v>
      </c>
      <c r="C33" s="78"/>
      <c r="D33" s="78">
        <f t="shared" si="0"/>
        <v>0</v>
      </c>
      <c r="E33" s="561" t="str">
        <f>VLOOKUP(356,Sprachindex!$A:$Z,Info!$O$7,FALSE)</f>
        <v>Endplatte für Dachraute 29 × 29</v>
      </c>
      <c r="F33" s="562"/>
      <c r="G33" s="562"/>
      <c r="H33" s="562"/>
      <c r="I33" s="562"/>
      <c r="J33" s="562"/>
      <c r="K33" s="563"/>
      <c r="L33" s="79" t="str">
        <f>IF(A33=0,"",IF($P$11=1,AC33,AD33))</f>
        <v/>
      </c>
      <c r="M33" s="433" t="str">
        <f t="shared" si="1"/>
        <v>Stk.</v>
      </c>
      <c r="N33" s="80"/>
      <c r="O33" s="202" t="str">
        <f>IF(ISNUMBER(A33),$L33*R33, "")</f>
        <v/>
      </c>
      <c r="P33" s="5"/>
      <c r="Q33" s="5"/>
      <c r="R33" s="200">
        <v>6.54</v>
      </c>
      <c r="S33" s="195"/>
      <c r="T33" s="195"/>
      <c r="U33" s="195"/>
      <c r="V33" s="195"/>
      <c r="W33" s="195"/>
      <c r="X33" s="195"/>
      <c r="Y33" s="195"/>
      <c r="Z33" s="195"/>
      <c r="AA33" s="195"/>
      <c r="AB33" s="195"/>
      <c r="AC33" s="149">
        <f>ROUNDUP(ROUNDUP($A33/100,0)*100,1)</f>
        <v>0</v>
      </c>
      <c r="AD33" s="149">
        <f>ROUNDUP($A33,0)</f>
        <v>0</v>
      </c>
      <c r="AH33" s="470">
        <v>110840</v>
      </c>
      <c r="AI33" s="470">
        <v>110841</v>
      </c>
      <c r="AJ33" s="470">
        <v>110842</v>
      </c>
      <c r="AK33" s="470">
        <v>110843</v>
      </c>
      <c r="AL33" s="470">
        <v>110844</v>
      </c>
      <c r="AM33" s="470">
        <v>110845</v>
      </c>
      <c r="AN33" s="470">
        <v>110846</v>
      </c>
      <c r="AO33" s="470">
        <v>110847</v>
      </c>
      <c r="AP33" s="470">
        <v>110848</v>
      </c>
      <c r="AQ33" s="470"/>
      <c r="AR33" s="469">
        <v>110850</v>
      </c>
      <c r="AS33" s="469">
        <v>110851</v>
      </c>
      <c r="AT33" s="469">
        <v>110852</v>
      </c>
      <c r="AU33" s="469">
        <v>110853</v>
      </c>
      <c r="AV33" s="469">
        <v>110854</v>
      </c>
      <c r="AW33" s="469">
        <v>110855</v>
      </c>
      <c r="AX33" s="469">
        <v>110856</v>
      </c>
      <c r="AY33" s="469">
        <v>110857</v>
      </c>
      <c r="AZ33" s="469">
        <v>110858</v>
      </c>
      <c r="BA33" s="469">
        <v>110859</v>
      </c>
      <c r="BB33" s="468">
        <f t="shared" si="2"/>
        <v>0</v>
      </c>
      <c r="BC33" s="468">
        <f t="shared" si="3"/>
        <v>0</v>
      </c>
    </row>
    <row r="34" spans="1:55" ht="32.1" customHeight="1">
      <c r="A34" s="98"/>
      <c r="B34" s="79" t="str">
        <f>VLOOKUP(878,Sprachindex!$A:$Z,Info!$O$7,FALSE)</f>
        <v>Stk.</v>
      </c>
      <c r="C34" s="78"/>
      <c r="D34" s="78">
        <v>505003</v>
      </c>
      <c r="E34" s="561" t="str">
        <f>VLOOKUP(270,Sprachindex!$A:$Z,Info!$O$7,FALSE)</f>
        <v>Dachrautenhaft 29 × 29</v>
      </c>
      <c r="F34" s="562"/>
      <c r="G34" s="562"/>
      <c r="H34" s="562"/>
      <c r="I34" s="562"/>
      <c r="J34" s="562"/>
      <c r="K34" s="563"/>
      <c r="L34" s="79" t="str">
        <f>IF(A34=0,"",IF($P$11=1,AC34,AD34))</f>
        <v/>
      </c>
      <c r="M34" s="433" t="str">
        <f t="shared" si="1"/>
        <v>Stk.</v>
      </c>
      <c r="N34" s="80"/>
      <c r="O34" s="202" t="str">
        <f>IF(ISNUMBER(A34),$L34*R34, "")</f>
        <v/>
      </c>
      <c r="P34" s="5"/>
      <c r="Q34" s="5"/>
      <c r="R34" s="200">
        <v>7.0000000000000007E-2</v>
      </c>
      <c r="S34" s="195"/>
      <c r="T34" s="195"/>
      <c r="U34" s="195"/>
      <c r="V34" s="195"/>
      <c r="W34" s="195"/>
      <c r="X34" s="195"/>
      <c r="Y34" s="195"/>
      <c r="Z34" s="195"/>
      <c r="AA34" s="195"/>
      <c r="AB34" s="195"/>
      <c r="AC34" s="149">
        <f>ROUNDUP($A34/320,0)*320</f>
        <v>0</v>
      </c>
      <c r="AD34" s="149">
        <f>ROUNDUP($A34,0)</f>
        <v>0</v>
      </c>
    </row>
    <row r="35" spans="1:55" ht="32.1" customHeight="1">
      <c r="A35" s="98"/>
      <c r="B35" s="79" t="str">
        <f>VLOOKUP(1512,Sprachindex!$A:$Z,Info!$O$7,FALSE)</f>
        <v>lfm</v>
      </c>
      <c r="C35" s="78"/>
      <c r="D35" s="82">
        <v>562005</v>
      </c>
      <c r="E35" s="561" t="str">
        <f>VLOOKUP(768,Sprachindex!$A:$Z,Info!$O$7,FALSE)</f>
        <v>Saumstreifen (1.800 × 158 × 1,00 mm)</v>
      </c>
      <c r="F35" s="562"/>
      <c r="G35" s="562"/>
      <c r="H35" s="562"/>
      <c r="I35" s="562"/>
      <c r="J35" s="562"/>
      <c r="K35" s="563"/>
      <c r="L35" s="79" t="str">
        <f>IF(A35=0,"",IF($P$11=1,AC35,AD35))</f>
        <v/>
      </c>
      <c r="M35" s="433" t="str">
        <f t="shared" si="1"/>
        <v>lfm</v>
      </c>
      <c r="N35" s="80"/>
      <c r="O35" s="202" t="str">
        <f>IF(ISNUMBER(A35),$L35*R35, "")</f>
        <v/>
      </c>
      <c r="P35" s="5"/>
      <c r="Q35" s="5"/>
      <c r="R35" s="200">
        <v>5.38</v>
      </c>
      <c r="S35" s="195"/>
      <c r="T35" s="195"/>
      <c r="U35" s="195"/>
      <c r="V35" s="195"/>
      <c r="W35" s="195"/>
      <c r="X35" s="195"/>
      <c r="Y35" s="195"/>
      <c r="Z35" s="195"/>
      <c r="AA35" s="195"/>
      <c r="AB35" s="195"/>
      <c r="AC35" s="149">
        <f>ROUNDUP($A35/1.8,0)*1.8</f>
        <v>0</v>
      </c>
      <c r="AD35" s="149">
        <f>ROUNDUP($A35/1.8,0)*1.8</f>
        <v>0</v>
      </c>
    </row>
    <row r="36" spans="1:55" ht="32.1" customHeight="1">
      <c r="A36" s="98"/>
      <c r="B36" s="79" t="str">
        <f>VLOOKUP(531,Sprachindex!$A:$Z,Info!$O$7,FALSE)</f>
        <v>kg</v>
      </c>
      <c r="C36" s="78"/>
      <c r="D36" s="78" t="str">
        <f>IF(H36=Formeln!A2,340392,IF(H36=Formeln!A3,340394,IF(H36=Formeln!A4,341392,"")))</f>
        <v/>
      </c>
      <c r="E36" s="561" t="str">
        <f>VLOOKUP(707,Sprachindex!$A:$Z,Info!$O$7,FALSE)</f>
        <v>Rillennagel (verzinkt)</v>
      </c>
      <c r="F36" s="562"/>
      <c r="G36" s="562"/>
      <c r="H36" s="572"/>
      <c r="I36" s="573"/>
      <c r="J36" s="573"/>
      <c r="K36" s="574"/>
      <c r="L36" s="79" t="str">
        <f>IF(A36=0,"",IF(H36=Formeln!$A$1,"",IF($P$11=1,AC36,AD36)))</f>
        <v/>
      </c>
      <c r="M36" s="433" t="str">
        <f t="shared" si="1"/>
        <v>kg</v>
      </c>
      <c r="N36" s="80"/>
      <c r="O36" s="202" t="str">
        <f>IF(ISNUMBER(L36),$L36*R36, "")</f>
        <v/>
      </c>
      <c r="P36" s="5"/>
      <c r="Q36" s="5"/>
      <c r="R36" s="200">
        <v>9.35</v>
      </c>
      <c r="U36" s="195"/>
      <c r="V36" s="195"/>
      <c r="W36" s="195"/>
      <c r="X36" s="195"/>
      <c r="Y36" s="195"/>
      <c r="Z36" s="195"/>
      <c r="AA36" s="195"/>
      <c r="AB36" s="195"/>
      <c r="AC36" s="148">
        <f>IF(OR($H36=Formeln!$A$2,$H36=Formeln!$A$3),ROUNDUP($A36/2.5,0)*2.5,ROUNDUP($A36/2,0)*2)</f>
        <v>0</v>
      </c>
      <c r="AD36" s="148">
        <f>ROUNDUP($A36,2)</f>
        <v>0</v>
      </c>
      <c r="AE36" s="6">
        <f>IF(H36=Formeln!A2,570,IF(H36=Formeln!A3,480,IF(H36=Formeln!A4,380,0)))</f>
        <v>0</v>
      </c>
      <c r="AF36" s="6"/>
    </row>
    <row r="37" spans="1:55" ht="32.1" customHeight="1">
      <c r="A37" s="98"/>
      <c r="B37" s="79" t="str">
        <f>VLOOKUP(878,Sprachindex!$A:$Z,Info!$O$7,FALSE)</f>
        <v>Stk.</v>
      </c>
      <c r="C37" s="78"/>
      <c r="D37" s="81" t="str">
        <f>IF(H37=Formeln!A6,341395,IF(H37=Formeln!A7,341396,IF(H37=Formeln!A8,341398,"")))</f>
        <v/>
      </c>
      <c r="E37" s="561" t="str">
        <f>VLOOKUP(2186,Sprachindex!$A:$Z,Info!$O$7,FALSE)</f>
        <v>Rillennägel gebunden</v>
      </c>
      <c r="F37" s="562"/>
      <c r="G37" s="562"/>
      <c r="H37" s="572"/>
      <c r="I37" s="573"/>
      <c r="J37" s="573"/>
      <c r="K37" s="574"/>
      <c r="L37" s="141" t="str">
        <f>IF($A37=0,"",IF($H37=Formeln!$A$5,"",IF($P$11=1,AC37,AD37)))</f>
        <v/>
      </c>
      <c r="M37" s="433" t="str">
        <f t="shared" si="1"/>
        <v>Stk.</v>
      </c>
      <c r="N37" s="80"/>
      <c r="O37" s="202" t="str">
        <f>IF(ISNUMBER(A37),IF(H37=Formeln!A7,$L37*S37/1000,IF(H37=Formeln!A6,$L37*R37/1000,L37*T37/1000))," ")</f>
        <v xml:space="preserve"> </v>
      </c>
      <c r="P37" s="5"/>
      <c r="Q37" s="5"/>
      <c r="R37" s="200">
        <v>34.4</v>
      </c>
      <c r="S37" s="200">
        <v>51.6</v>
      </c>
      <c r="T37" s="200">
        <v>64.400000000000006</v>
      </c>
      <c r="U37" s="195"/>
      <c r="V37" s="195"/>
      <c r="W37" s="195"/>
      <c r="X37" s="195"/>
      <c r="Y37" s="195"/>
      <c r="Z37" s="195"/>
      <c r="AA37" s="195"/>
      <c r="AB37" s="195"/>
      <c r="AC37" s="148">
        <f>ROUNDUP($A37/$AE37,0)*$AE37</f>
        <v>0</v>
      </c>
      <c r="AD37" s="149">
        <f>ROUNDUP($A37/1000,0)*1000</f>
        <v>0</v>
      </c>
      <c r="AE37" s="150">
        <f>IF($H37=Formeln!$A$7,2400,3200)</f>
        <v>3200</v>
      </c>
      <c r="AF37" s="6"/>
    </row>
    <row r="38" spans="1:55" ht="32.1" customHeight="1">
      <c r="A38" s="98"/>
      <c r="B38" s="79" t="str">
        <f>VLOOKUP(1512,Sprachindex!$A:$Z,Info!$O$7,FALSE)</f>
        <v>lfm</v>
      </c>
      <c r="C38" s="78"/>
      <c r="D38" s="78">
        <f>IF($P$21=1,AH38,IF($P$21=4,AI38,IF($P$21=5,AJ38,IF($P$21=11,AK38,IF($P$21=7,AL38,IF($P$21=3,AM38,IF($P$21=6,AN38,IF($P$21=9,AO38,IF($P$21=2,AP38,IF($P$21=8,AQ38,0))))))))))</f>
        <v>0</v>
      </c>
      <c r="E38" s="561" t="str">
        <f>VLOOKUP(333,Sprachindex!$A:$Z,Info!$O$7,FALSE)</f>
        <v>Einlaufblech</v>
      </c>
      <c r="F38" s="562"/>
      <c r="G38" s="562"/>
      <c r="H38" s="562"/>
      <c r="I38" s="562"/>
      <c r="J38" s="562"/>
      <c r="K38" s="563"/>
      <c r="L38" s="79" t="str">
        <f>IF(A38=0,"",IF($P$11=1,AC38,AD38))</f>
        <v/>
      </c>
      <c r="M38" s="433" t="str">
        <f t="shared" si="1"/>
        <v>lfm</v>
      </c>
      <c r="N38" s="80"/>
      <c r="O38" s="202" t="str">
        <f>IF(ISNUMBER(A38),$L38*R38, "")</f>
        <v/>
      </c>
      <c r="P38" s="5"/>
      <c r="Q38" s="5"/>
      <c r="R38" s="200">
        <v>8.65</v>
      </c>
      <c r="T38" s="195"/>
      <c r="U38" s="195"/>
      <c r="V38" s="195"/>
      <c r="W38" s="195"/>
      <c r="X38" s="195"/>
      <c r="Y38" s="195"/>
      <c r="Z38" s="195"/>
      <c r="AA38" s="195"/>
      <c r="AB38" s="195"/>
      <c r="AC38" s="149">
        <f>ROUNDUP($A38/2,0)*2</f>
        <v>0</v>
      </c>
      <c r="AD38" s="149">
        <f>ROUNDUP($A38/2,0)*2</f>
        <v>0</v>
      </c>
      <c r="AE38" s="145"/>
      <c r="AH38" s="181">
        <v>212100</v>
      </c>
      <c r="AI38" s="181"/>
      <c r="AJ38" s="181">
        <v>212102</v>
      </c>
      <c r="AK38" s="181">
        <v>212101</v>
      </c>
      <c r="AL38" s="181"/>
      <c r="AM38" s="181"/>
      <c r="AN38" s="181">
        <v>212106</v>
      </c>
      <c r="AO38" s="181"/>
      <c r="AP38" s="181">
        <v>212104</v>
      </c>
      <c r="AQ38" s="181">
        <v>212103</v>
      </c>
    </row>
    <row r="39" spans="1:55" ht="32.1" customHeight="1">
      <c r="A39" s="98"/>
      <c r="B39" s="79" t="str">
        <f>VLOOKUP(1512,Sprachindex!$A:$Z,Info!$O$7,FALSE)</f>
        <v>lfm</v>
      </c>
      <c r="C39" s="82"/>
      <c r="D39" s="82" t="str">
        <f>IF(H39=Formeln!A10,507403,IF(H39=Formeln!A11,507404,IF(H39=Formeln!A12,507402,IF(H39=Formeln!A13,507405,IF(H39=Formeln!A14,507412,IF(H39=Formeln!A15,507413,""))))))</f>
        <v/>
      </c>
      <c r="E39" s="561" t="str">
        <f>VLOOKUP(586,Sprachindex!$A:$Z,Info!$O$7,FALSE)</f>
        <v>Lüftungsband</v>
      </c>
      <c r="F39" s="562"/>
      <c r="G39" s="562"/>
      <c r="H39" s="572"/>
      <c r="I39" s="573"/>
      <c r="J39" s="573"/>
      <c r="K39" s="574"/>
      <c r="L39" s="79" t="str">
        <f>IF($H39=Formeln!$A$9," ",IF(A39=0,"",IF($P$11=1,AC39,AD39)))</f>
        <v xml:space="preserve"> </v>
      </c>
      <c r="M39" s="433" t="str">
        <f t="shared" si="1"/>
        <v>lfm</v>
      </c>
      <c r="N39" s="80"/>
      <c r="O39" s="202" t="str">
        <f>IF(ISNUMBER(A39), IF(H39=Formeln!A12, $L39*S39, $L39*R39), "")</f>
        <v/>
      </c>
      <c r="P39" s="5"/>
      <c r="Q39" s="5"/>
      <c r="R39" s="200">
        <v>13.23</v>
      </c>
      <c r="S39" s="208">
        <v>21.27</v>
      </c>
      <c r="T39" s="195"/>
      <c r="U39" s="195"/>
      <c r="V39" s="195"/>
      <c r="W39" s="195"/>
      <c r="X39" s="195"/>
      <c r="Y39" s="195"/>
      <c r="Z39" s="195"/>
      <c r="AA39" s="195"/>
      <c r="AB39" s="195"/>
      <c r="AC39" s="149">
        <f>ROUNDUP($A39/40,0)*40</f>
        <v>0</v>
      </c>
      <c r="AD39" s="149">
        <f>$A39</f>
        <v>0</v>
      </c>
      <c r="AH39" s="45" t="s">
        <v>26</v>
      </c>
      <c r="AI39" s="13"/>
      <c r="AJ39" s="13"/>
      <c r="AK39" s="13"/>
      <c r="AL39" s="13"/>
      <c r="AM39" s="13"/>
      <c r="AN39" s="13"/>
      <c r="AO39" s="13"/>
      <c r="AP39" s="13"/>
      <c r="AQ39" s="13"/>
      <c r="AR39" s="45" t="s">
        <v>27</v>
      </c>
      <c r="AS39" s="13"/>
      <c r="AT39" s="13"/>
      <c r="AU39" s="13"/>
      <c r="AV39" s="13"/>
      <c r="AW39" s="13"/>
      <c r="AX39" s="13"/>
      <c r="AY39" s="13"/>
      <c r="AZ39" s="13"/>
      <c r="BA39" s="46"/>
      <c r="BB39" s="277" t="s">
        <v>28</v>
      </c>
      <c r="BC39" s="277" t="s">
        <v>29</v>
      </c>
    </row>
    <row r="40" spans="1:55" ht="32.1" customHeight="1">
      <c r="A40" s="98"/>
      <c r="B40" s="79" t="str">
        <f>VLOOKUP(1512,Sprachindex!$A:$Z,Info!$O$7,FALSE)</f>
        <v>lfm</v>
      </c>
      <c r="C40" s="78"/>
      <c r="D40" s="78">
        <v>507300</v>
      </c>
      <c r="E40" s="561" t="str">
        <f>VLOOKUP(986,Sprachindex!$A:$Z,Info!$O$7,FALSE)</f>
        <v>Vogelschutzgitter (Braun/Anthrazit; 125 × 2.000 × 0,7 mm)</v>
      </c>
      <c r="F40" s="562"/>
      <c r="G40" s="562"/>
      <c r="H40" s="562"/>
      <c r="I40" s="562"/>
      <c r="J40" s="562"/>
      <c r="K40" s="563"/>
      <c r="L40" s="79" t="str">
        <f t="shared" ref="L40:L48" si="4">IF(A40=0,"",IF($P$11=1,AC40,AD40))</f>
        <v/>
      </c>
      <c r="M40" s="433" t="str">
        <f t="shared" si="1"/>
        <v>lfm</v>
      </c>
      <c r="N40" s="80"/>
      <c r="O40" s="202" t="str">
        <f t="shared" ref="O40:O48" si="5">IF(ISNUMBER(A40),$L40*R40, "")</f>
        <v/>
      </c>
      <c r="P40" s="5"/>
      <c r="Q40" s="5"/>
      <c r="R40" s="200">
        <v>4.01</v>
      </c>
      <c r="S40" s="195"/>
      <c r="T40" s="195"/>
      <c r="U40" s="195"/>
      <c r="V40" s="195"/>
      <c r="W40" s="195"/>
      <c r="X40" s="195"/>
      <c r="Y40" s="195"/>
      <c r="Z40" s="195"/>
      <c r="AA40" s="195"/>
      <c r="AB40" s="195"/>
      <c r="AC40" s="149">
        <f>ROUNDUP($A40/2,0)*2</f>
        <v>0</v>
      </c>
      <c r="AD40" s="149">
        <f>ROUNDUP($A40/2,0)*2</f>
        <v>0</v>
      </c>
      <c r="AH40" s="47" t="s">
        <v>33</v>
      </c>
      <c r="AI40" s="47" t="s">
        <v>34</v>
      </c>
      <c r="AJ40" s="47" t="s">
        <v>35</v>
      </c>
      <c r="AK40" s="47" t="s">
        <v>36</v>
      </c>
      <c r="AL40" s="47" t="s">
        <v>37</v>
      </c>
      <c r="AM40" s="47" t="s">
        <v>38</v>
      </c>
      <c r="AN40" s="47" t="s">
        <v>39</v>
      </c>
      <c r="AO40" s="47" t="s">
        <v>40</v>
      </c>
      <c r="AP40" s="47" t="s">
        <v>41</v>
      </c>
      <c r="AQ40" s="47" t="s">
        <v>42</v>
      </c>
      <c r="AR40" s="47" t="s">
        <v>33</v>
      </c>
      <c r="AS40" s="47" t="s">
        <v>34</v>
      </c>
      <c r="AT40" s="47" t="s">
        <v>35</v>
      </c>
      <c r="AU40" s="47" t="s">
        <v>36</v>
      </c>
      <c r="AV40" s="47" t="s">
        <v>37</v>
      </c>
      <c r="AW40" s="47" t="s">
        <v>38</v>
      </c>
      <c r="AX40" s="47" t="s">
        <v>39</v>
      </c>
      <c r="AY40" s="47" t="s">
        <v>40</v>
      </c>
      <c r="AZ40" s="47" t="s">
        <v>41</v>
      </c>
      <c r="BA40" s="47" t="s">
        <v>42</v>
      </c>
    </row>
    <row r="41" spans="1:55" ht="32.1" customHeight="1">
      <c r="A41" s="98"/>
      <c r="B41" s="79" t="str">
        <f>VLOOKUP(1512,Sprachindex!$A:$Z,Info!$O$7,FALSE)</f>
        <v>lfm</v>
      </c>
      <c r="C41" s="78"/>
      <c r="D41" s="78">
        <f t="shared" ref="D41:D47" si="6">IF($P$9=1,BC41,BB41)</f>
        <v>0</v>
      </c>
      <c r="E41" s="561" t="str">
        <f>VLOOKUP(647,Sprachindex!$A:$Z,Info!$O$7,FALSE)</f>
        <v>Ortgangstreifen (95 × 2.000 × 0,70 mm)</v>
      </c>
      <c r="F41" s="562"/>
      <c r="G41" s="562"/>
      <c r="H41" s="562"/>
      <c r="I41" s="562"/>
      <c r="J41" s="562"/>
      <c r="K41" s="563"/>
      <c r="L41" s="79" t="str">
        <f t="shared" si="4"/>
        <v/>
      </c>
      <c r="M41" s="433" t="str">
        <f t="shared" si="1"/>
        <v>lfm</v>
      </c>
      <c r="N41" s="80"/>
      <c r="O41" s="202" t="str">
        <f t="shared" si="5"/>
        <v/>
      </c>
      <c r="P41" s="5"/>
      <c r="Q41" s="5"/>
      <c r="R41" s="200">
        <v>9.57</v>
      </c>
      <c r="S41" s="195"/>
      <c r="T41" s="195"/>
      <c r="U41" s="195"/>
      <c r="V41" s="195"/>
      <c r="W41" s="195"/>
      <c r="X41" s="195"/>
      <c r="Y41" s="195"/>
      <c r="Z41" s="195"/>
      <c r="AA41" s="195"/>
      <c r="AB41" s="195"/>
      <c r="AC41" s="149">
        <f>ROUNDUP($A41/2,0)*2</f>
        <v>0</v>
      </c>
      <c r="AD41" s="149">
        <f>ROUNDUP($A41/2,0)*2</f>
        <v>0</v>
      </c>
      <c r="AH41" s="470">
        <v>110500</v>
      </c>
      <c r="AI41" s="470">
        <v>110501</v>
      </c>
      <c r="AJ41" s="470">
        <v>110502</v>
      </c>
      <c r="AK41" s="470">
        <v>110503</v>
      </c>
      <c r="AL41" s="470">
        <v>110504</v>
      </c>
      <c r="AM41" s="470">
        <v>110505</v>
      </c>
      <c r="AN41" s="470">
        <v>110506</v>
      </c>
      <c r="AO41" s="470">
        <v>110507</v>
      </c>
      <c r="AP41" s="470">
        <v>110508</v>
      </c>
      <c r="AQ41" s="470"/>
      <c r="AR41" s="469">
        <v>110510</v>
      </c>
      <c r="AS41" s="469">
        <v>110511</v>
      </c>
      <c r="AT41" s="469">
        <v>110512</v>
      </c>
      <c r="AU41" s="469">
        <v>110513</v>
      </c>
      <c r="AV41" s="469">
        <v>110514</v>
      </c>
      <c r="AW41" s="469">
        <v>110515</v>
      </c>
      <c r="AX41" s="469">
        <v>110516</v>
      </c>
      <c r="AY41" s="469">
        <v>110517</v>
      </c>
      <c r="AZ41" s="469">
        <v>110518</v>
      </c>
      <c r="BA41" s="469">
        <v>110519</v>
      </c>
      <c r="BB41" s="468">
        <f t="shared" ref="BB41:BB47" si="7">IF($P$21=1,AH41,IF($P$21=4,AI41,IF($P$21=5,AJ41,IF($P$21=11,AK41,IF($P$21=7,AL41,IF($P$21=3,AM41,IF($P$21=6,AN41,IF($P$21=9,AO41,IF($P$21=2,AP41,IF($P$21=8,AQ41,0))))))))))</f>
        <v>0</v>
      </c>
      <c r="BC41" s="468">
        <f t="shared" ref="BC41:BC47" si="8">IF($P$21=1,AR41,IF($P$21=4,AS41,IF($P$21=5,AT41,IF($P$21=11,AU41,IF($P$21=7,AV41,IF($P$21=3,AW41,IF($P$21=6,AX41,IF($P$21=9,AY41,IF($P$21=2,AZ41,IF($P$21=8,BA41,0))))))))))</f>
        <v>0</v>
      </c>
    </row>
    <row r="42" spans="1:55" ht="32.1" customHeight="1">
      <c r="A42" s="98"/>
      <c r="B42" s="79" t="str">
        <f>VLOOKUP(1512,Sprachindex!$A:$Z,Info!$O$7,FALSE)</f>
        <v>lfm</v>
      </c>
      <c r="C42" s="78"/>
      <c r="D42" s="78">
        <f t="shared" si="6"/>
        <v>0</v>
      </c>
      <c r="E42" s="561" t="str">
        <f>VLOOKUP(825,Sprachindex!$A:$Z,Info!$O$7,FALSE)</f>
        <v>Sicherheitskehle (stucco; Länge: 3.000 mm)</v>
      </c>
      <c r="F42" s="562"/>
      <c r="G42" s="562"/>
      <c r="H42" s="562"/>
      <c r="I42" s="562"/>
      <c r="J42" s="562"/>
      <c r="K42" s="563"/>
      <c r="L42" s="79" t="str">
        <f t="shared" si="4"/>
        <v/>
      </c>
      <c r="M42" s="433" t="str">
        <f t="shared" si="1"/>
        <v>lfm</v>
      </c>
      <c r="N42" s="80"/>
      <c r="O42" s="202" t="str">
        <f t="shared" si="5"/>
        <v/>
      </c>
      <c r="P42" s="5"/>
      <c r="Q42" s="5"/>
      <c r="R42" s="200">
        <v>32.14</v>
      </c>
      <c r="S42" s="195"/>
      <c r="T42" s="195"/>
      <c r="U42" s="195"/>
      <c r="V42" s="195"/>
      <c r="W42" s="195"/>
      <c r="X42" s="195"/>
      <c r="Y42" s="195"/>
      <c r="Z42" s="195"/>
      <c r="AA42" s="195"/>
      <c r="AB42" s="195"/>
      <c r="AC42" s="149">
        <f>ROUNDUP($A42/3,0)*3</f>
        <v>0</v>
      </c>
      <c r="AD42" s="149">
        <f>ROUNDUP($A42/3,0)*3</f>
        <v>0</v>
      </c>
      <c r="AH42" s="470">
        <v>110520</v>
      </c>
      <c r="AI42" s="470">
        <v>110521</v>
      </c>
      <c r="AJ42" s="470">
        <v>110522</v>
      </c>
      <c r="AK42" s="470">
        <v>110523</v>
      </c>
      <c r="AL42" s="470">
        <v>110524</v>
      </c>
      <c r="AM42" s="470">
        <v>110525</v>
      </c>
      <c r="AN42" s="470">
        <v>110526</v>
      </c>
      <c r="AO42" s="470">
        <v>110527</v>
      </c>
      <c r="AP42" s="470">
        <v>110528</v>
      </c>
      <c r="AQ42" s="470"/>
      <c r="AR42" s="469">
        <v>110530</v>
      </c>
      <c r="AS42" s="469">
        <v>110531</v>
      </c>
      <c r="AT42" s="469">
        <v>110532</v>
      </c>
      <c r="AU42" s="469">
        <v>110533</v>
      </c>
      <c r="AV42" s="469">
        <v>110534</v>
      </c>
      <c r="AW42" s="469">
        <v>110535</v>
      </c>
      <c r="AX42" s="469">
        <v>110536</v>
      </c>
      <c r="AY42" s="469">
        <v>110537</v>
      </c>
      <c r="AZ42" s="469">
        <v>110538</v>
      </c>
      <c r="BA42" s="469">
        <v>110539</v>
      </c>
      <c r="BB42" s="468">
        <f t="shared" si="7"/>
        <v>0</v>
      </c>
      <c r="BC42" s="468">
        <f t="shared" si="8"/>
        <v>0</v>
      </c>
    </row>
    <row r="43" spans="1:55" ht="32.1" customHeight="1">
      <c r="A43" s="98"/>
      <c r="B43" s="79" t="str">
        <f>VLOOKUP(1512,Sprachindex!$A:$Z,Info!$O$7,FALSE)</f>
        <v>lfm</v>
      </c>
      <c r="C43" s="78"/>
      <c r="D43" s="78">
        <f t="shared" si="6"/>
        <v>0</v>
      </c>
      <c r="E43" s="561" t="str">
        <f>VLOOKUP(440,Sprachindex!$A:$Z,Info!$O$7,FALSE)</f>
        <v>Grat- und Firstreiter (500 × 1,00 mm; stucco) inkl. Niro-Schraube 4,5 × 45 mm und Dichtscheibe</v>
      </c>
      <c r="F43" s="562"/>
      <c r="G43" s="562"/>
      <c r="H43" s="562"/>
      <c r="I43" s="562"/>
      <c r="J43" s="562"/>
      <c r="K43" s="563"/>
      <c r="L43" s="79" t="str">
        <f t="shared" si="4"/>
        <v/>
      </c>
      <c r="M43" s="433" t="str">
        <f t="shared" si="1"/>
        <v>lfm</v>
      </c>
      <c r="N43" s="80"/>
      <c r="O43" s="202" t="str">
        <f t="shared" si="5"/>
        <v/>
      </c>
      <c r="P43" s="5"/>
      <c r="Q43" s="5"/>
      <c r="R43" s="200">
        <v>14.77</v>
      </c>
      <c r="S43" s="195"/>
      <c r="T43" s="195"/>
      <c r="U43" s="195"/>
      <c r="V43" s="195"/>
      <c r="W43" s="195"/>
      <c r="X43" s="195"/>
      <c r="Y43" s="195"/>
      <c r="Z43" s="195"/>
      <c r="AA43" s="195"/>
      <c r="AB43" s="195"/>
      <c r="AC43" s="149">
        <f>ROUNDUP($A43/10,0)*10</f>
        <v>0</v>
      </c>
      <c r="AD43" s="149">
        <f>ROUNDUP($A43/0.5,0)*0.5</f>
        <v>0</v>
      </c>
      <c r="AH43" s="470">
        <v>110340</v>
      </c>
      <c r="AI43" s="470">
        <v>110341</v>
      </c>
      <c r="AJ43" s="470">
        <v>110342</v>
      </c>
      <c r="AK43" s="470">
        <v>110343</v>
      </c>
      <c r="AL43" s="470">
        <v>110344</v>
      </c>
      <c r="AM43" s="470">
        <v>110345</v>
      </c>
      <c r="AN43" s="470">
        <v>110346</v>
      </c>
      <c r="AO43" s="470">
        <v>110347</v>
      </c>
      <c r="AP43" s="470">
        <v>110348</v>
      </c>
      <c r="AQ43" s="470"/>
      <c r="AR43" s="469">
        <v>110350</v>
      </c>
      <c r="AS43" s="469">
        <v>110351</v>
      </c>
      <c r="AT43" s="469">
        <v>110352</v>
      </c>
      <c r="AU43" s="469">
        <v>110353</v>
      </c>
      <c r="AV43" s="469">
        <v>110354</v>
      </c>
      <c r="AW43" s="469">
        <v>110355</v>
      </c>
      <c r="AX43" s="469">
        <v>110356</v>
      </c>
      <c r="AY43" s="469">
        <v>110357</v>
      </c>
      <c r="AZ43" s="469">
        <v>110358</v>
      </c>
      <c r="BA43" s="469">
        <v>110359</v>
      </c>
      <c r="BB43" s="468">
        <f t="shared" si="7"/>
        <v>0</v>
      </c>
      <c r="BC43" s="468">
        <f t="shared" si="8"/>
        <v>0</v>
      </c>
    </row>
    <row r="44" spans="1:55" ht="32.1" customHeight="1">
      <c r="A44" s="98"/>
      <c r="B44" s="79" t="str">
        <f>VLOOKUP(878,Sprachindex!$A:$Z,Info!$O$7,FALSE)</f>
        <v>Stk.</v>
      </c>
      <c r="C44" s="78"/>
      <c r="D44" s="78">
        <f t="shared" si="6"/>
        <v>0</v>
      </c>
      <c r="E44" s="561" t="str">
        <f>VLOOKUP(441,Sprachindex!$A:$Z,Info!$O$7,FALSE)</f>
        <v>Gratreitervorkopf (stucco)</v>
      </c>
      <c r="F44" s="562"/>
      <c r="G44" s="562"/>
      <c r="H44" s="562"/>
      <c r="I44" s="562"/>
      <c r="J44" s="562"/>
      <c r="K44" s="563"/>
      <c r="L44" s="79" t="str">
        <f t="shared" si="4"/>
        <v/>
      </c>
      <c r="M44" s="433" t="str">
        <f t="shared" si="1"/>
        <v>Stk.</v>
      </c>
      <c r="N44" s="80"/>
      <c r="O44" s="202" t="str">
        <f t="shared" si="5"/>
        <v/>
      </c>
      <c r="P44" s="5"/>
      <c r="Q44" s="5"/>
      <c r="R44" s="200">
        <v>8.02</v>
      </c>
      <c r="S44" s="195"/>
      <c r="T44" s="195"/>
      <c r="U44" s="195"/>
      <c r="V44" s="195"/>
      <c r="W44" s="195"/>
      <c r="X44" s="195"/>
      <c r="Y44" s="195"/>
      <c r="Z44" s="195"/>
      <c r="AA44" s="195"/>
      <c r="AB44" s="195"/>
      <c r="AC44" s="149">
        <f>ROUNDUP($A44/10,0)*10</f>
        <v>0</v>
      </c>
      <c r="AD44" s="149">
        <f>ROUNDUP($A44/1,0)*1</f>
        <v>0</v>
      </c>
      <c r="AH44" s="470">
        <v>110320</v>
      </c>
      <c r="AI44" s="470">
        <v>110321</v>
      </c>
      <c r="AJ44" s="470">
        <v>110322</v>
      </c>
      <c r="AK44" s="470">
        <v>110323</v>
      </c>
      <c r="AL44" s="470">
        <v>110324</v>
      </c>
      <c r="AM44" s="470">
        <v>110325</v>
      </c>
      <c r="AN44" s="470">
        <v>110326</v>
      </c>
      <c r="AO44" s="470">
        <v>110327</v>
      </c>
      <c r="AP44" s="470">
        <v>110328</v>
      </c>
      <c r="AQ44" s="470"/>
      <c r="AR44" s="469">
        <v>110330</v>
      </c>
      <c r="AS44" s="469">
        <v>110331</v>
      </c>
      <c r="AT44" s="469">
        <v>110332</v>
      </c>
      <c r="AU44" s="469">
        <v>110333</v>
      </c>
      <c r="AV44" s="469">
        <v>110334</v>
      </c>
      <c r="AW44" s="469">
        <v>110335</v>
      </c>
      <c r="AX44" s="469">
        <v>110336</v>
      </c>
      <c r="AY44" s="469">
        <v>110337</v>
      </c>
      <c r="AZ44" s="469">
        <v>110338</v>
      </c>
      <c r="BA44" s="469">
        <v>110339</v>
      </c>
      <c r="BB44" s="468">
        <f t="shared" si="7"/>
        <v>0</v>
      </c>
      <c r="BC44" s="468">
        <f t="shared" si="8"/>
        <v>0</v>
      </c>
    </row>
    <row r="45" spans="1:55" ht="32.1" customHeight="1">
      <c r="A45" s="98"/>
      <c r="B45" s="79" t="str">
        <f>VLOOKUP(1512,Sprachindex!$A:$Z,Info!$O$7,FALSE)</f>
        <v>lfm</v>
      </c>
      <c r="C45" s="78"/>
      <c r="D45" s="78">
        <f t="shared" si="6"/>
        <v>0</v>
      </c>
      <c r="E45" s="561" t="str">
        <f>VLOOKUP(501,Sprachindex!$A:$Z,Info!$O$7,FALSE)</f>
        <v>Jet-Lüfter (stucco; 1.200 mm); inkl. Niro-Schraube und Dichtscheibe</v>
      </c>
      <c r="F45" s="562"/>
      <c r="G45" s="562"/>
      <c r="H45" s="562"/>
      <c r="I45" s="562"/>
      <c r="J45" s="562"/>
      <c r="K45" s="563"/>
      <c r="L45" s="79" t="str">
        <f t="shared" si="4"/>
        <v/>
      </c>
      <c r="M45" s="433" t="str">
        <f t="shared" si="1"/>
        <v>lfm</v>
      </c>
      <c r="N45" s="80"/>
      <c r="O45" s="202" t="str">
        <f t="shared" si="5"/>
        <v/>
      </c>
      <c r="P45" s="5"/>
      <c r="Q45" s="5"/>
      <c r="R45" s="200">
        <v>67.2</v>
      </c>
      <c r="S45" s="195"/>
      <c r="T45" s="195"/>
      <c r="U45" s="195"/>
      <c r="V45" s="195"/>
      <c r="W45" s="195"/>
      <c r="X45" s="195"/>
      <c r="Y45" s="195"/>
      <c r="Z45" s="195"/>
      <c r="AA45" s="195"/>
      <c r="AB45" s="195"/>
      <c r="AC45" s="149">
        <f>ROUNDUP($A45/1.2,0)*1.2</f>
        <v>0</v>
      </c>
      <c r="AD45" s="149">
        <f>ROUNDUP($A45/1.2,0)*1.2</f>
        <v>0</v>
      </c>
      <c r="AH45" s="470">
        <v>110640</v>
      </c>
      <c r="AI45" s="470">
        <v>110641</v>
      </c>
      <c r="AJ45" s="470">
        <v>110642</v>
      </c>
      <c r="AK45" s="470">
        <v>110643</v>
      </c>
      <c r="AL45" s="470">
        <v>110644</v>
      </c>
      <c r="AM45" s="470">
        <v>110645</v>
      </c>
      <c r="AN45" s="470">
        <v>110646</v>
      </c>
      <c r="AO45" s="470">
        <v>110647</v>
      </c>
      <c r="AP45" s="470">
        <v>110648</v>
      </c>
      <c r="AQ45" s="470"/>
      <c r="AR45" s="469">
        <v>110650</v>
      </c>
      <c r="AS45" s="469">
        <v>110651</v>
      </c>
      <c r="AT45" s="469">
        <v>110652</v>
      </c>
      <c r="AU45" s="469">
        <v>110653</v>
      </c>
      <c r="AV45" s="469">
        <v>110654</v>
      </c>
      <c r="AW45" s="469">
        <v>110655</v>
      </c>
      <c r="AX45" s="469">
        <v>110656</v>
      </c>
      <c r="AY45" s="469">
        <v>110657</v>
      </c>
      <c r="AZ45" s="469">
        <v>110658</v>
      </c>
      <c r="BA45" s="469">
        <v>110659</v>
      </c>
      <c r="BB45" s="468">
        <f t="shared" si="7"/>
        <v>0</v>
      </c>
      <c r="BC45" s="468">
        <f t="shared" si="8"/>
        <v>0</v>
      </c>
    </row>
    <row r="46" spans="1:55" ht="32.1" customHeight="1">
      <c r="A46" s="98"/>
      <c r="B46" s="79" t="str">
        <f>VLOOKUP(1512,Sprachindex!$A:$Z,Info!$O$7,FALSE)</f>
        <v>lfm</v>
      </c>
      <c r="C46" s="78"/>
      <c r="D46" s="78">
        <f t="shared" si="6"/>
        <v>0</v>
      </c>
      <c r="E46" s="561" t="str">
        <f>VLOOKUP(502,Sprachindex!$A:$Z,Info!$O$7,FALSE)</f>
        <v>Jet-Lüfter (stucco; 3.000 mm); inkl. Niro-Schraube und Dichtscheibe</v>
      </c>
      <c r="F46" s="562"/>
      <c r="G46" s="562"/>
      <c r="H46" s="562"/>
      <c r="I46" s="562"/>
      <c r="J46" s="562"/>
      <c r="K46" s="563"/>
      <c r="L46" s="79" t="str">
        <f t="shared" si="4"/>
        <v/>
      </c>
      <c r="M46" s="433" t="str">
        <f t="shared" si="1"/>
        <v>lfm</v>
      </c>
      <c r="N46" s="80"/>
      <c r="O46" s="202" t="str">
        <f t="shared" si="5"/>
        <v/>
      </c>
      <c r="P46" s="5"/>
      <c r="Q46" s="5"/>
      <c r="R46" s="200">
        <v>60.69</v>
      </c>
      <c r="S46" s="195"/>
      <c r="T46" s="195"/>
      <c r="U46" s="195"/>
      <c r="V46" s="195"/>
      <c r="W46" s="195"/>
      <c r="X46" s="195"/>
      <c r="Y46" s="195"/>
      <c r="Z46" s="195"/>
      <c r="AA46" s="195"/>
      <c r="AB46" s="195"/>
      <c r="AC46" s="149">
        <f>ROUNDUP($A46/9,0)*9</f>
        <v>0</v>
      </c>
      <c r="AD46" s="149">
        <f>ROUNDUP($A46/3,0)*3</f>
        <v>0</v>
      </c>
      <c r="AH46" s="470">
        <v>110620</v>
      </c>
      <c r="AI46" s="470">
        <v>110621</v>
      </c>
      <c r="AJ46" s="470">
        <v>110622</v>
      </c>
      <c r="AK46" s="470">
        <v>110623</v>
      </c>
      <c r="AL46" s="470">
        <v>110624</v>
      </c>
      <c r="AM46" s="470">
        <v>110625</v>
      </c>
      <c r="AN46" s="470">
        <v>110626</v>
      </c>
      <c r="AO46" s="470">
        <v>110627</v>
      </c>
      <c r="AP46" s="470">
        <v>110628</v>
      </c>
      <c r="AQ46" s="470"/>
      <c r="AR46" s="469">
        <v>110630</v>
      </c>
      <c r="AS46" s="469">
        <v>110631</v>
      </c>
      <c r="AT46" s="469">
        <v>110632</v>
      </c>
      <c r="AU46" s="469">
        <v>110633</v>
      </c>
      <c r="AV46" s="469">
        <v>110634</v>
      </c>
      <c r="AW46" s="469">
        <v>110635</v>
      </c>
      <c r="AX46" s="469">
        <v>110636</v>
      </c>
      <c r="AY46" s="469">
        <v>110637</v>
      </c>
      <c r="AZ46" s="469">
        <v>110638</v>
      </c>
      <c r="BA46" s="469">
        <v>110639</v>
      </c>
      <c r="BB46" s="468">
        <f t="shared" si="7"/>
        <v>0</v>
      </c>
      <c r="BC46" s="468">
        <f t="shared" si="8"/>
        <v>0</v>
      </c>
    </row>
    <row r="47" spans="1:55" ht="32.1" customHeight="1">
      <c r="A47" s="98"/>
      <c r="B47" s="79" t="str">
        <f>VLOOKUP(878,Sprachindex!$A:$Z,Info!$O$7,FALSE)</f>
        <v>Stk.</v>
      </c>
      <c r="C47" s="78"/>
      <c r="D47" s="78">
        <f t="shared" si="6"/>
        <v>0</v>
      </c>
      <c r="E47" s="561" t="str">
        <f>VLOOKUP(503,Sprachindex!$A:$Z,Info!$O$7,FALSE)</f>
        <v>Jet-Lüfter-Vorkopf (stucco)</v>
      </c>
      <c r="F47" s="562"/>
      <c r="G47" s="562"/>
      <c r="H47" s="562"/>
      <c r="I47" s="562"/>
      <c r="J47" s="562"/>
      <c r="K47" s="563"/>
      <c r="L47" s="79" t="str">
        <f t="shared" si="4"/>
        <v/>
      </c>
      <c r="M47" s="433" t="str">
        <f t="shared" si="1"/>
        <v>Stk.</v>
      </c>
      <c r="N47" s="80"/>
      <c r="O47" s="202" t="str">
        <f t="shared" si="5"/>
        <v/>
      </c>
      <c r="P47" s="5"/>
      <c r="Q47" s="5"/>
      <c r="R47" s="200">
        <v>8.7100000000000009</v>
      </c>
      <c r="S47" s="195"/>
      <c r="T47" s="195"/>
      <c r="U47" s="195"/>
      <c r="V47" s="195"/>
      <c r="W47" s="195"/>
      <c r="X47" s="195"/>
      <c r="Y47" s="195"/>
      <c r="Z47" s="195"/>
      <c r="AA47" s="195"/>
      <c r="AB47" s="195"/>
      <c r="AC47" s="149">
        <f>ROUNDUP($A47/2,0)*2</f>
        <v>0</v>
      </c>
      <c r="AD47" s="149">
        <f>ROUNDUP($A47/1,0)*1</f>
        <v>0</v>
      </c>
      <c r="AH47" s="470">
        <v>110600</v>
      </c>
      <c r="AI47" s="470">
        <v>110601</v>
      </c>
      <c r="AJ47" s="470">
        <v>110602</v>
      </c>
      <c r="AK47" s="470">
        <v>110603</v>
      </c>
      <c r="AL47" s="470">
        <v>110604</v>
      </c>
      <c r="AM47" s="470">
        <v>110605</v>
      </c>
      <c r="AN47" s="470">
        <v>110606</v>
      </c>
      <c r="AO47" s="470">
        <v>110607</v>
      </c>
      <c r="AP47" s="470">
        <v>110608</v>
      </c>
      <c r="AQ47" s="470"/>
      <c r="AR47" s="469">
        <v>110610</v>
      </c>
      <c r="AS47" s="469">
        <v>110611</v>
      </c>
      <c r="AT47" s="469">
        <v>110612</v>
      </c>
      <c r="AU47" s="469">
        <v>110613</v>
      </c>
      <c r="AV47" s="469">
        <v>110614</v>
      </c>
      <c r="AW47" s="469">
        <v>110615</v>
      </c>
      <c r="AX47" s="469">
        <v>110616</v>
      </c>
      <c r="AY47" s="469">
        <v>110617</v>
      </c>
      <c r="AZ47" s="469">
        <v>110618</v>
      </c>
      <c r="BA47" s="469">
        <v>110619</v>
      </c>
      <c r="BB47" s="468">
        <f t="shared" si="7"/>
        <v>0</v>
      </c>
      <c r="BC47" s="468">
        <f t="shared" si="8"/>
        <v>0</v>
      </c>
    </row>
    <row r="48" spans="1:55" ht="32.1" customHeight="1">
      <c r="A48" s="98"/>
      <c r="B48" s="79" t="str">
        <f>VLOOKUP(878,Sprachindex!$A:$Z,Info!$O$7,FALSE)</f>
        <v>Stk.</v>
      </c>
      <c r="C48" s="78"/>
      <c r="D48" s="78">
        <f>IF($P$21=1,AH48,IF($P$21=4,AI48,IF($P$21=5,AJ48,IF($P$21=11,AK48,IF($P$21=7,AL48,IF($P$21=3,AM48,IF($P$21=6,AN48,IF($P$21=9,AO48,IF($P$21=2,AP48,IF($P$21=8,AQ48,0))))))))))</f>
        <v>0</v>
      </c>
      <c r="E48" s="561" t="str">
        <f>VLOOKUP(2187,Sprachindex!$A:$Z,Info!$O$7,FALSE)</f>
        <v>Dichtschraube NIRO, 4,5x25</v>
      </c>
      <c r="F48" s="562"/>
      <c r="G48" s="562"/>
      <c r="H48" s="562"/>
      <c r="I48" s="562"/>
      <c r="J48" s="562"/>
      <c r="K48" s="563"/>
      <c r="L48" s="79" t="str">
        <f t="shared" si="4"/>
        <v/>
      </c>
      <c r="M48" s="433" t="str">
        <f t="shared" si="1"/>
        <v>Stk.</v>
      </c>
      <c r="N48" s="80"/>
      <c r="O48" s="202" t="str">
        <f t="shared" si="5"/>
        <v/>
      </c>
      <c r="P48" s="5"/>
      <c r="Q48" s="5"/>
      <c r="R48" s="200">
        <v>0.46</v>
      </c>
      <c r="S48" s="195"/>
      <c r="T48" s="195"/>
      <c r="U48" s="195"/>
      <c r="V48" s="195"/>
      <c r="W48" s="195"/>
      <c r="X48" s="195"/>
      <c r="Y48" s="195"/>
      <c r="Z48" s="195"/>
      <c r="AA48" s="195"/>
      <c r="AB48" s="195"/>
      <c r="AC48" s="149">
        <f>ROUNDUP($A48/200,0)*200</f>
        <v>0</v>
      </c>
      <c r="AD48" s="149">
        <f>ROUNDUP($A48,0)</f>
        <v>0</v>
      </c>
      <c r="AH48" s="44">
        <v>340041</v>
      </c>
      <c r="AI48" s="44">
        <v>340042</v>
      </c>
      <c r="AJ48" s="44">
        <v>340043</v>
      </c>
      <c r="AK48" s="44">
        <v>340044</v>
      </c>
      <c r="AL48" s="138"/>
      <c r="AM48" s="44">
        <v>340045</v>
      </c>
      <c r="AN48" s="44">
        <v>340046</v>
      </c>
      <c r="AO48" s="44">
        <v>340047</v>
      </c>
      <c r="AP48" s="44">
        <v>340048</v>
      </c>
      <c r="AQ48" s="44">
        <v>340049</v>
      </c>
      <c r="AR48" s="1" t="s">
        <v>95</v>
      </c>
    </row>
    <row r="49" spans="1:474" ht="32.1" customHeight="1">
      <c r="A49" s="98"/>
      <c r="B49" s="79" t="str">
        <f>VLOOKUP(878,Sprachindex!$A:$Z,Info!$O$7,FALSE)</f>
        <v>Stk.</v>
      </c>
      <c r="C49" s="78"/>
      <c r="D49" s="78" t="str">
        <f>IF(H49=Formeln!A18,IF($P$21=1,AH49,IF($P$21=4,AI49,IF($P$21=5,AJ49,IF($P$21=11,AK49,IF($P$21=7,AL49,IF($P$21=3,AM49,IF($P$21=6,AN49,IF($P$21=9,AO49,IF($P$21=2,AP49,IF($P$21=8,AQ49,0)))))))))),IF(H49=Formeln!A19,AR49,""))</f>
        <v/>
      </c>
      <c r="E49" s="561" t="str">
        <f>VLOOKUP(2188,Sprachindex!$A:$Z,Info!$O$7,FALSE)</f>
        <v>Dichtschraube NIRO 4,5 x 45 mm, für Grat- und Firstreiter</v>
      </c>
      <c r="F49" s="562"/>
      <c r="G49" s="562"/>
      <c r="H49" s="572"/>
      <c r="I49" s="573"/>
      <c r="J49" s="573"/>
      <c r="K49" s="574"/>
      <c r="L49" s="79" t="str">
        <f>IF(A49=0,"",IF(H49=Formeln!$A$17," ",IF($P$11=1,AC49,AD49)))</f>
        <v/>
      </c>
      <c r="M49" s="433" t="str">
        <f t="shared" si="1"/>
        <v>Stk.</v>
      </c>
      <c r="N49" s="80"/>
      <c r="O49" s="202" t="str">
        <f>IF(ISNUMBER(A49),IF(H49=Formeln!A19,S49*L49,R49*L49),"")</f>
        <v/>
      </c>
      <c r="P49" s="5"/>
      <c r="Q49" s="5"/>
      <c r="R49" s="200">
        <v>0.68</v>
      </c>
      <c r="S49" s="195">
        <v>0.6</v>
      </c>
      <c r="T49" s="195"/>
      <c r="U49" s="195"/>
      <c r="V49" s="195"/>
      <c r="W49" s="195"/>
      <c r="X49" s="195"/>
      <c r="Y49" s="195"/>
      <c r="Z49" s="195"/>
      <c r="AA49" s="195"/>
      <c r="AB49" s="195"/>
      <c r="AC49" s="149">
        <f>ROUNDUP($A49/250,0)*250</f>
        <v>0</v>
      </c>
      <c r="AD49" s="149">
        <f>ROUNDUP($A49,0)</f>
        <v>0</v>
      </c>
      <c r="AH49" s="44">
        <v>340001</v>
      </c>
      <c r="AI49" s="44">
        <v>340004</v>
      </c>
      <c r="AJ49" s="44">
        <v>340003</v>
      </c>
      <c r="AK49" s="44">
        <v>340104</v>
      </c>
      <c r="AM49" s="44">
        <v>340002</v>
      </c>
      <c r="AN49" s="44">
        <v>340016</v>
      </c>
      <c r="AO49" s="44">
        <v>340011</v>
      </c>
      <c r="AP49" s="44">
        <v>340014</v>
      </c>
      <c r="AQ49" s="44">
        <v>340013</v>
      </c>
      <c r="AR49" s="1">
        <v>340103</v>
      </c>
    </row>
    <row r="50" spans="1:474" ht="32.1" customHeight="1">
      <c r="A50" s="98"/>
      <c r="B50" s="79" t="str">
        <f>VLOOKUP(878,Sprachindex!$A:$Z,Info!$O$7,FALSE)</f>
        <v>Stk.</v>
      </c>
      <c r="C50" s="78"/>
      <c r="D50" s="78" t="str">
        <f>IF(H50=Formeln!A21,IF($P$21=1,AH50,IF($P$21=4,AI50,IF($P$21=5,AJ50,IF($P$21=11,AK50,IF($P$21=7,AL50,IF($P$21=3,AM50,IF($P$21=6,AN50,IF($P$21=9,AO50,IF($P$21=2,AP50,IF($P$21=8,AQ50,0)))))))))),IF(H50=Formeln!A22,AR50,""))</f>
        <v/>
      </c>
      <c r="E50" s="561" t="str">
        <f>VLOOKUP(2189,Sprachindex!$A:$Z,Info!$O$7,FALSE)</f>
        <v>Dichtschraube NIRO 4,5 x 60 mm, für Jet-Lüfter</v>
      </c>
      <c r="F50" s="562"/>
      <c r="G50" s="562"/>
      <c r="H50" s="572"/>
      <c r="I50" s="573"/>
      <c r="J50" s="573"/>
      <c r="K50" s="574"/>
      <c r="L50" s="79" t="str">
        <f>IF(A50=0,"",IF(H50=Formeln!$A$17," ",IF($P$11=1,AC50,AD50)))</f>
        <v/>
      </c>
      <c r="M50" s="433" t="str">
        <f t="shared" si="1"/>
        <v>Stk.</v>
      </c>
      <c r="N50" s="80"/>
      <c r="O50" s="202" t="str">
        <f>IF(ISNUMBER(A50),IF(H50=Formeln!A22,S50*L50,R50*L50),"")</f>
        <v/>
      </c>
      <c r="P50" s="5"/>
      <c r="Q50" s="5"/>
      <c r="R50" s="200">
        <v>0.86</v>
      </c>
      <c r="S50" s="195">
        <v>0.68</v>
      </c>
      <c r="T50" s="195"/>
      <c r="U50" s="195"/>
      <c r="V50" s="195"/>
      <c r="W50" s="195"/>
      <c r="X50" s="195"/>
      <c r="Y50" s="195"/>
      <c r="Z50" s="195"/>
      <c r="AA50" s="195"/>
      <c r="AB50" s="195"/>
      <c r="AC50" s="149">
        <f>ROUNDUP($A50/100,0)*100</f>
        <v>0</v>
      </c>
      <c r="AD50" s="149">
        <f>ROUNDUP($A50,0)</f>
        <v>0</v>
      </c>
      <c r="AH50" s="44">
        <v>340020</v>
      </c>
      <c r="AI50" s="44">
        <v>340024</v>
      </c>
      <c r="AJ50" s="44">
        <v>340022</v>
      </c>
      <c r="AK50" s="44">
        <v>340021</v>
      </c>
      <c r="AM50" s="44">
        <v>340025</v>
      </c>
      <c r="AN50" s="44">
        <v>340032</v>
      </c>
      <c r="AO50" s="44">
        <v>340027</v>
      </c>
      <c r="AP50" s="44">
        <v>340030</v>
      </c>
      <c r="AQ50" s="44">
        <v>340036</v>
      </c>
      <c r="AR50" s="1">
        <v>340106</v>
      </c>
    </row>
    <row r="51" spans="1:474" ht="32.1" customHeight="1">
      <c r="A51" s="98"/>
      <c r="B51" s="79" t="str">
        <f>VLOOKUP(878,Sprachindex!$A:$Z,Info!$O$7,FALSE)</f>
        <v>Stk.</v>
      </c>
      <c r="C51" s="78"/>
      <c r="D51" s="78">
        <f>IF($P$21=1,AH51,IF($P$21=4,AI51,IF($P$21=5,AJ51,IF($P$21=11,AK51,IF($P$21=7,AL51,IF($P$21=3,AM51,IF($P$21=6,AN51,IF($P$21=9,AO51,IF($P$21=2,AP51,IF($P$21=8,AQ51,0))))))))))</f>
        <v>0</v>
      </c>
      <c r="E51" s="561" t="str">
        <f>VLOOKUP(409,Sprachindex!$A:$Z,Info!$O$7,FALSE)</f>
        <v>Froschmaullukenhaube</v>
      </c>
      <c r="F51" s="562"/>
      <c r="G51" s="562"/>
      <c r="H51" s="562"/>
      <c r="I51" s="562"/>
      <c r="J51" s="562"/>
      <c r="K51" s="563"/>
      <c r="L51" s="79" t="str">
        <f>IF(A51=0,"",IF($P$11=1,AC51,AD51))</f>
        <v/>
      </c>
      <c r="M51" s="433" t="str">
        <f t="shared" si="1"/>
        <v>Stk.</v>
      </c>
      <c r="N51" s="80"/>
      <c r="O51" s="202" t="str">
        <f>IF(ISNUMBER(A51),$L51*R51, "")</f>
        <v/>
      </c>
      <c r="P51" s="5"/>
      <c r="Q51" s="5"/>
      <c r="R51" s="200">
        <v>24.65</v>
      </c>
      <c r="S51" s="195"/>
      <c r="T51" s="195"/>
      <c r="U51" s="195"/>
      <c r="V51" s="195"/>
      <c r="W51" s="195"/>
      <c r="X51" s="195"/>
      <c r="Y51" s="195"/>
      <c r="Z51" s="195"/>
      <c r="AA51" s="195"/>
      <c r="AB51" s="195"/>
      <c r="AC51" s="149">
        <f>ROUNDUP($A51/20,0)*20</f>
        <v>0</v>
      </c>
      <c r="AD51" s="149">
        <f>ROUNDUP($A51,0)</f>
        <v>0</v>
      </c>
      <c r="AH51" s="44">
        <v>110100</v>
      </c>
      <c r="AI51" s="44">
        <v>110101</v>
      </c>
      <c r="AJ51" s="44">
        <v>110102</v>
      </c>
      <c r="AK51" s="44">
        <v>110103</v>
      </c>
      <c r="AL51" s="44">
        <v>110104</v>
      </c>
      <c r="AM51" s="44">
        <v>110105</v>
      </c>
      <c r="AN51" s="44">
        <v>110106</v>
      </c>
      <c r="AO51" s="44">
        <v>110107</v>
      </c>
      <c r="AP51" s="44">
        <v>110108</v>
      </c>
      <c r="AQ51" s="44">
        <v>121005</v>
      </c>
    </row>
    <row r="52" spans="1:474" ht="32.1" customHeight="1">
      <c r="A52" s="98"/>
      <c r="B52" s="79" t="str">
        <f>VLOOKUP(878,Sprachindex!$A:$Z,Info!$O$7,FALSE)</f>
        <v>Stk.</v>
      </c>
      <c r="C52" s="78"/>
      <c r="D52" s="78">
        <f>IF($P$21=1,AH52,IF($P$21=4,AI52,IF($P$21=5,AJ52,IF($P$21=11,AK52,IF($P$21=7,AL52,IF($P$21=3,AM52,IF($P$21=6,AN52,IF($P$21=9,AO52,IF($P$21=2,AP52,IF($P$21=8,AQ52,0))))))))))</f>
        <v>0</v>
      </c>
      <c r="E52" s="561" t="str">
        <f>VLOOKUP(2220,Sprachindex!$A:$Z,Info!$O$7,FALSE)</f>
        <v>Froschmaulluke stucco für DR29x29</v>
      </c>
      <c r="F52" s="562"/>
      <c r="G52" s="562"/>
      <c r="H52" s="562"/>
      <c r="I52" s="562"/>
      <c r="J52" s="562"/>
      <c r="K52" s="563"/>
      <c r="L52" s="79" t="str">
        <f>IF(A52=0,"",IF($P$11=1,AC52,AD52))</f>
        <v/>
      </c>
      <c r="M52" s="433" t="str">
        <f t="shared" si="1"/>
        <v>Stk.</v>
      </c>
      <c r="N52" s="80"/>
      <c r="O52" s="202" t="str">
        <f>IF(ISNUMBER(A52),$L52*R52, "")</f>
        <v/>
      </c>
      <c r="P52" s="5"/>
      <c r="Q52" s="5"/>
      <c r="R52" s="200">
        <v>43.71</v>
      </c>
      <c r="S52" s="195"/>
      <c r="T52" s="195"/>
      <c r="U52" s="195"/>
      <c r="V52" s="195"/>
      <c r="W52" s="195"/>
      <c r="X52" s="195"/>
      <c r="Y52" s="195"/>
      <c r="Z52" s="195"/>
      <c r="AA52" s="195"/>
      <c r="AB52" s="195"/>
      <c r="AC52" s="149">
        <f>ROUNDUP($A52/10,0)*10</f>
        <v>0</v>
      </c>
      <c r="AD52" s="149">
        <f>ROUNDUP($A52,0)</f>
        <v>0</v>
      </c>
      <c r="AH52" s="44">
        <v>110160</v>
      </c>
      <c r="AI52" s="44">
        <v>110161</v>
      </c>
      <c r="AJ52" s="44">
        <v>110162</v>
      </c>
      <c r="AK52" s="44">
        <v>110163</v>
      </c>
      <c r="AL52" s="44">
        <v>110164</v>
      </c>
      <c r="AM52" s="44">
        <v>110165</v>
      </c>
      <c r="AN52" s="44">
        <v>110166</v>
      </c>
      <c r="AO52" s="44">
        <v>110167</v>
      </c>
      <c r="AP52" s="44">
        <v>110168</v>
      </c>
      <c r="AQ52" s="44">
        <v>110169</v>
      </c>
    </row>
    <row r="53" spans="1:474" ht="32.1" customHeight="1">
      <c r="A53" s="98"/>
      <c r="B53" s="79" t="str">
        <f>VLOOKUP(878,Sprachindex!$A:$Z,Info!$O$7,FALSE)</f>
        <v>Stk.</v>
      </c>
      <c r="C53" s="78"/>
      <c r="D53" s="78">
        <v>545106</v>
      </c>
      <c r="E53" s="588" t="str">
        <f>VLOOKUP(1874,Sprachindex!$A:$Z,Info!$O$7,FALSE)</f>
        <v>Einfassung Vario, 120-600 mm, stucco</v>
      </c>
      <c r="F53" s="589"/>
      <c r="G53" s="589"/>
      <c r="H53" s="589"/>
      <c r="I53" s="589"/>
      <c r="J53" s="589"/>
      <c r="K53" s="590"/>
      <c r="L53" s="79" t="str">
        <f>IF(A53=0,"",IF($P$11=1,AC53,AD53))</f>
        <v/>
      </c>
      <c r="M53" s="433" t="str">
        <f t="shared" si="1"/>
        <v>Stk.</v>
      </c>
      <c r="N53" s="80"/>
      <c r="O53" s="202" t="str">
        <f>IF(ISNUMBER(A53),$L53*R53, "")</f>
        <v/>
      </c>
      <c r="P53" s="5"/>
      <c r="Q53" s="5"/>
      <c r="R53" s="200">
        <v>0</v>
      </c>
      <c r="S53" s="195"/>
      <c r="T53" s="195"/>
      <c r="U53" s="195"/>
      <c r="V53" s="195"/>
      <c r="W53" s="195"/>
      <c r="X53" s="195"/>
      <c r="Y53" s="195"/>
      <c r="Z53" s="195"/>
      <c r="AA53" s="195"/>
      <c r="AB53" s="195"/>
      <c r="AC53" s="149">
        <f t="shared" ref="AC53:AD54" si="9">ROUNDUP($A53,0)</f>
        <v>0</v>
      </c>
      <c r="AD53" s="149">
        <f t="shared" si="9"/>
        <v>0</v>
      </c>
      <c r="AH53" s="44"/>
      <c r="AI53" s="44"/>
      <c r="AJ53" s="44"/>
      <c r="AK53" s="44"/>
      <c r="AL53" s="44"/>
      <c r="AM53" s="44"/>
      <c r="AN53" s="44"/>
      <c r="AO53" s="44"/>
      <c r="AP53" s="44"/>
      <c r="AQ53" s="44"/>
    </row>
    <row r="54" spans="1:474" ht="32.1" customHeight="1">
      <c r="A54" s="98"/>
      <c r="B54" s="79" t="str">
        <f>VLOOKUP(878,Sprachindex!$A:$Z,Info!$O$7,FALSE)</f>
        <v>Stk.</v>
      </c>
      <c r="C54" s="78"/>
      <c r="D54" s="78">
        <v>545106</v>
      </c>
      <c r="E54" s="588" t="str">
        <f>VLOOKUP(1875,Sprachindex!$A:$Z,Info!$O$7,FALSE)</f>
        <v>Einfassung Vario, 600-1.020 mm, stucco</v>
      </c>
      <c r="F54" s="589"/>
      <c r="G54" s="589"/>
      <c r="H54" s="589"/>
      <c r="I54" s="589"/>
      <c r="J54" s="589"/>
      <c r="K54" s="590"/>
      <c r="L54" s="79" t="str">
        <f>IF(A54=0,"",IF($P$11=1,AC54,AD54))</f>
        <v/>
      </c>
      <c r="M54" s="433" t="str">
        <f t="shared" si="1"/>
        <v>Stk.</v>
      </c>
      <c r="N54" s="80"/>
      <c r="O54" s="202" t="str">
        <f>IF(ISNUMBER(A54),$L54*R54, "")</f>
        <v/>
      </c>
      <c r="P54" s="5"/>
      <c r="Q54" s="5"/>
      <c r="R54" s="200">
        <v>0</v>
      </c>
      <c r="S54" s="195"/>
      <c r="T54" s="195"/>
      <c r="U54" s="195"/>
      <c r="V54" s="195"/>
      <c r="W54" s="195"/>
      <c r="X54" s="195"/>
      <c r="Y54" s="195"/>
      <c r="Z54" s="195"/>
      <c r="AA54" s="195"/>
      <c r="AB54" s="195"/>
      <c r="AC54" s="149">
        <f t="shared" si="9"/>
        <v>0</v>
      </c>
      <c r="AD54" s="149">
        <f t="shared" si="9"/>
        <v>0</v>
      </c>
      <c r="AH54" s="44"/>
      <c r="AI54" s="44"/>
      <c r="AJ54" s="44"/>
      <c r="AK54" s="44"/>
      <c r="AL54" s="44"/>
      <c r="AM54" s="44"/>
      <c r="AN54" s="44"/>
      <c r="AO54" s="44"/>
      <c r="AP54" s="44"/>
      <c r="AQ54" s="44"/>
    </row>
    <row r="55" spans="1:474" ht="32.1" customHeight="1">
      <c r="A55" s="98"/>
      <c r="B55" s="79" t="str">
        <f>VLOOKUP(878,Sprachindex!$A:$Z,Info!$O$7,FALSE)</f>
        <v>Stk.</v>
      </c>
      <c r="C55" s="78"/>
      <c r="D55" s="78">
        <f t="shared" ref="D55" si="10">IF($P$9=1,BC55,BB55)</f>
        <v>0</v>
      </c>
      <c r="E55" s="588" t="str">
        <f>VLOOKUP(254,Sprachindex!$A:$Z,Info!$O$7,FALSE)</f>
        <v>Dachluke (600 × 600 mm); komplett mit Holzrahmen</v>
      </c>
      <c r="F55" s="589"/>
      <c r="G55" s="589"/>
      <c r="H55" s="589"/>
      <c r="I55" s="589"/>
      <c r="J55" s="589"/>
      <c r="K55" s="590"/>
      <c r="L55" s="79" t="str">
        <f>IF(A55=0,"",IF($P$11=1,AC55,AD55))</f>
        <v/>
      </c>
      <c r="M55" s="433" t="str">
        <f t="shared" si="1"/>
        <v>Stk.</v>
      </c>
      <c r="N55" s="80"/>
      <c r="O55" s="202" t="str">
        <f>IF(ISNUMBER(A55),$L55*R55, "")</f>
        <v/>
      </c>
      <c r="P55" s="5"/>
      <c r="Q55" s="5"/>
      <c r="R55" s="200">
        <v>247.5</v>
      </c>
      <c r="S55" s="195"/>
      <c r="T55" s="195"/>
      <c r="U55" s="195"/>
      <c r="V55" s="195"/>
      <c r="W55" s="195"/>
      <c r="X55" s="195"/>
      <c r="Y55" s="195"/>
      <c r="Z55" s="195"/>
      <c r="AA55" s="195"/>
      <c r="AB55" s="195"/>
      <c r="AC55" s="149">
        <f t="shared" ref="AC55:AD64" si="11">ROUNDUP($A55,0)</f>
        <v>0</v>
      </c>
      <c r="AD55" s="149">
        <f t="shared" si="11"/>
        <v>0</v>
      </c>
      <c r="AH55" s="470">
        <v>110020</v>
      </c>
      <c r="AI55" s="470">
        <v>110021</v>
      </c>
      <c r="AJ55" s="470">
        <v>110022</v>
      </c>
      <c r="AK55" s="470">
        <v>110023</v>
      </c>
      <c r="AL55" s="470">
        <v>110024</v>
      </c>
      <c r="AM55" s="470">
        <v>110025</v>
      </c>
      <c r="AN55" s="470">
        <v>110026</v>
      </c>
      <c r="AO55" s="470">
        <v>110027</v>
      </c>
      <c r="AP55" s="470">
        <v>110028</v>
      </c>
      <c r="AQ55" s="470"/>
      <c r="AR55" s="469">
        <v>110030</v>
      </c>
      <c r="AS55" s="469">
        <v>110031</v>
      </c>
      <c r="AT55" s="469">
        <v>110032</v>
      </c>
      <c r="AU55" s="469">
        <v>110033</v>
      </c>
      <c r="AV55" s="469">
        <v>110034</v>
      </c>
      <c r="AW55" s="469">
        <v>110035</v>
      </c>
      <c r="AX55" s="469">
        <v>110036</v>
      </c>
      <c r="AY55" s="469">
        <v>110037</v>
      </c>
      <c r="AZ55" s="469">
        <v>110038</v>
      </c>
      <c r="BA55" s="469">
        <v>110039</v>
      </c>
      <c r="BB55" s="468">
        <f t="shared" ref="BB55" si="12">IF($P$21=1,AH55,IF($P$21=4,AI55,IF($P$21=5,AJ55,IF($P$21=11,AK55,IF($P$21=7,AL55,IF($P$21=3,AM55,IF($P$21=6,AN55,IF($P$21=9,AO55,IF($P$21=2,AP55,IF($P$21=8,AQ55,0))))))))))</f>
        <v>0</v>
      </c>
      <c r="BC55" s="468">
        <f t="shared" ref="BC55" si="13">IF($P$21=1,AR55,IF($P$21=4,AS55,IF($P$21=5,AT55,IF($P$21=11,AU55,IF($P$21=7,AV55,IF($P$21=3,AW55,IF($P$21=6,AX55,IF($P$21=9,AY55,IF($P$21=2,AZ55,IF($P$21=8,BA55,0))))))))))</f>
        <v>0</v>
      </c>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c r="MO55" s="51"/>
      <c r="MP55" s="51"/>
      <c r="MQ55" s="51"/>
      <c r="MR55" s="51"/>
      <c r="MS55" s="51"/>
      <c r="MT55" s="51"/>
      <c r="MU55" s="51"/>
      <c r="MV55" s="51"/>
      <c r="MW55" s="51"/>
      <c r="MX55" s="51"/>
      <c r="MY55" s="51"/>
      <c r="MZ55" s="51"/>
      <c r="NA55" s="51"/>
      <c r="NB55" s="51"/>
      <c r="NC55" s="51"/>
      <c r="ND55" s="51"/>
      <c r="NE55" s="51"/>
      <c r="NF55" s="51"/>
      <c r="NG55" s="51"/>
      <c r="NH55" s="51"/>
      <c r="NI55" s="51"/>
      <c r="NJ55" s="51"/>
      <c r="NK55" s="51"/>
      <c r="NL55" s="51"/>
      <c r="NM55" s="51"/>
      <c r="NN55" s="51"/>
      <c r="NO55" s="51"/>
      <c r="NP55" s="51"/>
      <c r="NQ55" s="51"/>
      <c r="NR55" s="51"/>
      <c r="NS55" s="51"/>
      <c r="NT55" s="51"/>
      <c r="NU55" s="51"/>
      <c r="NV55" s="51"/>
      <c r="NW55" s="51"/>
      <c r="NX55" s="51"/>
      <c r="NY55" s="51"/>
      <c r="NZ55" s="51"/>
      <c r="OA55" s="51"/>
      <c r="OB55" s="51"/>
      <c r="OC55" s="51"/>
      <c r="OD55" s="51"/>
      <c r="OE55" s="51"/>
      <c r="OF55" s="51"/>
      <c r="OG55" s="51"/>
      <c r="OH55" s="51"/>
      <c r="OI55" s="51"/>
      <c r="OJ55" s="51"/>
      <c r="OK55" s="51"/>
      <c r="OL55" s="51"/>
      <c r="OM55" s="51"/>
      <c r="ON55" s="51"/>
      <c r="OO55" s="51"/>
      <c r="OP55" s="51"/>
      <c r="OQ55" s="51"/>
      <c r="OR55" s="51"/>
      <c r="OS55" s="51"/>
      <c r="OT55" s="51"/>
      <c r="OU55" s="51"/>
      <c r="OV55" s="51"/>
      <c r="OW55" s="51"/>
      <c r="OX55" s="51"/>
      <c r="OY55" s="51"/>
      <c r="OZ55" s="51"/>
      <c r="PA55" s="51"/>
      <c r="PB55" s="51"/>
      <c r="PC55" s="51"/>
      <c r="PD55" s="51"/>
      <c r="PE55" s="51"/>
      <c r="PF55" s="51"/>
      <c r="PG55" s="51"/>
      <c r="PH55" s="51"/>
      <c r="PI55" s="51"/>
      <c r="PJ55" s="51"/>
      <c r="PK55" s="51"/>
      <c r="PL55" s="51"/>
      <c r="PM55" s="51"/>
      <c r="PN55" s="51"/>
      <c r="PO55" s="51"/>
      <c r="PP55" s="51"/>
      <c r="PQ55" s="51"/>
      <c r="PR55" s="51"/>
      <c r="PS55" s="51"/>
      <c r="PT55" s="51"/>
      <c r="PU55" s="51"/>
      <c r="PV55" s="51"/>
      <c r="PW55" s="51"/>
      <c r="PX55" s="51"/>
      <c r="PY55" s="51"/>
      <c r="PZ55" s="51"/>
      <c r="QA55" s="51"/>
      <c r="QB55" s="51"/>
      <c r="QC55" s="51"/>
      <c r="QD55" s="51"/>
      <c r="QE55" s="51"/>
      <c r="QF55" s="51"/>
      <c r="QG55" s="51"/>
      <c r="QH55" s="51"/>
      <c r="QI55" s="51"/>
      <c r="QJ55" s="51"/>
      <c r="QK55" s="51"/>
      <c r="QL55" s="51"/>
      <c r="QM55" s="51"/>
      <c r="QN55" s="51"/>
      <c r="QO55" s="51"/>
      <c r="QP55" s="51"/>
      <c r="QQ55" s="51"/>
      <c r="QR55" s="51"/>
      <c r="QS55" s="51"/>
      <c r="QT55" s="51"/>
      <c r="QU55" s="51"/>
      <c r="QV55" s="51"/>
      <c r="QW55" s="51"/>
    </row>
    <row r="56" spans="1:474" ht="32.1" customHeight="1">
      <c r="A56" s="98"/>
      <c r="B56" s="79" t="str">
        <f>VLOOKUP(878,Sprachindex!$A:$Z,Info!$O$7,FALSE)</f>
        <v>Stk.</v>
      </c>
      <c r="C56" s="78"/>
      <c r="D56" s="78">
        <f>IF(Info!V7=2,'Velux DE Artikelnummern'!C33,Q56)</f>
        <v>0</v>
      </c>
      <c r="E56" s="561" t="str">
        <f>VLOOKUP(324,Sprachindex!$A:$Z,Info!$O$7,FALSE)</f>
        <v>Einfassung für Velux-Dachflächenfenster (stucco)</v>
      </c>
      <c r="F56" s="562"/>
      <c r="G56" s="562"/>
      <c r="H56" s="562"/>
      <c r="I56" s="84" t="str">
        <f>VLOOKUP(591,Sprachindex!$A:$Z,Info!$O$7,FALSE)</f>
        <v>Maße:</v>
      </c>
      <c r="J56" s="572"/>
      <c r="K56" s="574"/>
      <c r="L56" s="79" t="str">
        <f>IF($A56=0,"",IF($J56=Formeln!$A$30," ",IF($P$11=1,AC56,AD56)))</f>
        <v/>
      </c>
      <c r="M56" s="433" t="str">
        <f t="shared" si="1"/>
        <v>Stk.</v>
      </c>
      <c r="N56" s="80"/>
      <c r="O56" s="202" t="str">
        <f>IF(ISNUMBER(L56),IF(OR(J56=Formeln!A32,J56=Formeln!A33,J56=Formeln!A34),R56,IF(OR(J56=Formeln!A35,J56=Formeln!A36,J56=Formeln!A37),S56,IF(OR(J56=Formeln!A38,J56=Formeln!A39,J56=Formeln!A40),T56,IF(OR(J56=Formeln!A41,J56=Formeln!A42),U56,IF(OR(J56=Formeln!A43,J56=Formeln!A44,J56=Formeln!A45),V56,IF(OR(J56=Formeln!A46),W56,IF(OR(J56=Formeln!A47,J56=Formeln!A48),X56,IF(OR(J56=Formeln!A49),Y56,IF(OR(J56=Formeln!A50,J56=Formeln!A51),Z56,IF(OR(J56=Formeln!A52),AA56,0)))))))))), "")</f>
        <v/>
      </c>
      <c r="P56" s="5"/>
      <c r="Q56" s="1">
        <f>IF(J56=Formeln!$A$31,BB56,IF(J56=Formeln!$A$32,BW56,IF(J56=Formeln!$A$33,CR56,IF(J56=Formeln!$A$34,DM56,IF(J56=Formeln!$A$35,EH56,IF(J56=Formeln!$A$36,FC56,IF(J56=Formeln!$A$37,FX56,IF(J56=Formeln!$A$38,GS56,IF(J56=Formeln!$A$39,HN56,IF(J56=Formeln!$A$40,II56,IF(J56=Formeln!$A$41,JD56,IF(J56=Formeln!$A$42,JY56,IF(J56=Formeln!$A$43,KT56,IF(J56=Formeln!$A$44,LO56,IF(J56=Formeln!$A$45,MJ56,IF(J56=Formeln!$A$46,NE56,IF(J56=Formeln!$A$47,NZ56,IF(J56=Formeln!$A$48,OU56,IF(J56=Formeln!$A$49,PP56,IF(J56=Formeln!$A$50,QK56,IF(J56=Formeln!$A$51,RF56,0)))))))))))))))))))))</f>
        <v>0</v>
      </c>
      <c r="R56" s="200">
        <v>264.7</v>
      </c>
      <c r="S56" s="200">
        <v>271.8</v>
      </c>
      <c r="T56" s="200">
        <v>272.3</v>
      </c>
      <c r="U56" s="200">
        <v>285.8</v>
      </c>
      <c r="V56" s="200">
        <v>328.1</v>
      </c>
      <c r="W56" s="200">
        <v>335.1</v>
      </c>
      <c r="X56" s="200">
        <v>335.1</v>
      </c>
      <c r="Y56" s="200">
        <v>335.1</v>
      </c>
      <c r="Z56" s="200">
        <v>337.4</v>
      </c>
      <c r="AA56" s="200">
        <v>337.4</v>
      </c>
      <c r="AC56" s="149">
        <f t="shared" si="11"/>
        <v>0</v>
      </c>
      <c r="AD56" s="149">
        <f t="shared" si="11"/>
        <v>0</v>
      </c>
      <c r="AH56" s="44"/>
      <c r="AI56" s="48"/>
      <c r="AJ56" s="48"/>
      <c r="AK56" s="48"/>
      <c r="AL56" s="48"/>
      <c r="AM56" s="48"/>
      <c r="AN56" s="48"/>
      <c r="AO56" s="48"/>
      <c r="AP56" s="48"/>
      <c r="AR56" s="48">
        <v>111100</v>
      </c>
      <c r="AS56" s="48">
        <v>111101</v>
      </c>
      <c r="AT56" s="48">
        <v>111102</v>
      </c>
      <c r="AU56" s="48">
        <v>111103</v>
      </c>
      <c r="AV56" s="48">
        <v>111104</v>
      </c>
      <c r="AW56" s="48">
        <v>111105</v>
      </c>
      <c r="AX56" s="48">
        <v>111106</v>
      </c>
      <c r="AY56" s="48">
        <v>111107</v>
      </c>
      <c r="AZ56" s="48">
        <v>111108</v>
      </c>
      <c r="BA56" s="174">
        <v>111109</v>
      </c>
      <c r="BB56" s="50">
        <f>IF(AND($P$9=2,$P$21=1),AH56,IF(AND($P$9=2,$P$21=4),AI56,IF(AND($P$9=2,$P$21=5),AJ56,IF(AND($P$9=2,$P$21=11),AK56,IF(AND($P$9=2,$P$21=7),AL56,IF(AND($P$9=2,$P$21=3),AM56,IF(AND($P$9=2,$P$21=6),AN56,IF(AND($P$9=2,$P$21=9),AO56,IF(AND($P$9=2,$P$21=2),AP56,IF(AND($P$9=2,$P$21=8),AQ56,IF(AND($P$9=1,$P$21=1),AR56,IF(AND($P$9=1,$P$21=1),AR56,IF(AND($P$9=1,$P$21=4),AS56,IF(AND($P$9=1,$P$21=5),AT56,IF(AND($P$9=1,$P$21=11),AU56,IF(AND($P$9=1,$P$21=7),AV56,IF(AND($P$9=1,$P$21=3),AW56,IF(AND($P$9=1,$P$21=6),AX56,IF(AND($P$9=1,$P$21=9),AY56,IF(AND($P$9=1,$P$21=2),AZ56,IF(AND($P$9=1,$P$21=8),BA56,0)))))))))))))))))))))</f>
        <v>0</v>
      </c>
      <c r="BC56" s="49"/>
      <c r="BD56" s="48"/>
      <c r="BE56" s="48"/>
      <c r="BF56" s="48"/>
      <c r="BG56" s="48"/>
      <c r="BH56" s="48"/>
      <c r="BI56" s="48"/>
      <c r="BJ56" s="48"/>
      <c r="BK56" s="48"/>
      <c r="BM56" s="48">
        <v>111100</v>
      </c>
      <c r="BN56" s="48">
        <v>111101</v>
      </c>
      <c r="BO56" s="48">
        <v>111102</v>
      </c>
      <c r="BP56" s="48">
        <v>111103</v>
      </c>
      <c r="BQ56" s="48">
        <v>111104</v>
      </c>
      <c r="BR56" s="48">
        <v>111105</v>
      </c>
      <c r="BS56" s="48">
        <v>111106</v>
      </c>
      <c r="BT56" s="48">
        <v>111107</v>
      </c>
      <c r="BU56" s="48">
        <v>111108</v>
      </c>
      <c r="BV56" s="174">
        <v>111109</v>
      </c>
      <c r="BW56" s="50">
        <f>IF(AND($P$9=2,$P$21=1),BC56,IF(AND($P$9=2,$P$21=4),BD56,IF(AND($P$9=2,$P$21=5),BE56,IF(AND($P$9=2,$P$21=11),BF56,IF(AND($P$9=2,$P$21=7),BG56,IF(AND($P$9=2,$P$21=3),BH56,IF(AND($P$9=2,$P$21=6),BI56,IF(AND($P$9=2,$P$21=9),BJ56,IF(AND($P$9=2,$P$21=2),BK56,IF(AND($P$9=2,$P$21=8),BL56,IF(AND($P$9=1,$P$21=1),BM56,IF(AND($P$9=1,$P$21=1),BM56,IF(AND($P$9=1,$P$21=4),BN56,IF(AND($P$9=1,$P$21=5),BO56,IF(AND($P$9=1,$P$21=11),BP56,IF(AND($P$9=1,$P$21=7),BQ56,IF(AND($P$9=1,$P$21=3),BR56,IF(AND($P$9=1,$P$21=6),BS56,IF(AND($P$9=1,$P$21=9),BT56,IF(AND($P$9=1,$P$21=2),BU56,IF(AND($P$9=1,$P$21=8),BV56,0)))))))))))))))))))))</f>
        <v>0</v>
      </c>
      <c r="BX56" s="49"/>
      <c r="BY56" s="48"/>
      <c r="BZ56" s="48"/>
      <c r="CA56" s="48"/>
      <c r="CB56" s="48"/>
      <c r="CC56" s="48"/>
      <c r="CD56" s="48"/>
      <c r="CE56" s="48"/>
      <c r="CF56" s="48"/>
      <c r="CH56" s="48">
        <v>111100</v>
      </c>
      <c r="CI56" s="48">
        <v>111101</v>
      </c>
      <c r="CJ56" s="48">
        <v>111102</v>
      </c>
      <c r="CK56" s="48">
        <v>111103</v>
      </c>
      <c r="CL56" s="48">
        <v>111104</v>
      </c>
      <c r="CM56" s="48">
        <v>111105</v>
      </c>
      <c r="CN56" s="48">
        <v>111106</v>
      </c>
      <c r="CO56" s="48">
        <v>111107</v>
      </c>
      <c r="CP56" s="48">
        <v>111108</v>
      </c>
      <c r="CQ56" s="174">
        <v>111109</v>
      </c>
      <c r="CR56" s="50">
        <f>IF(AND($P$9=2,$P$21=1),BX56,IF(AND($P$9=2,$P$21=4),BY56,IF(AND($P$9=2,$P$21=5),BZ56,IF(AND($P$9=2,$P$21=11),CA56,IF(AND($P$9=2,$P$21=7),CB56,IF(AND($P$9=2,$P$21=3),CC56,IF(AND($P$9=2,$P$21=6),CD56,IF(AND($P$9=2,$P$21=9),CE56,IF(AND($P$9=2,$P$21=2),CF56,IF(AND($P$9=2,$P$21=8),CG56,IF(AND($P$9=1,$P$21=1),CH56,IF(AND($P$9=1,$P$21=1),CH56,IF(AND($P$9=1,$P$21=4),CI56,IF(AND($P$9=1,$P$21=5),CJ56,IF(AND($P$9=1,$P$21=11),CK56,IF(AND($P$9=1,$P$21=7),CL56,IF(AND($P$9=1,$P$21=3),CM56,IF(AND($P$9=1,$P$21=6),CN56,IF(AND($P$9=1,$P$21=9),CO56,IF(AND($P$9=1,$P$21=2),CP56,IF(AND($P$9=1,$P$21=8),CQ56,0)))))))))))))))))))))</f>
        <v>0</v>
      </c>
      <c r="CS56" s="49"/>
      <c r="CT56" s="44"/>
      <c r="CU56" s="44"/>
      <c r="CV56" s="44"/>
      <c r="CW56" s="44"/>
      <c r="CX56" s="44"/>
      <c r="CY56" s="44"/>
      <c r="CZ56" s="44"/>
      <c r="DA56" s="44"/>
      <c r="DC56" s="44">
        <v>111120</v>
      </c>
      <c r="DD56" s="44">
        <v>111121</v>
      </c>
      <c r="DE56" s="44">
        <v>111122</v>
      </c>
      <c r="DF56" s="44">
        <v>111123</v>
      </c>
      <c r="DG56" s="44">
        <v>111124</v>
      </c>
      <c r="DH56" s="44">
        <v>111125</v>
      </c>
      <c r="DI56" s="44">
        <v>111126</v>
      </c>
      <c r="DJ56" s="44">
        <v>111127</v>
      </c>
      <c r="DK56" s="44">
        <v>111128</v>
      </c>
      <c r="DL56" s="174">
        <v>111129</v>
      </c>
      <c r="DM56" s="50">
        <f>IF(AND($P$9=2,$P$21=1),CS56,IF(AND($P$9=2,$P$21=4),CT56,IF(AND($P$9=2,$P$21=5),CU56,IF(AND($P$9=2,$P$21=11),CV56,IF(AND($P$9=2,$P$21=7),CW56,IF(AND($P$9=2,$P$21=3),CX56,IF(AND($P$9=2,$P$21=6),CY56,IF(AND($P$9=2,$P$21=9),CZ56,IF(AND($P$9=2,$P$21=2),DA56,IF(AND($P$9=2,$P$21=8),DB56,IF(AND($P$9=1,$P$21=1),DC56,IF(AND($P$9=1,$P$21=1),DC56,IF(AND($P$9=1,$P$21=4),DD56,IF(AND($P$9=1,$P$21=5),DE56,IF(AND($P$9=1,$P$21=11),DF56,IF(AND($P$9=1,$P$21=7),DG56,IF(AND($P$9=1,$P$21=3),DH56,IF(AND($P$9=1,$P$21=6),DI56,IF(AND($P$9=1,$P$21=9),DJ56,IF(AND($P$9=1,$P$21=2),DK56,IF(AND($P$9=1,$P$21=8),DL56,0)))))))))))))))))))))</f>
        <v>0</v>
      </c>
      <c r="DN56" s="49"/>
      <c r="DO56" s="44"/>
      <c r="DP56" s="44"/>
      <c r="DQ56" s="44"/>
      <c r="DR56" s="44"/>
      <c r="DS56" s="44"/>
      <c r="DT56" s="44"/>
      <c r="DU56" s="44"/>
      <c r="DV56" s="44"/>
      <c r="DX56" s="44">
        <v>111120</v>
      </c>
      <c r="DY56" s="44">
        <v>111121</v>
      </c>
      <c r="DZ56" s="44">
        <v>111122</v>
      </c>
      <c r="EA56" s="44">
        <v>111123</v>
      </c>
      <c r="EB56" s="44">
        <v>111124</v>
      </c>
      <c r="EC56" s="44">
        <v>111125</v>
      </c>
      <c r="ED56" s="44">
        <v>111126</v>
      </c>
      <c r="EE56" s="44">
        <v>111127</v>
      </c>
      <c r="EF56" s="44">
        <v>111128</v>
      </c>
      <c r="EG56" s="174">
        <v>111129</v>
      </c>
      <c r="EH56" s="50">
        <f>IF(AND($P$9=2,$P$21=1),DN56,IF(AND($P$9=2,$P$21=4),DO56,IF(AND($P$9=2,$P$21=5),DP56,IF(AND($P$9=2,$P$21=11),DQ56,IF(AND($P$9=2,$P$21=7),DR56,IF(AND($P$9=2,$P$21=3),DS56,IF(AND($P$9=2,$P$21=6),DT56,IF(AND($P$9=2,$P$21=9),DU56,IF(AND($P$9=2,$P$21=2),DV56,IF(AND($P$9=2,$P$21=8),DW56,IF(AND($P$9=1,$P$21=1),DX56,IF(AND($P$9=1,$P$21=1),DX56,IF(AND($P$9=1,$P$21=4),DY56,IF(AND($P$9=1,$P$21=5),DZ56,IF(AND($P$9=1,$P$21=11),EA56,IF(AND($P$9=1,$P$21=7),EB56,IF(AND($P$9=1,$P$21=3),EC56,IF(AND($P$9=1,$P$21=6),ED56,IF(AND($P$9=1,$P$21=9),EE56,IF(AND($P$9=1,$P$21=2),EF56,IF(AND($P$9=1,$P$21=8),EG56,0)))))))))))))))))))))</f>
        <v>0</v>
      </c>
      <c r="EI56" s="49"/>
      <c r="EJ56" s="44"/>
      <c r="EK56" s="44"/>
      <c r="EL56" s="44"/>
      <c r="EM56" s="44"/>
      <c r="EN56" s="44"/>
      <c r="EO56" s="44"/>
      <c r="EP56" s="44"/>
      <c r="EQ56" s="44"/>
      <c r="ES56" s="44">
        <v>111120</v>
      </c>
      <c r="ET56" s="44">
        <v>111121</v>
      </c>
      <c r="EU56" s="44">
        <v>111122</v>
      </c>
      <c r="EV56" s="44">
        <v>111123</v>
      </c>
      <c r="EW56" s="44">
        <v>111124</v>
      </c>
      <c r="EX56" s="44">
        <v>111125</v>
      </c>
      <c r="EY56" s="44">
        <v>111126</v>
      </c>
      <c r="EZ56" s="44">
        <v>111127</v>
      </c>
      <c r="FA56" s="44">
        <v>111128</v>
      </c>
      <c r="FB56" s="174">
        <v>111129</v>
      </c>
      <c r="FC56" s="50">
        <f>IF(AND($P$9=2,$P$21=1),EI56,IF(AND($P$9=2,$P$21=4),EJ56,IF(AND($P$9=2,$P$21=5),EK56,IF(AND($P$9=2,$P$21=11),EL56,IF(AND($P$9=2,$P$21=7),EM56,IF(AND($P$9=2,$P$21=3),EN56,IF(AND($P$9=2,$P$21=6),EO56,IF(AND($P$9=2,$P$21=9),EP56,IF(AND($P$9=2,$P$21=2),EQ56,IF(AND($P$9=2,$P$21=8),ER56,IF(AND($P$9=1,$P$21=1),ES56,IF(AND($P$9=1,$P$21=1),ES56,IF(AND($P$9=1,$P$21=4),ET56,IF(AND($P$9=1,$P$21=5),EU56,IF(AND($P$9=1,$P$21=11),EV56,IF(AND($P$9=1,$P$21=7),EW56,IF(AND($P$9=1,$P$21=3),EX56,IF(AND($P$9=1,$P$21=6),EY56,IF(AND($P$9=1,$P$21=9),EZ56,IF(AND($P$9=1,$P$21=2),FA56,IF(AND($P$9=1,$P$21=8),FB56,0)))))))))))))))))))))</f>
        <v>0</v>
      </c>
      <c r="FD56" s="49">
        <v>111170</v>
      </c>
      <c r="FE56" s="44"/>
      <c r="FF56" s="44"/>
      <c r="FG56" s="44"/>
      <c r="FH56" s="44"/>
      <c r="FI56" s="44"/>
      <c r="FJ56" s="44"/>
      <c r="FK56" s="44"/>
      <c r="FL56" s="44"/>
      <c r="FN56" s="44">
        <v>111160</v>
      </c>
      <c r="FO56" s="44">
        <v>111161</v>
      </c>
      <c r="FP56" s="44">
        <v>111162</v>
      </c>
      <c r="FQ56" s="44">
        <v>111163</v>
      </c>
      <c r="FR56" s="44">
        <v>111164</v>
      </c>
      <c r="FS56" s="44">
        <v>111165</v>
      </c>
      <c r="FT56" s="44">
        <v>111166</v>
      </c>
      <c r="FU56" s="44">
        <v>111167</v>
      </c>
      <c r="FV56" s="44">
        <v>111168</v>
      </c>
      <c r="FW56" s="174">
        <v>111169</v>
      </c>
      <c r="FX56" s="50">
        <f>IF(AND($P$9=2,$P$21=1),FD56,IF(AND($P$9=2,$P$21=4),FE56,IF(AND($P$9=2,$P$21=5),FF56,IF(AND($P$9=2,$P$21=11),FG56,IF(AND($P$9=2,$P$21=7),FH56,IF(AND($P$9=2,$P$21=3),FI56,IF(AND($P$9=2,$P$21=6),FJ56,IF(AND($P$9=2,$P$21=9),FK56,IF(AND($P$9=2,$P$21=2),FL56,IF(AND($P$9=2,$P$21=8),FM56,IF(AND($P$9=1,$P$21=1),FN56,IF(AND($P$9=1,$P$21=1),FN56,IF(AND($P$9=1,$P$21=4),FO56,IF(AND($P$9=1,$P$21=5),FP56,IF(AND($P$9=1,$P$21=11),FQ56,IF(AND($P$9=1,$P$21=7),FR56,IF(AND($P$9=1,$P$21=3),FS56,IF(AND($P$9=1,$P$21=6),FT56,IF(AND($P$9=1,$P$21=9),FU56,IF(AND($P$9=1,$P$21=2),FV56,IF(AND($P$9=1,$P$21=8),FW56,0)))))))))))))))))))))</f>
        <v>0</v>
      </c>
      <c r="FY56" s="49"/>
      <c r="FZ56" s="44"/>
      <c r="GA56" s="44"/>
      <c r="GB56" s="44"/>
      <c r="GC56" s="44"/>
      <c r="GD56" s="44"/>
      <c r="GE56" s="44"/>
      <c r="GF56" s="44"/>
      <c r="GG56" s="44"/>
      <c r="GI56" s="44">
        <v>111160</v>
      </c>
      <c r="GJ56" s="44">
        <v>111161</v>
      </c>
      <c r="GK56" s="44">
        <v>111162</v>
      </c>
      <c r="GL56" s="44">
        <v>111163</v>
      </c>
      <c r="GM56" s="44">
        <v>111164</v>
      </c>
      <c r="GN56" s="44">
        <v>111165</v>
      </c>
      <c r="GO56" s="44">
        <v>111166</v>
      </c>
      <c r="GP56" s="44">
        <v>111167</v>
      </c>
      <c r="GQ56" s="44">
        <v>111168</v>
      </c>
      <c r="GR56" s="174">
        <v>111169</v>
      </c>
      <c r="GS56" s="50">
        <f>IF(AND($P$9=2,$P$21=1),FY56,IF(AND($P$9=2,$P$21=4),FZ56,IF(AND($P$9=2,$P$21=5),GA56,IF(AND($P$9=2,$P$21=11),GB56,IF(AND($P$9=2,$P$21=7),GC56,IF(AND($P$9=2,$P$21=3),GD56,IF(AND($P$9=2,$P$21=6),GE56,IF(AND($P$9=2,$P$21=9),GF56,IF(AND($P$9=2,$P$21=2),GG56,IF(AND($P$9=2,$P$21=8),GH56,IF(AND($P$9=1,$P$21=1),GI56,IF(AND($P$9=1,$P$21=1),GI56,IF(AND($P$9=1,$P$21=4),GJ56,IF(AND($P$9=1,$P$21=5),GK56,IF(AND($P$9=1,$P$21=11),GL56,IF(AND($P$9=1,$P$21=7),GM56,IF(AND($P$9=1,$P$21=3),GN56,IF(AND($P$9=1,$P$21=6),GO56,IF(AND($P$9=1,$P$21=9),GP56,IF(AND($P$9=1,$P$21=2),GQ56,IF(AND($P$9=1,$P$21=8),GR56,0)))))))))))))))))))))</f>
        <v>0</v>
      </c>
      <c r="GT56" s="49"/>
      <c r="GU56" s="44"/>
      <c r="GV56" s="44"/>
      <c r="GW56" s="44"/>
      <c r="GX56" s="44"/>
      <c r="GY56" s="44"/>
      <c r="GZ56" s="44"/>
      <c r="HA56" s="44"/>
      <c r="HB56" s="44"/>
      <c r="HD56" s="44">
        <v>111160</v>
      </c>
      <c r="HE56" s="44">
        <v>111161</v>
      </c>
      <c r="HF56" s="44">
        <v>111162</v>
      </c>
      <c r="HG56" s="44">
        <v>111163</v>
      </c>
      <c r="HH56" s="44">
        <v>111164</v>
      </c>
      <c r="HI56" s="44">
        <v>111165</v>
      </c>
      <c r="HJ56" s="44">
        <v>111166</v>
      </c>
      <c r="HK56" s="44">
        <v>111167</v>
      </c>
      <c r="HL56" s="44">
        <v>111168</v>
      </c>
      <c r="HM56" s="175">
        <v>111169</v>
      </c>
      <c r="HN56" s="50">
        <f>IF(AND($P$9=2,$P$21=1),GT56,IF(AND($P$9=2,$P$21=4),GU56,IF(AND($P$9=2,$P$21=5),GV56,IF(AND($P$9=2,$P$21=11),GW56,IF(AND($P$9=2,$P$21=7),GX56,IF(AND($P$9=2,$P$21=3),GY56,IF(AND($P$9=2,$P$21=6),GZ56,IF(AND($P$9=2,$P$21=9),HA56,IF(AND($P$9=2,$P$21=2),HB56,IF(AND($P$9=2,$P$21=8),HC56,IF(AND($P$9=1,$P$21=1),HD56,IF(AND($P$9=1,$P$21=1),HD56,IF(AND($P$9=1,$P$21=4),HE56,IF(AND($P$9=1,$P$21=5),HF56,IF(AND($P$9=1,$P$21=11),HG56,IF(AND($P$9=1,$P$21=7),HH56,IF(AND($P$9=1,$P$21=3),HI56,IF(AND($P$9=1,$P$21=6),HJ56,IF(AND($P$9=1,$P$21=9),HK56,IF(AND($P$9=1,$P$21=2),HL56,IF(AND($P$9=1,$P$21=8),HM56,0)))))))))))))))))))))</f>
        <v>0</v>
      </c>
      <c r="HO56" s="49"/>
      <c r="HP56" s="44"/>
      <c r="HQ56" s="44"/>
      <c r="HR56" s="44"/>
      <c r="HS56" s="44"/>
      <c r="HT56" s="44"/>
      <c r="HU56" s="44"/>
      <c r="HV56" s="44"/>
      <c r="HW56" s="44"/>
      <c r="HY56" s="44">
        <v>111280</v>
      </c>
      <c r="HZ56" s="44">
        <v>111281</v>
      </c>
      <c r="IA56" s="44">
        <v>111282</v>
      </c>
      <c r="IB56" s="44">
        <v>111283</v>
      </c>
      <c r="IC56" s="44">
        <v>111284</v>
      </c>
      <c r="ID56" s="44">
        <v>111285</v>
      </c>
      <c r="IE56" s="44">
        <v>111286</v>
      </c>
      <c r="IF56" s="44">
        <v>111287</v>
      </c>
      <c r="IG56" s="44">
        <v>111288</v>
      </c>
      <c r="IH56" s="175">
        <v>111289</v>
      </c>
      <c r="II56" s="50">
        <f>IF(AND($P$9=2,$P$21=1),HO56,IF(AND($P$9=2,$P$21=4),HP56,IF(AND($P$9=2,$P$21=5),HQ56,IF(AND($P$9=2,$P$21=11),HR56,IF(AND($P$9=2,$P$21=7),HS56,IF(AND($P$9=2,$P$21=3),HT56,IF(AND($P$9=2,$P$21=6),HU56,IF(AND($P$9=2,$P$21=9),HV56,IF(AND($P$9=2,$P$21=2),HW56,IF(AND($P$9=2,$P$21=8),HX56,IF(AND($P$9=1,$P$21=1),HY56,IF(AND($P$9=1,$P$21=1),HY56,IF(AND($P$9=1,$P$21=4),HZ56,IF(AND($P$9=1,$P$21=5),IA56,IF(AND($P$9=1,$P$21=11),IB56,IF(AND($P$9=1,$P$21=7),IC56,IF(AND($P$9=1,$P$21=3),ID56,IF(AND($P$9=1,$P$21=6),IE56,IF(AND($P$9=1,$P$21=9),IF56,IF(AND($P$9=1,$P$21=2),IG56,IF(AND($P$9=1,$P$21=8),IH56,0)))))))))))))))))))))</f>
        <v>0</v>
      </c>
      <c r="IJ56" s="49"/>
      <c r="IK56" s="44"/>
      <c r="IL56" s="44"/>
      <c r="IM56" s="44"/>
      <c r="IN56" s="44"/>
      <c r="IO56" s="44"/>
      <c r="IP56" s="44"/>
      <c r="IQ56" s="44"/>
      <c r="IR56" s="44"/>
      <c r="IT56" s="44">
        <v>111280</v>
      </c>
      <c r="IU56" s="44">
        <v>111281</v>
      </c>
      <c r="IV56" s="44">
        <v>111282</v>
      </c>
      <c r="IW56" s="44">
        <v>111283</v>
      </c>
      <c r="IX56" s="44">
        <v>111284</v>
      </c>
      <c r="IY56" s="44">
        <v>111285</v>
      </c>
      <c r="IZ56" s="44">
        <v>111286</v>
      </c>
      <c r="JA56" s="44">
        <v>111287</v>
      </c>
      <c r="JB56" s="44">
        <v>111288</v>
      </c>
      <c r="JC56" s="175">
        <v>111289</v>
      </c>
      <c r="JD56" s="50">
        <f>IF(AND($P$9=2,$P$21=1),IJ56,IF(AND($P$9=2,$P$21=4),IK56,IF(AND($P$9=2,$P$21=5),IL56,IF(AND($P$9=2,$P$21=11),IM56,IF(AND($P$9=2,$P$21=7),IN56,IF(AND($P$9=2,$P$21=3),IO56,IF(AND($P$9=2,$P$21=6),IP56,IF(AND($P$9=2,$P$21=9),IQ56,IF(AND($P$9=2,$P$21=2),IR56,IF(AND($P$9=2,$P$21=8),IS56,IF(AND($P$9=1,$P$21=1),IT56,IF(AND($P$9=1,$P$21=1),IT56,IF(AND($P$9=1,$P$21=4),IU56,IF(AND($P$9=1,$P$21=5),IV56,IF(AND($P$9=1,$P$21=11),IW56,IF(AND($P$9=1,$P$21=7),IX56,IF(AND($P$9=1,$P$21=3),IY56,IF(AND($P$9=1,$P$21=6),IZ56,IF(AND($P$9=1,$P$21=9),JA56,IF(AND($P$9=1,$P$21=2),JB56,IF(AND($P$9=1,$P$21=8),JC56,0)))))))))))))))))))))</f>
        <v>0</v>
      </c>
      <c r="JE56" s="49"/>
      <c r="JF56" s="44"/>
      <c r="JG56" s="44"/>
      <c r="JH56" s="44"/>
      <c r="JI56" s="44"/>
      <c r="JJ56" s="44"/>
      <c r="JK56" s="44"/>
      <c r="JL56" s="44"/>
      <c r="JM56" s="44"/>
      <c r="JO56" s="44">
        <v>111180</v>
      </c>
      <c r="JP56" s="44">
        <v>111181</v>
      </c>
      <c r="JQ56" s="44">
        <v>111182</v>
      </c>
      <c r="JR56" s="44">
        <v>111183</v>
      </c>
      <c r="JS56" s="44">
        <v>111184</v>
      </c>
      <c r="JT56" s="44">
        <v>111185</v>
      </c>
      <c r="JU56" s="44">
        <v>111186</v>
      </c>
      <c r="JV56" s="44">
        <v>111187</v>
      </c>
      <c r="JW56" s="44">
        <v>111188</v>
      </c>
      <c r="JX56" s="175">
        <v>111189</v>
      </c>
      <c r="JY56" s="50">
        <f>IF(AND($P$9=2,$P$21=1),JE56,IF(AND($P$9=2,$P$21=4),JF56,IF(AND($P$9=2,$P$21=5),JG56,IF(AND($P$9=2,$P$21=11),JH56,IF(AND($P$9=2,$P$21=7),JI56,IF(AND($P$9=2,$P$21=3),JJ56,IF(AND($P$9=2,$P$21=6),JK56,IF(AND($P$9=2,$P$21=9),JL56,IF(AND($P$9=2,$P$21=2),JM56,IF(AND($P$9=2,$P$21=8),JN56,IF(AND($P$9=1,$P$21=1),JO56,IF(AND($P$9=1,$P$21=1),JO56,IF(AND($P$9=1,$P$21=4),JP56,IF(AND($P$9=1,$P$21=5),JQ56,IF(AND($P$9=1,$P$21=11),JR56,IF(AND($P$9=1,$P$21=7),JS56,IF(AND($P$9=1,$P$21=3),JT56,IF(AND($P$9=1,$P$21=6),JU56,IF(AND($P$9=1,$P$21=9),JV56,IF(AND($P$9=1,$P$21=2),JW56,IF(AND($P$9=1,$P$21=8),JX56,0)))))))))))))))))))))</f>
        <v>0</v>
      </c>
      <c r="JZ56" s="49"/>
      <c r="KA56" s="44"/>
      <c r="KB56" s="44"/>
      <c r="KC56" s="44"/>
      <c r="KD56" s="44"/>
      <c r="KE56" s="44"/>
      <c r="KF56" s="44"/>
      <c r="KG56" s="44"/>
      <c r="KH56" s="44"/>
      <c r="KJ56" s="44">
        <v>111180</v>
      </c>
      <c r="KK56" s="44">
        <v>111181</v>
      </c>
      <c r="KL56" s="44">
        <v>111182</v>
      </c>
      <c r="KM56" s="44">
        <v>111183</v>
      </c>
      <c r="KN56" s="44">
        <v>111184</v>
      </c>
      <c r="KO56" s="44">
        <v>111185</v>
      </c>
      <c r="KP56" s="44">
        <v>111186</v>
      </c>
      <c r="KQ56" s="44">
        <v>111187</v>
      </c>
      <c r="KR56" s="44">
        <v>111188</v>
      </c>
      <c r="KS56" s="175">
        <v>111189</v>
      </c>
      <c r="KT56" s="50">
        <f>IF(AND($P$9=2,$P$21=1),JZ56,IF(AND($P$9=2,$P$21=4),KA56,IF(AND($P$9=2,$P$21=5),KB56,IF(AND($P$9=2,$P$21=11),KC56,IF(AND($P$9=2,$P$21=7),KD56,IF(AND($P$9=2,$P$21=3),KE56,IF(AND($P$9=2,$P$21=6),KF56,IF(AND($P$9=2,$P$21=9),KG56,IF(AND($P$9=2,$P$21=2),KH56,IF(AND($P$9=2,$P$21=8),KI56,IF(AND($P$9=1,$P$21=1),KJ56,IF(AND($P$9=1,$P$21=1),KJ56,IF(AND($P$9=1,$P$21=4),KK56,IF(AND($P$9=1,$P$21=5),KL56,IF(AND($P$9=1,$P$21=11),KM56,IF(AND($P$9=1,$P$21=7),KN56,IF(AND($P$9=1,$P$21=3),KO56,IF(AND($P$9=1,$P$21=6),KP56,IF(AND($P$9=1,$P$21=9),KQ56,IF(AND($P$9=1,$P$21=2),KR56,IF(AND($P$9=1,$P$21=8),KS56,0)))))))))))))))))))))</f>
        <v>0</v>
      </c>
      <c r="KU56" s="49"/>
      <c r="KV56" s="44"/>
      <c r="KW56" s="44"/>
      <c r="KX56" s="44"/>
      <c r="KY56" s="44"/>
      <c r="KZ56" s="44"/>
      <c r="LA56" s="44"/>
      <c r="LB56" s="44"/>
      <c r="LC56" s="44"/>
      <c r="LE56" s="44">
        <v>111180</v>
      </c>
      <c r="LF56" s="44">
        <v>111181</v>
      </c>
      <c r="LG56" s="44">
        <v>111182</v>
      </c>
      <c r="LH56" s="44">
        <v>111183</v>
      </c>
      <c r="LI56" s="44">
        <v>111184</v>
      </c>
      <c r="LJ56" s="44">
        <v>111185</v>
      </c>
      <c r="LK56" s="44">
        <v>111186</v>
      </c>
      <c r="LL56" s="44">
        <v>111187</v>
      </c>
      <c r="LM56" s="44">
        <v>111188</v>
      </c>
      <c r="LN56" s="175">
        <v>111189</v>
      </c>
      <c r="LO56" s="50">
        <f>IF(AND($P$9=2,$P$21=1),KU56,IF(AND($P$9=2,$P$21=4),KV56,IF(AND($P$9=2,$P$21=5),KW56,IF(AND($P$9=2,$P$21=11),KX56,IF(AND($P$9=2,$P$21=7),KY56,IF(AND($P$9=2,$P$21=3),KZ56,IF(AND($P$9=2,$P$21=6),LA56,IF(AND($P$9=2,$P$21=9),LB56,IF(AND($P$9=2,$P$21=2),LC56,IF(AND($P$9=2,$P$21=8),LD56,IF(AND($P$9=1,$P$21=1),LE56,IF(AND($P$9=1,$P$21=1),LE56,IF(AND($P$9=1,$P$21=4),LF56,IF(AND($P$9=1,$P$21=5),LG56,IF(AND($P$9=1,$P$21=11),LH56,IF(AND($P$9=1,$P$21=7),LI56,IF(AND($P$9=1,$P$21=3),LJ56,IF(AND($P$9=1,$P$21=6),LK56,IF(AND($P$9=1,$P$21=9),LL56,IF(AND($P$9=1,$P$21=2),LM56,IF(AND($P$9=1,$P$21=8),LN56,0)))))))))))))))))))))</f>
        <v>0</v>
      </c>
      <c r="LP56" s="49"/>
      <c r="LQ56" s="44"/>
      <c r="LR56" s="44"/>
      <c r="LS56" s="44"/>
      <c r="LT56" s="44"/>
      <c r="LU56" s="44"/>
      <c r="LV56" s="44"/>
      <c r="LW56" s="44"/>
      <c r="LX56" s="44"/>
      <c r="LZ56" s="44">
        <v>111200</v>
      </c>
      <c r="MA56" s="44">
        <v>111201</v>
      </c>
      <c r="MB56" s="44">
        <v>111202</v>
      </c>
      <c r="MC56" s="44">
        <v>111203</v>
      </c>
      <c r="MD56" s="44">
        <v>111204</v>
      </c>
      <c r="ME56" s="44">
        <v>111205</v>
      </c>
      <c r="MF56" s="44">
        <v>111206</v>
      </c>
      <c r="MG56" s="44">
        <v>111207</v>
      </c>
      <c r="MH56" s="44">
        <v>111208</v>
      </c>
      <c r="MI56" s="175">
        <v>111209</v>
      </c>
      <c r="MJ56" s="50">
        <f>IF(AND($P$9=2,$P$21=1),LP56,IF(AND($P$9=2,$P$21=4),LQ56,IF(AND($P$9=2,$P$21=5),LR56,IF(AND($P$9=2,$P$21=11),LS56,IF(AND($P$9=2,$P$21=7),LT56,IF(AND($P$9=2,$P$21=3),LU56,IF(AND($P$9=2,$P$21=6),LV56,IF(AND($P$9=2,$P$21=9),LW56,IF(AND($P$9=2,$P$21=2),LX56,IF(AND($P$9=2,$P$21=8),LY56,IF(AND($P$9=1,$P$21=1),LZ56,IF(AND($P$9=1,$P$21=1),LZ56,IF(AND($P$9=1,$P$21=4),MA56,IF(AND($P$9=1,$P$21=5),MB56,IF(AND($P$9=1,$P$21=11),MC56,IF(AND($P$9=1,$P$21=7),MD56,IF(AND($P$9=1,$P$21=3),ME56,IF(AND($P$9=1,$P$21=6),MF56,IF(AND($P$9=1,$P$21=9),MG56,IF(AND($P$9=1,$P$21=2),MH56,IF(AND($P$9=1,$P$21=8),MI56,0)))))))))))))))))))))</f>
        <v>0</v>
      </c>
      <c r="MK56" s="49"/>
      <c r="ML56" s="44"/>
      <c r="MM56" s="44"/>
      <c r="MN56" s="44"/>
      <c r="MO56" s="44"/>
      <c r="MP56" s="44"/>
      <c r="MQ56" s="44"/>
      <c r="MR56" s="44"/>
      <c r="MS56" s="44"/>
      <c r="MU56" s="44">
        <v>111220</v>
      </c>
      <c r="MV56" s="44">
        <v>111221</v>
      </c>
      <c r="MW56" s="44">
        <v>111222</v>
      </c>
      <c r="MX56" s="44">
        <v>111223</v>
      </c>
      <c r="MY56" s="44">
        <v>111224</v>
      </c>
      <c r="MZ56" s="44">
        <v>111225</v>
      </c>
      <c r="NA56" s="44">
        <v>111226</v>
      </c>
      <c r="NB56" s="44">
        <v>111227</v>
      </c>
      <c r="NC56" s="44">
        <v>111228</v>
      </c>
      <c r="ND56" s="175">
        <v>111229</v>
      </c>
      <c r="NE56" s="50">
        <f>IF(AND($P$9=2,$P$21=1),MK56,IF(AND($P$9=2,$P$21=4),ML56,IF(AND($P$9=2,$P$21=5),MM56,IF(AND($P$9=2,$P$21=11),MN56,IF(AND($P$9=2,$P$21=7),MO56,IF(AND($P$9=2,$P$21=3),MP56,IF(AND($P$9=2,$P$21=6),MQ56,IF(AND($P$9=2,$P$21=9),MR56,IF(AND($P$9=2,$P$21=2),MS56,IF(AND($P$9=2,$P$21=8),MT56,IF(AND($P$9=1,$P$21=1),MU56,IF(AND($P$9=1,$P$21=1),MU56,IF(AND($P$9=1,$P$21=4),MV56,IF(AND($P$9=1,$P$21=5),MW56,IF(AND($P$9=1,$P$21=11),MX56,IF(AND($P$9=1,$P$21=7),MY56,IF(AND($P$9=1,$P$21=3),MZ56,IF(AND($P$9=1,$P$21=6),NA56,IF(AND($P$9=1,$P$21=9),NB56,IF(AND($P$9=1,$P$21=2),NC56,IF(AND($P$9=1,$P$21=8),ND56,0)))))))))))))))))))))</f>
        <v>0</v>
      </c>
      <c r="NF56" s="49"/>
      <c r="NG56" s="44"/>
      <c r="NH56" s="44"/>
      <c r="NI56" s="44"/>
      <c r="NJ56" s="44"/>
      <c r="NK56" s="44"/>
      <c r="NL56" s="44"/>
      <c r="NM56" s="44"/>
      <c r="NN56" s="44"/>
      <c r="NP56" s="44">
        <v>111220</v>
      </c>
      <c r="NQ56" s="44">
        <v>111221</v>
      </c>
      <c r="NR56" s="44">
        <v>111222</v>
      </c>
      <c r="NS56" s="44">
        <v>111223</v>
      </c>
      <c r="NT56" s="44">
        <v>111224</v>
      </c>
      <c r="NU56" s="44">
        <v>111225</v>
      </c>
      <c r="NV56" s="44">
        <v>111226</v>
      </c>
      <c r="NW56" s="44">
        <v>111227</v>
      </c>
      <c r="NX56" s="44">
        <v>111228</v>
      </c>
      <c r="NY56" s="175">
        <v>111229</v>
      </c>
      <c r="NZ56" s="50">
        <f>IF(AND($P$9=2,$P$21=1),NF56,IF(AND($P$9=2,$P$21=4),NG56,IF(AND($P$9=2,$P$21=5),NH56,IF(AND($P$9=2,$P$21=11),NI56,IF(AND($P$9=2,$P$21=7),NJ56,IF(AND($P$9=2,$P$21=3),NK56,IF(AND($P$9=2,$P$21=6),NL56,IF(AND($P$9=2,$P$21=9),NM56,IF(AND($P$9=2,$P$21=2),NN56,IF(AND($P$9=2,$P$21=8),NO56,IF(AND($P$9=1,$P$21=1),NP56,IF(AND($P$9=1,$P$21=1),NP56,IF(AND($P$9=1,$P$21=4),NQ56,IF(AND($P$9=1,$P$21=5),NR56,IF(AND($P$9=1,$P$21=11),NS56,IF(AND($P$9=1,$P$21=7),NT56,IF(AND($P$9=1,$P$21=3),NU56,IF(AND($P$9=1,$P$21=6),NV56,IF(AND($P$9=1,$P$21=9),NW56,IF(AND($P$9=1,$P$21=2),NX56,IF(AND($P$9=1,$P$21=8),NY56,0)))))))))))))))))))))</f>
        <v>0</v>
      </c>
      <c r="OA56" s="49"/>
      <c r="OB56" s="44"/>
      <c r="OC56" s="44"/>
      <c r="OD56" s="44"/>
      <c r="OE56" s="44"/>
      <c r="OF56" s="44"/>
      <c r="OG56" s="44"/>
      <c r="OH56" s="44"/>
      <c r="OI56" s="44"/>
      <c r="OK56" s="44">
        <v>111600</v>
      </c>
      <c r="OL56" s="44">
        <v>111601</v>
      </c>
      <c r="OM56" s="44">
        <v>111602</v>
      </c>
      <c r="ON56" s="44">
        <v>111603</v>
      </c>
      <c r="OO56" s="44">
        <v>111604</v>
      </c>
      <c r="OP56" s="44">
        <v>111605</v>
      </c>
      <c r="OQ56" s="44">
        <v>111606</v>
      </c>
      <c r="OR56" s="44">
        <v>111607</v>
      </c>
      <c r="OS56" s="44">
        <v>111608</v>
      </c>
      <c r="OT56" s="175">
        <v>111609</v>
      </c>
      <c r="OU56" s="50">
        <f>IF(AND($P$9=2,$P$21=1),OA56,IF(AND($P$9=2,$P$21=4),OB56,IF(AND($P$9=2,$P$21=5),OC56,IF(AND($P$9=2,$P$21=11),OD56,IF(AND($P$9=2,$P$21=7),OE56,IF(AND($P$9=2,$P$21=3),OF56,IF(AND($P$9=2,$P$21=6),OG56,IF(AND($P$9=2,$P$21=9),OH56,IF(AND($P$9=2,$P$21=2),OI56,IF(AND($P$9=2,$P$21=8),OJ56,IF(AND($P$9=1,$P$21=1),OK56,IF(AND($P$9=1,$P$21=1),OK56,IF(AND($P$9=1,$P$21=4),OL56,IF(AND($P$9=1,$P$21=5),OM56,IF(AND($P$9=1,$P$21=11),ON56,IF(AND($P$9=1,$P$21=7),OO56,IF(AND($P$9=1,$P$21=3),OP56,IF(AND($P$9=1,$P$21=6),OQ56,IF(AND($P$9=1,$P$21=9),OR56,IF(AND($P$9=1,$P$21=2),OS56,IF(AND($P$9=1,$P$21=8),OT56,0)))))))))))))))))))))</f>
        <v>0</v>
      </c>
      <c r="OV56" s="49"/>
      <c r="OW56" s="44"/>
      <c r="OX56" s="44"/>
      <c r="OY56" s="44"/>
      <c r="OZ56" s="44"/>
      <c r="PA56" s="44"/>
      <c r="PB56" s="44"/>
      <c r="PC56" s="44"/>
      <c r="PD56" s="44"/>
      <c r="PF56" s="44">
        <v>111240</v>
      </c>
      <c r="PG56" s="44">
        <v>111241</v>
      </c>
      <c r="PH56" s="44">
        <v>111242</v>
      </c>
      <c r="PI56" s="44">
        <v>111243</v>
      </c>
      <c r="PJ56" s="44">
        <v>111244</v>
      </c>
      <c r="PK56" s="44">
        <v>111245</v>
      </c>
      <c r="PL56" s="44">
        <v>111246</v>
      </c>
      <c r="PM56" s="44">
        <v>111247</v>
      </c>
      <c r="PN56" s="44">
        <v>111248</v>
      </c>
      <c r="PO56" s="175">
        <v>111249</v>
      </c>
      <c r="PP56" s="50">
        <f>IF(AND($P$9=2,$P$21=1),OV56,IF(AND($P$9=2,$P$21=4),OW56,IF(AND($P$9=2,$P$21=5),OX56,IF(AND($P$9=2,$P$21=11),OY56,IF(AND($P$9=2,$P$21=7),OZ56,IF(AND($P$9=2,$P$21=3),PA56,IF(AND($P$9=2,$P$21=6),PB56,IF(AND($P$9=2,$P$21=9),PC56,IF(AND($P$9=2,$P$21=2),PD56,IF(AND($P$9=2,$P$21=8),PE56,IF(AND($P$9=1,$P$21=1),PF56,IF(AND($P$9=1,$P$21=1),PF56,IF(AND($P$9=1,$P$21=4),PG56,IF(AND($P$9=1,$P$21=5),PH56,IF(AND($P$9=1,$P$21=11),PI56,IF(AND($P$9=1,$P$21=7),PJ56,IF(AND($P$9=1,$P$21=3),PK56,IF(AND($P$9=1,$P$21=6),PL56,IF(AND($P$9=1,$P$21=9),PM56,IF(AND($P$9=1,$P$21=2),PN56,IF(AND($P$9=1,$P$21=8),PO56,0)))))))))))))))))))))</f>
        <v>0</v>
      </c>
      <c r="PQ56" s="49"/>
      <c r="PR56" s="44"/>
      <c r="PS56" s="44"/>
      <c r="PT56" s="44"/>
      <c r="PU56" s="44"/>
      <c r="PV56" s="44"/>
      <c r="PW56" s="44"/>
      <c r="PX56" s="44"/>
      <c r="PY56" s="44"/>
      <c r="QA56" s="44">
        <v>111240</v>
      </c>
      <c r="QB56" s="44">
        <v>111241</v>
      </c>
      <c r="QC56" s="44">
        <v>111242</v>
      </c>
      <c r="QD56" s="44">
        <v>111243</v>
      </c>
      <c r="QE56" s="44">
        <v>111244</v>
      </c>
      <c r="QF56" s="44">
        <v>111245</v>
      </c>
      <c r="QG56" s="44">
        <v>111246</v>
      </c>
      <c r="QH56" s="44">
        <v>111247</v>
      </c>
      <c r="QI56" s="44">
        <v>111248</v>
      </c>
      <c r="QJ56" s="175">
        <v>111249</v>
      </c>
      <c r="QK56" s="50">
        <f>IF(AND($P$9=2,$P$21=1),PQ56,IF(AND($P$9=2,$P$21=4),PR56,IF(AND($P$9=2,$P$21=5),PS56,IF(AND($P$9=2,$P$21=11),PT56,IF(AND($P$9=2,$P$21=7),PU56,IF(AND($P$9=2,$P$21=3),PV56,IF(AND($P$9=2,$P$21=6),PW56,IF(AND($P$9=2,$P$21=9),PX56,IF(AND($P$9=2,$P$21=2),PY56,IF(AND($P$9=2,$P$21=8),PZ56,IF(AND($P$9=1,$P$21=1),QA56,IF(AND($P$9=1,$P$21=1),QA56,IF(AND($P$9=1,$P$21=4),QB56,IF(AND($P$9=1,$P$21=5),QC56,IF(AND($P$9=1,$P$21=11),QD56,IF(AND($P$9=1,$P$21=7),QE56,IF(AND($P$9=1,$P$21=3),QF56,IF(AND($P$9=1,$P$21=6),QG56,IF(AND($P$9=1,$P$21=9),QH56,IF(AND($P$9=1,$P$21=2),QI56,IF(AND($P$9=1,$P$21=8),QJ56,0)))))))))))))))))))))</f>
        <v>0</v>
      </c>
      <c r="QL56" s="49"/>
      <c r="QM56" s="44"/>
      <c r="QN56" s="44"/>
      <c r="QO56" s="44"/>
      <c r="QP56" s="44"/>
      <c r="QQ56" s="44"/>
      <c r="QR56" s="44"/>
      <c r="QS56" s="44"/>
      <c r="QT56" s="44"/>
      <c r="QV56" s="44">
        <v>111620</v>
      </c>
      <c r="QW56" s="44">
        <v>111621</v>
      </c>
      <c r="QX56" s="44">
        <v>111622</v>
      </c>
      <c r="QY56" s="44">
        <v>111623</v>
      </c>
      <c r="QZ56" s="44">
        <v>111624</v>
      </c>
      <c r="RA56" s="44">
        <v>111625</v>
      </c>
      <c r="RB56" s="44">
        <v>111626</v>
      </c>
      <c r="RC56" s="44">
        <v>111627</v>
      </c>
      <c r="RD56" s="44">
        <v>111628</v>
      </c>
      <c r="RE56" s="175">
        <v>111629</v>
      </c>
      <c r="RF56" s="50">
        <f>IF(AND($P$9=2,$P$21=1),QL56,IF(AND($P$9=2,$P$21=4),QM56,IF(AND($P$9=2,$P$21=5),QN56,IF(AND($P$9=2,$P$21=11),QO56,IF(AND($P$9=2,$P$21=7),QP56,IF(AND($P$9=2,$P$21=3),QQ56,IF(AND($P$9=2,$P$21=6),QR56,IF(AND($P$9=2,$P$21=9),QS56,IF(AND($P$9=2,$P$21=2),QT56,IF(AND($P$9=2,$P$21=8),QU56,IF(AND($P$9=1,$P$21=1),QV56,IF(AND($P$9=1,$P$21=1),QV56,IF(AND($P$9=1,$P$21=4),QW56,IF(AND($P$9=1,$P$21=5),QX56,IF(AND($P$9=1,$P$21=11),QY56,IF(AND($P$9=1,$P$21=7),QZ56,IF(AND($P$9=1,$P$21=3),RA56,IF(AND($P$9=1,$P$21=6),RB56,IF(AND($P$9=1,$P$21=9),RC56,IF(AND($P$9=1,$P$21=2),RD56,IF(AND($P$9=1,$P$21=8),RE56,0)))))))))))))))))))))</f>
        <v>0</v>
      </c>
    </row>
    <row r="57" spans="1:474" ht="32.1" customHeight="1">
      <c r="A57" s="98"/>
      <c r="B57" s="79" t="str">
        <f>VLOOKUP(878,Sprachindex!$A:$Z,Info!$O$7,FALSE)</f>
        <v>Stk.</v>
      </c>
      <c r="C57" s="78"/>
      <c r="D57" s="78">
        <f>IF(OR(J57=Formeln!$A$54,J57=Formeln!$A$55,J57=Formeln!$A$56,J57=Formeln!$A$80,J57=Formeln!$A$81,J57=Formeln!$A$82),BB57,IF(OR(J57=Formeln!$A$57,J57=Formeln!$A$58,J57=Formeln!$A$59,J57=Formeln!$A$83,J57=Formeln!$A$84,J57=Formeln!$A$85),BW57,IF(OR(J57=Formeln!$A$60,J57=Formeln!$A$61,J57=Formeln!$A$62,J57=Formeln!$A$86,J57=Formeln!$A$87,J57=Formeln!$A$88),CR57,IF(OR(J57=Formeln!$A$63,J57=Formeln!$A$64,J57=Formeln!$A$89,J57=Formeln!$A$90),DM57,IF(OR(J57=Formeln!$A$65,J57=Formeln!$A$66,J57=Formeln!$A$67,J57=Formeln!$A$91,J57=Formeln!$A$92,J57=Formeln!$A$93),EH57,IF(OR(J57=Formeln!$A$68,J57=Formeln!$A$69,J57=Formeln!$A$94,J57=Formeln!$A$95),FC57,IF(OR(J57=Formeln!$A$70,J57=Formeln!$A$71,J57=Formeln!$A$72,J57=Formeln!$A$73,J57=Formeln!$A$74,J57=Formeln!$A$96,J57=Formeln!$A$97,J57=Formeln!$A$98,J57=Formeln!$A$99,J57=Formeln!$A$100),FX57,IF(OR(J57=Formeln!$A$75,J57=Formeln!$A$76,J57=Formeln!$A$77,J57=Formeln!$A$101,J57=Formeln!$A$102,J57=Formeln!$A$103),GS57,0))))))))</f>
        <v>0</v>
      </c>
      <c r="E57" s="561" t="str">
        <f>VLOOKUP(321,Sprachindex!$A:$Z,Info!$O$7,FALSE)</f>
        <v>Einfassung für Roto-Dachflächenfenster (stucco)</v>
      </c>
      <c r="F57" s="562"/>
      <c r="G57" s="562"/>
      <c r="H57" s="562"/>
      <c r="I57" s="84" t="str">
        <f>VLOOKUP(591,Sprachindex!$A:$Z,Info!$O$7,FALSE)</f>
        <v>Maße:</v>
      </c>
      <c r="J57" s="572"/>
      <c r="K57" s="574"/>
      <c r="L57" s="79" t="str">
        <f>IF($A57=0,"",IF($J57=Formeln!$A$52," ",IF($P$11=1,AC57,AD57)))</f>
        <v/>
      </c>
      <c r="M57" s="433" t="str">
        <f t="shared" si="1"/>
        <v>Stk.</v>
      </c>
      <c r="N57" s="80"/>
      <c r="O57" s="202" t="str">
        <f>IF(ISNUMBER(A57),IF(OR(J57=Formeln!A54,J57=Formeln!A55,J57=Formeln!A56,J57=Formeln!A80,J57=Formeln!A81,J57=Formeln!A82),R57,IF(OR(J57=Formeln!A57,J57=Formeln!A58,J57=Formeln!A59,J57=Formeln!A83,J57=Formeln!A84,J57=Formeln!A85),S57,IF(OR(J57=Formeln!A60,J57=Formeln!A61,J57=Formeln!A62,J57=Formeln!A86,J57=Formeln!A87,J57=Formeln!A88),T57,IF(OR(J57=Formeln!A63,J57=Formeln!A64,J57=Formeln!A89,J57=Formeln!A90),U57,IF(OR(J57=Formeln!A65,J57=Formeln!A66,J57=Formeln!A67,J57=Formeln!A91,J57=Formeln!A92,J57=Formeln!A93),V57,IF(OR(J57=Formeln!A68,J57=Formeln!A69,J57=Formeln!A94,J57=Formeln!A95),W57,IF(OR(J57=Formeln!A70,J57=Formeln!A71,J57=Formeln!A72,J57=Formeln!A73,J57=Formeln!A74,J57=Formeln!A96,J57=Formeln!A97,J57=Formeln!A98,J57=Formeln!A99,J57=Formeln!A100),X57,IF(OR(J57=Formeln!A75,J57=Formeln!A76,J57=Formeln!A77,J57=Formeln!A101,J57=Formeln!A102,J57=Formeln!A103),Y57,0)))))))), "")</f>
        <v/>
      </c>
      <c r="P57" s="5"/>
      <c r="Q57" s="5"/>
      <c r="R57" s="200">
        <v>264.7</v>
      </c>
      <c r="S57" s="200">
        <v>271.8</v>
      </c>
      <c r="T57" s="200">
        <v>271.8</v>
      </c>
      <c r="U57" s="200">
        <v>285.8</v>
      </c>
      <c r="V57" s="200">
        <v>328.1</v>
      </c>
      <c r="W57" s="200">
        <v>335.1</v>
      </c>
      <c r="X57" s="200">
        <v>335.1</v>
      </c>
      <c r="Y57" s="200">
        <v>337.4</v>
      </c>
      <c r="Z57" s="195"/>
      <c r="AA57" s="195"/>
      <c r="AB57" s="195"/>
      <c r="AC57" s="149">
        <f t="shared" si="11"/>
        <v>0</v>
      </c>
      <c r="AD57" s="149">
        <f t="shared" si="11"/>
        <v>0</v>
      </c>
      <c r="AH57" s="44"/>
      <c r="AI57" s="44"/>
      <c r="AJ57" s="44"/>
      <c r="AK57" s="44"/>
      <c r="AL57" s="44"/>
      <c r="AM57" s="44"/>
      <c r="AN57" s="44"/>
      <c r="AO57" s="44"/>
      <c r="AP57" s="44"/>
      <c r="AR57" s="44">
        <v>111300</v>
      </c>
      <c r="AS57" s="44">
        <v>111301</v>
      </c>
      <c r="AT57" s="44">
        <v>111302</v>
      </c>
      <c r="AU57" s="44">
        <v>111303</v>
      </c>
      <c r="AV57" s="44">
        <v>111304</v>
      </c>
      <c r="AW57" s="44">
        <v>111305</v>
      </c>
      <c r="AX57" s="44">
        <v>111306</v>
      </c>
      <c r="AY57" s="44">
        <v>111307</v>
      </c>
      <c r="AZ57" s="44">
        <v>111308</v>
      </c>
      <c r="BA57" s="174">
        <v>111309</v>
      </c>
      <c r="BB57" s="50">
        <f>IF(AND($P$9=2,$P$21=1),AH57,IF(AND($P$9=2,$P$21=4),AI57,IF(AND($P$9=2,$P$21=5),AJ57,IF(AND($P$9=2,$P$21=11),AK57,IF(AND($P$9=2,$P$21=7),AL57,IF(AND($P$9=2,$P$21=3),AM57,IF(AND($P$9=2,$P$21=6),AN57,IF(AND($P$9=2,$P$21=9),AO57,IF(AND($P$9=2,$P$21=2),AP57,IF(AND($P$9=2,$P$21=8),AQ57,IF(AND($P$9=1,$P$21=1),AR57,IF(AND($P$9=1,$P$21=1),AR57,IF(AND($P$9=1,$P$21=4),AS57,IF(AND($P$9=1,$P$21=5),AT57,IF(AND($P$9=1,$P$21=11),AU57,IF(AND($P$9=1,$P$21=7),AV57,IF(AND($P$9=1,$P$21=3),AW57,IF(AND($P$9=1,$P$21=6),AX57,IF(AND($P$9=1,$P$21=9),AY57,IF(AND($P$9=1,$P$21=2),AZ57,IF(AND($P$9=1,$P$21=8),BA57,0)))))))))))))))))))))</f>
        <v>0</v>
      </c>
      <c r="BC57" s="44"/>
      <c r="BD57" s="44"/>
      <c r="BE57" s="44"/>
      <c r="BF57" s="44"/>
      <c r="BG57" s="44"/>
      <c r="BH57" s="44"/>
      <c r="BI57" s="44"/>
      <c r="BJ57" s="44"/>
      <c r="BK57" s="44"/>
      <c r="BM57" s="44">
        <v>111320</v>
      </c>
      <c r="BN57" s="44">
        <v>111321</v>
      </c>
      <c r="BO57" s="44">
        <v>111322</v>
      </c>
      <c r="BP57" s="44">
        <v>111323</v>
      </c>
      <c r="BQ57" s="44">
        <v>111324</v>
      </c>
      <c r="BR57" s="44">
        <v>111325</v>
      </c>
      <c r="BS57" s="44">
        <v>111326</v>
      </c>
      <c r="BT57" s="44">
        <v>111327</v>
      </c>
      <c r="BU57" s="44">
        <v>111328</v>
      </c>
      <c r="BV57" s="174">
        <v>111329</v>
      </c>
      <c r="BW57" s="50">
        <f>IF(AND($P$9=2,$P$21=1),BC57,IF(AND($P$9=2,$P$21=4),BD57,IF(AND($P$9=2,$P$21=5),BE57,IF(AND($P$9=2,$P$21=11),BF57,IF(AND($P$9=2,$P$21=7),BG57,IF(AND($P$9=2,$P$21=3),BH57,IF(AND($P$9=2,$P$21=6),BI57,IF(AND($P$9=2,$P$21=9),BJ57,IF(AND($P$9=2,$P$21=2),BK57,IF(AND($P$9=2,$P$21=8),BL57,IF(AND($P$9=1,$P$21=1),BM57,IF(AND($P$9=1,$P$21=1),BM57,IF(AND($P$9=1,$P$21=4),BN57,IF(AND($P$9=1,$P$21=5),BO57,IF(AND($P$9=1,$P$21=11),BP57,IF(AND($P$9=1,$P$21=7),BQ57,IF(AND($P$9=1,$P$21=3),BR57,IF(AND($P$9=1,$P$21=6),BS57,IF(AND($P$9=1,$P$21=9),BT57,IF(AND($P$9=1,$P$21=2),BU57,IF(AND($P$9=1,$P$21=8),BV57,0)))))))))))))))))))))</f>
        <v>0</v>
      </c>
      <c r="BX57" s="44"/>
      <c r="BY57" s="44"/>
      <c r="BZ57" s="44"/>
      <c r="CA57" s="44"/>
      <c r="CB57" s="44"/>
      <c r="CC57" s="44"/>
      <c r="CD57" s="44"/>
      <c r="CE57" s="44"/>
      <c r="CF57" s="44"/>
      <c r="CH57" s="44">
        <v>111340</v>
      </c>
      <c r="CI57" s="44">
        <v>111341</v>
      </c>
      <c r="CJ57" s="44">
        <v>111342</v>
      </c>
      <c r="CK57" s="44">
        <v>111343</v>
      </c>
      <c r="CL57" s="44">
        <v>111344</v>
      </c>
      <c r="CM57" s="44">
        <v>111345</v>
      </c>
      <c r="CN57" s="44">
        <v>111346</v>
      </c>
      <c r="CO57" s="44">
        <v>111347</v>
      </c>
      <c r="CP57" s="44">
        <v>111348</v>
      </c>
      <c r="CQ57" s="174">
        <v>111349</v>
      </c>
      <c r="CR57" s="50">
        <f>IF(AND($P$9=2,$P$21=1),BX57,IF(AND($P$9=2,$P$21=4),BY57,IF(AND($P$9=2,$P$21=5),BZ57,IF(AND($P$9=2,$P$21=11),CA57,IF(AND($P$9=2,$P$21=7),CB57,IF(AND($P$9=2,$P$21=3),CC57,IF(AND($P$9=2,$P$21=6),CD57,IF(AND($P$9=2,$P$21=9),CE57,IF(AND($P$9=2,$P$21=2),CF57,IF(AND($P$9=2,$P$21=8),CG57,IF(AND($P$9=1,$P$21=1),CH57,IF(AND($P$9=1,$P$21=1),CH57,IF(AND($P$9=1,$P$21=4),CI57,IF(AND($P$9=1,$P$21=5),CJ57,IF(AND($P$9=1,$P$21=11),CK57,IF(AND($P$9=1,$P$21=7),CL57,IF(AND($P$9=1,$P$21=3),CM57,IF(AND($P$9=1,$P$21=6),CN57,IF(AND($P$9=1,$P$21=9),CO57,IF(AND($P$9=1,$P$21=2),CP57,IF(AND($P$9=1,$P$21=8),CQ57,0)))))))))))))))))))))</f>
        <v>0</v>
      </c>
      <c r="CS57" s="44"/>
      <c r="CT57" s="44"/>
      <c r="CU57" s="44"/>
      <c r="CV57" s="44"/>
      <c r="CW57" s="44"/>
      <c r="CX57" s="44"/>
      <c r="CY57" s="44"/>
      <c r="CZ57" s="44"/>
      <c r="DA57" s="44"/>
      <c r="DC57" s="44">
        <v>111360</v>
      </c>
      <c r="DD57" s="44">
        <v>111361</v>
      </c>
      <c r="DE57" s="44">
        <v>111362</v>
      </c>
      <c r="DF57" s="44">
        <v>111363</v>
      </c>
      <c r="DG57" s="44">
        <v>111364</v>
      </c>
      <c r="DH57" s="44">
        <v>111365</v>
      </c>
      <c r="DI57" s="44">
        <v>111366</v>
      </c>
      <c r="DJ57" s="44">
        <v>111367</v>
      </c>
      <c r="DK57" s="44">
        <v>111368</v>
      </c>
      <c r="DL57" s="174">
        <v>111369</v>
      </c>
      <c r="DM57" s="50">
        <f>IF(AND($P$9=2,$P$21=1),BX57,IF(AND($P$9=2,$P$21=4),BY57,IF(AND($P$9=2,$P$21=5),BZ57,IF(AND($P$9=2,$P$21=11),CA57,IF(AND($P$9=2,$P$21=7),CB57,IF(AND($P$9=2,$P$21=3),CC57,IF(AND($P$9=2,$P$21=6),CD57,IF(AND($P$9=2,$P$21=9),CE57,IF(AND($P$9=2,$P$21=2),CF57,IF(AND($P$9=2,$P$21=8),CG57,IF(AND($P$9=1,$P$21=1),DC57,IF(AND($P$9=1,$P$21=1),DC57,IF(AND($P$9=1,$P$21=4),DD57,IF(AND($P$9=1,$P$21=5),DE57,IF(AND($P$9=1,$P$21=11),DF57,IF(AND($P$9=1,$P$21=7),DG57,IF(AND($P$9=1,$P$21=3),DH57,IF(AND($P$9=1,$P$21=6),DI57,IF(AND($P$9=1,$P$21=9),DJ57,IF(AND($P$9=1,$P$21=2),DK57,IF(AND($P$9=1,$P$21=8),DL57,0)))))))))))))))))))))</f>
        <v>0</v>
      </c>
      <c r="DX57" s="44">
        <v>111380</v>
      </c>
      <c r="DY57" s="44">
        <v>111381</v>
      </c>
      <c r="DZ57" s="44">
        <v>111382</v>
      </c>
      <c r="EA57" s="44">
        <v>111383</v>
      </c>
      <c r="EB57" s="44">
        <v>111384</v>
      </c>
      <c r="EC57" s="44">
        <v>111385</v>
      </c>
      <c r="ED57" s="44">
        <v>111386</v>
      </c>
      <c r="EE57" s="44">
        <v>111387</v>
      </c>
      <c r="EF57" s="44">
        <v>111388</v>
      </c>
      <c r="EG57" s="174">
        <v>111389</v>
      </c>
      <c r="EH57" s="50">
        <f>IF(AND($P$9=2,$P$21=1),CS57,IF(AND($P$9=2,$P$21=4),CT57,IF(AND($P$9=2,$P$21=5),CU57,IF(AND($P$9=2,$P$21=11),CV57,IF(AND($P$9=2,$P$21=7),CW57,IF(AND($P$9=2,$P$21=3),CX57,IF(AND($P$9=2,$P$21=6),CY57,IF(AND($P$9=2,$P$21=9),CZ57,IF(AND($P$9=2,$P$21=2),DA57,IF(AND($P$9=2,$P$21=8),DB57,IF(AND($P$9=1,$P$21=1),DX57,IF(AND($P$9=1,$P$21=1),DX57,IF(AND($P$9=1,$P$21=4),DY57,IF(AND($P$9=1,$P$21=5),DZ57,IF(AND($P$9=1,$P$21=11),EA57,IF(AND($P$9=1,$P$21=7),EB57,IF(AND($P$9=1,$P$21=3),EC57,IF(AND($P$9=1,$P$21=6),ED57,IF(AND($P$9=1,$P$21=9),EE57,IF(AND($P$9=1,$P$21=2),EF57,IF(AND($P$9=1,$P$21=8),EG57,0)))))))))))))))))))))</f>
        <v>0</v>
      </c>
      <c r="EI57" s="44"/>
      <c r="EJ57" s="44"/>
      <c r="EK57" s="44"/>
      <c r="EL57" s="44"/>
      <c r="EM57" s="44"/>
      <c r="EN57" s="44"/>
      <c r="EO57" s="44"/>
      <c r="EP57" s="44"/>
      <c r="EQ57" s="44"/>
      <c r="ES57" s="44">
        <v>111400</v>
      </c>
      <c r="ET57" s="44">
        <v>111401</v>
      </c>
      <c r="EU57" s="44">
        <v>111402</v>
      </c>
      <c r="EV57" s="44">
        <v>111403</v>
      </c>
      <c r="EW57" s="44">
        <v>111404</v>
      </c>
      <c r="EX57" s="44">
        <v>111405</v>
      </c>
      <c r="EY57" s="44">
        <v>111406</v>
      </c>
      <c r="EZ57" s="44">
        <v>111407</v>
      </c>
      <c r="FA57" s="44">
        <v>111408</v>
      </c>
      <c r="FB57" s="174">
        <v>111409</v>
      </c>
      <c r="FC57" s="50">
        <f>IF(AND($P$9=2,$P$21=1),EI57,IF(AND($P$9=2,$P$21=4),EJ57,IF(AND($P$9=2,$P$21=5),EK57,IF(AND($P$9=2,$P$21=11),EL57,IF(AND($P$9=2,$P$21=7),EM57,IF(AND($P$9=2,$P$21=3),EN57,IF(AND($P$9=2,$P$21=6),EO57,IF(AND($P$9=2,$P$21=9),EP57,IF(AND($P$9=2,$P$21=2),EQ57,IF(AND($P$9=2,$P$21=8),ER57,IF(AND($P$9=1,$P$21=1),ES57,IF(AND($P$9=1,$P$21=1),ES57,IF(AND($P$9=1,$P$21=4),ET57,IF(AND($P$9=1,$P$21=5),EU57,IF(AND($P$9=1,$P$21=11),EV57,IF(AND($P$9=1,$P$21=7),EW57,IF(AND($P$9=1,$P$21=3),EX57,IF(AND($P$9=1,$P$21=6),EY57,IF(AND($P$9=1,$P$21=9),EZ57,IF(AND($P$9=1,$P$21=2),FA57,IF(AND($P$9=1,$P$21=8),FB57,0)))))))))))))))))))))</f>
        <v>0</v>
      </c>
      <c r="FD57" s="44"/>
      <c r="FE57" s="44"/>
      <c r="FF57" s="44"/>
      <c r="FG57" s="44"/>
      <c r="FH57" s="44"/>
      <c r="FI57" s="44"/>
      <c r="FJ57" s="44"/>
      <c r="FK57" s="44"/>
      <c r="FL57" s="44"/>
      <c r="FN57" s="44">
        <v>111420</v>
      </c>
      <c r="FO57" s="44">
        <v>111421</v>
      </c>
      <c r="FP57" s="44">
        <v>111422</v>
      </c>
      <c r="FQ57" s="44">
        <v>111423</v>
      </c>
      <c r="FR57" s="44">
        <v>111424</v>
      </c>
      <c r="FS57" s="44">
        <v>111425</v>
      </c>
      <c r="FT57" s="44">
        <v>111426</v>
      </c>
      <c r="FU57" s="44">
        <v>111427</v>
      </c>
      <c r="FV57" s="44">
        <v>111428</v>
      </c>
      <c r="FW57" s="174">
        <v>111429</v>
      </c>
      <c r="FX57" s="50">
        <f>IF(AND($P$9=2,$P$21=1),FD57,IF(AND($P$9=2,$P$21=4),FE57,IF(AND($P$9=2,$P$21=5),FF57,IF(AND($P$9=2,$P$21=11),FG57,IF(AND($P$9=2,$P$21=7),FH57,IF(AND($P$9=2,$P$21=3),FI57,IF(AND($P$9=2,$P$21=6),FJ57,IF(AND($P$9=2,$P$21=9),FK57,IF(AND($P$9=2,$P$21=2),FL57,IF(AND($P$9=2,$P$21=8),FM57,IF(AND($P$9=1,$P$21=1),FN57,IF(AND($P$9=1,$P$21=1),FN57,IF(AND($P$9=1,$P$21=4),FO57,IF(AND($P$9=1,$P$21=5),FP57,IF(AND($P$9=1,$P$21=11),FQ57,IF(AND($P$9=1,$P$21=7),FR57,IF(AND($P$9=1,$P$21=3),FS57,IF(AND($P$9=1,$P$21=6),FT57,IF(AND($P$9=1,$P$21=9),FU57,IF(AND($P$9=1,$P$21=2),FV57,IF(AND($P$9=1,$P$21=8),FW57,0)))))))))))))))))))))</f>
        <v>0</v>
      </c>
      <c r="FY57" s="44"/>
      <c r="FZ57" s="44"/>
      <c r="GA57" s="44"/>
      <c r="GB57" s="44"/>
      <c r="GC57" s="44"/>
      <c r="GD57" s="44"/>
      <c r="GE57" s="44"/>
      <c r="GF57" s="44"/>
      <c r="GG57" s="44"/>
      <c r="GI57" s="44">
        <v>111440</v>
      </c>
      <c r="GJ57" s="44">
        <v>111441</v>
      </c>
      <c r="GK57" s="44">
        <v>111442</v>
      </c>
      <c r="GL57" s="44">
        <v>111443</v>
      </c>
      <c r="GM57" s="44">
        <v>111444</v>
      </c>
      <c r="GN57" s="44">
        <v>111445</v>
      </c>
      <c r="GO57" s="44">
        <v>111446</v>
      </c>
      <c r="GP57" s="44">
        <v>111447</v>
      </c>
      <c r="GQ57" s="44">
        <v>111448</v>
      </c>
      <c r="GR57" s="174">
        <v>111449</v>
      </c>
      <c r="GS57" s="50">
        <f>IF(AND($P$9=2,$P$21=1),FY57,IF(AND($P$9=2,$P$21=4),FZ57,IF(AND($P$9=2,$P$21=5),GA57,IF(AND($P$9=2,$P$21=11),GB57,IF(AND($P$9=2,$P$21=7),GC57,IF(AND($P$9=2,$P$21=3),GD57,IF(AND($P$9=2,$P$21=6),GE57,IF(AND($P$9=2,$P$21=9),GF57,IF(AND($P$9=2,$P$21=2),GG57,IF(AND($P$9=2,$P$21=8),GH57,IF(AND($P$9=1,$P$21=1),GI57,IF(AND($P$9=1,$P$21=1),GI57,IF(AND($P$9=1,$P$21=4),GJ57,IF(AND($P$9=1,$P$21=5),GK57,IF(AND($P$9=1,$P$21=11),GL57,IF(AND($P$9=1,$P$21=7),GM57,IF(AND($P$9=1,$P$21=3),GN57,IF(AND($P$9=1,$P$21=6),GO57,IF(AND($P$9=1,$P$21=9),GP57,IF(AND($P$9=1,$P$21=2),GQ57,IF(AND($P$9=1,$P$21=8),GR57,0)))))))))))))))))))))</f>
        <v>0</v>
      </c>
      <c r="HN57" s="50"/>
      <c r="II57" s="50"/>
      <c r="JD57" s="50"/>
      <c r="JY57" s="50"/>
      <c r="KT57" s="50"/>
      <c r="LO57" s="50"/>
      <c r="MJ57" s="50"/>
      <c r="NE57" s="50"/>
      <c r="NZ57" s="50"/>
      <c r="OU57" s="50"/>
      <c r="PP57" s="50"/>
      <c r="QK57" s="50"/>
      <c r="RF57" s="50"/>
    </row>
    <row r="58" spans="1:474" ht="32.1" customHeight="1">
      <c r="A58" s="98"/>
      <c r="B58" s="79" t="str">
        <f>VLOOKUP(878,Sprachindex!$A:$Z,Info!$O$7,FALSE)</f>
        <v>Stk.</v>
      </c>
      <c r="C58" s="78"/>
      <c r="D58" s="78">
        <v>111700</v>
      </c>
      <c r="E58" s="561" t="str">
        <f>VLOOKUP(322,Sprachindex!$A:$Z,Info!$O$7,FALSE)</f>
        <v>Einfassung für Roto-Q-Serie (stucco)</v>
      </c>
      <c r="F58" s="562"/>
      <c r="G58" s="562"/>
      <c r="H58" s="562"/>
      <c r="I58" s="84" t="str">
        <f>VLOOKUP(591,Sprachindex!$A:$Z,Info!$O$7,FALSE)</f>
        <v>Maße:</v>
      </c>
      <c r="J58" s="572"/>
      <c r="K58" s="574"/>
      <c r="L58" s="79" t="str">
        <f>IF($A58=0,"",IF($J58=Formeln!$A$52," ",IF($P$11=1,AC58,AD58)))</f>
        <v/>
      </c>
      <c r="M58" s="433" t="str">
        <f t="shared" si="1"/>
        <v>Stk.</v>
      </c>
      <c r="N58" s="80"/>
      <c r="O58" s="202" t="str">
        <f>IF(ISNUMBER(A58),IF(OR(J58=Formeln!C54,J58=Formeln!C55,J58=Formeln!C56,J58=Formeln!C84,J58=Formeln!C85,J58=Formeln!C86),R58,IF(OR(J58=Formeln!C57,J58=Formeln!C58,J58=Formeln!C59,J58=Formeln!C87,J58=Formeln!C88,J58=Formeln!C89),S58,IF(OR(J58=Formeln!C60,J58=Formeln!C61,J58=Formeln!C62,J58=Formeln!C63,J58=Formeln!C64,J58=Formeln!C90,J58=Formeln!C91,J58=Formeln!C92,J58=Formeln!C93,J58=Formeln!C94),T58,IF(OR(J58=Formeln!C65,J58=Formeln!C66,J58=Formeln!C67,J58=Formeln!C68,J58=Formeln!C69,J58=Formeln!C70,J58=Formeln!C95,J58=Formeln!C96,J58=Formeln!C97,J58=Formeln!C98,J58=Formeln!C99,J58=Formeln!C100),U58,IF(OR(J58=Formeln!C71,J58=Formeln!C72,J58=Formeln!C73,J58=Formeln!C74,J58=Formeln!C75,J58=Formeln!C76,J58=Formeln!C101,J58=Formeln!C102,J58=Formeln!C103,J58=Formeln!C104,J58=Formeln!C105,J58=Formeln!C106),V58,IF(OR(J58=Formeln!C77,J58=Formeln!C78,J58=Formeln!C79,J58=Formeln!C80,J58=Formeln!C81,J58=Formeln!C107,J58=Formeln!C108,J58=Formeln!C109,J58=Formeln!C110,J58=Formeln!C111),W58,0)))))), "")</f>
        <v/>
      </c>
      <c r="P58" s="5"/>
      <c r="Q58" s="5"/>
      <c r="R58" s="200">
        <v>291.25</v>
      </c>
      <c r="S58" s="200">
        <v>298.98</v>
      </c>
      <c r="T58" s="200">
        <v>298.98</v>
      </c>
      <c r="U58" s="200">
        <v>360.78</v>
      </c>
      <c r="V58" s="200">
        <v>368.64</v>
      </c>
      <c r="W58" s="200">
        <v>371.17</v>
      </c>
      <c r="X58" s="195"/>
      <c r="Y58" s="195"/>
      <c r="Z58" s="195"/>
      <c r="AA58" s="195"/>
      <c r="AB58" s="195"/>
      <c r="AC58" s="149">
        <f t="shared" si="11"/>
        <v>0</v>
      </c>
      <c r="AD58" s="149">
        <f t="shared" si="11"/>
        <v>0</v>
      </c>
      <c r="AH58" s="44"/>
      <c r="AI58" s="44"/>
      <c r="AJ58" s="44"/>
      <c r="AK58" s="44"/>
      <c r="AL58" s="44"/>
      <c r="AM58" s="44"/>
      <c r="AN58" s="44"/>
      <c r="AO58" s="44"/>
      <c r="AP58" s="44"/>
      <c r="AR58" s="127"/>
      <c r="AS58" s="127"/>
      <c r="AT58" s="127"/>
      <c r="AU58" s="127"/>
      <c r="AV58" s="127"/>
      <c r="AW58" s="127"/>
      <c r="AX58" s="127"/>
      <c r="AY58" s="127"/>
      <c r="AZ58" s="127"/>
      <c r="BA58" s="176"/>
      <c r="BB58" s="50">
        <f>IF(AND($P$9=2,$P$21=1),AH58,IF(AND($P$9=2,$P$21=4),AI58,IF(AND($P$9=2,$P$21=5),AJ58,IF(AND($P$9=2,$P$21=11),AK58,IF(AND($P$9=2,$P$21=7),AL58,IF(AND($P$9=2,$P$21=3),AM58,IF(AND($P$9=2,$P$21=6),AN58,IF(AND($P$9=2,$P$21=9),AO58,IF(AND($P$9=2,$P$21=2),AP58,IF(AND($P$9=2,$P$21=8),AQ58,IF(AND($P$9=1,$P$21=1),AR58,IF(AND($P$9=1,$P$21=1),AR58,IF(AND($P$9=1,$P$21=4),AS58,IF(AND($P$9=1,$P$21=5),AT58,IF(AND($P$9=1,$P$21=11),AU58,IF(AND($P$9=1,$P$21=7),AV58,IF(AND($P$9=1,$P$21=3),AW58,IF(AND($P$9=1,$P$21=6),AX58,IF(AND($P$9=1,$P$21=9),AY58,IF(AND($P$9=1,$P$21=2),AZ58,0))))))))))))))))))))</f>
        <v>0</v>
      </c>
      <c r="BC58" s="44"/>
      <c r="BD58" s="44"/>
      <c r="BE58" s="44"/>
      <c r="BF58" s="44"/>
      <c r="BG58" s="44"/>
      <c r="BH58" s="44"/>
      <c r="BI58" s="44"/>
      <c r="BJ58" s="44"/>
      <c r="BK58" s="44"/>
      <c r="BM58" s="127"/>
      <c r="BN58" s="127"/>
      <c r="BO58" s="127"/>
      <c r="BP58" s="127"/>
      <c r="BQ58" s="127"/>
      <c r="BR58" s="127"/>
      <c r="BS58" s="127"/>
      <c r="BT58" s="127"/>
      <c r="BU58" s="127"/>
      <c r="BV58" s="176"/>
      <c r="BW58" s="50">
        <f>IF(AND($P$9=2,$P$21=1),BC58,IF(AND($P$9=2,$P$21=4),BD58,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7"/>
      <c r="CI58" s="127"/>
      <c r="CJ58" s="127"/>
      <c r="CK58" s="127"/>
      <c r="CL58" s="127"/>
      <c r="CM58" s="127"/>
      <c r="CN58" s="127"/>
      <c r="CO58" s="127"/>
      <c r="CP58" s="127"/>
      <c r="CQ58" s="176"/>
      <c r="CR58" s="50">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7"/>
      <c r="DD58" s="127"/>
      <c r="DE58" s="127"/>
      <c r="DF58" s="127"/>
      <c r="DG58" s="127"/>
      <c r="DH58" s="127"/>
      <c r="DI58" s="127"/>
      <c r="DJ58" s="127"/>
      <c r="DK58" s="127"/>
      <c r="DL58" s="176"/>
      <c r="DM58" s="50">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7"/>
      <c r="DY58" s="127"/>
      <c r="DZ58" s="127"/>
      <c r="EA58" s="127"/>
      <c r="EB58" s="127"/>
      <c r="EC58" s="127"/>
      <c r="ED58" s="127"/>
      <c r="EE58" s="127"/>
      <c r="EF58" s="127"/>
      <c r="EG58" s="176"/>
      <c r="EH58" s="50">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7"/>
      <c r="ET58" s="127"/>
      <c r="EU58" s="127"/>
      <c r="EV58" s="127"/>
      <c r="EW58" s="127"/>
      <c r="EX58" s="127"/>
      <c r="EY58" s="127"/>
      <c r="EZ58" s="127"/>
      <c r="FA58" s="127"/>
      <c r="FB58" s="176"/>
      <c r="FC58" s="50">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c r="HK58" s="126"/>
      <c r="IF58" s="126"/>
      <c r="JA58" s="126"/>
      <c r="JV58" s="126"/>
      <c r="KQ58" s="126"/>
      <c r="LL58" s="126"/>
      <c r="MG58" s="126"/>
      <c r="NB58" s="126"/>
      <c r="NW58" s="126"/>
      <c r="OR58" s="126"/>
      <c r="PM58" s="126"/>
      <c r="QH58" s="126"/>
      <c r="RC58" s="126"/>
    </row>
    <row r="59" spans="1:474" ht="32.1" customHeight="1">
      <c r="A59" s="98"/>
      <c r="B59" s="79" t="str">
        <f>VLOOKUP(878,Sprachindex!$A:$Z,Info!$O$7,FALSE)</f>
        <v>Stk.</v>
      </c>
      <c r="C59" s="78"/>
      <c r="D59" s="78">
        <f>IF($P$21=1,AH59,IF($P$21=4,AI59,IF($P$21=5,AJ59,IF($P$21=11,AK59,IF($P$21=7,AL59,IF($P$21=3,AM59,IF($P$21=6,AN59,IF($P$21=9,AO59,IF($P$21=2,AP59,IF($P$21=8,AQ59,0))))))))))</f>
        <v>0</v>
      </c>
      <c r="E59" s="561" t="str">
        <f>VLOOKUP(345,Sprachindex!$A:$Z,Info!$O$7,FALSE)</f>
        <v>Einzeltritt (inkl. zwei Fußteile)</v>
      </c>
      <c r="F59" s="562"/>
      <c r="G59" s="562"/>
      <c r="H59" s="562"/>
      <c r="I59" s="562"/>
      <c r="J59" s="562"/>
      <c r="K59" s="563"/>
      <c r="L59" s="79" t="str">
        <f t="shared" ref="L59:L98" si="14">IF(A59=0,"",IF($P$11=1,AC59,AD59))</f>
        <v/>
      </c>
      <c r="M59" s="433" t="str">
        <f t="shared" si="1"/>
        <v>Stk.</v>
      </c>
      <c r="N59" s="80"/>
      <c r="O59" s="202" t="str">
        <f t="shared" ref="O59:O104" si="15">IF(ISNUMBER(A59),$L59*R59, "")</f>
        <v/>
      </c>
      <c r="P59" s="5"/>
      <c r="Q59" s="5"/>
      <c r="R59" s="200">
        <v>70.75</v>
      </c>
      <c r="S59" s="195"/>
      <c r="T59" s="195"/>
      <c r="U59" s="195"/>
      <c r="V59" s="195"/>
      <c r="W59" s="195"/>
      <c r="X59" s="195"/>
      <c r="Y59" s="195"/>
      <c r="Z59" s="195"/>
      <c r="AA59" s="195"/>
      <c r="AB59" s="195"/>
      <c r="AC59" s="149">
        <f t="shared" si="11"/>
        <v>0</v>
      </c>
      <c r="AD59" s="149">
        <f t="shared" si="11"/>
        <v>0</v>
      </c>
      <c r="AH59" s="44">
        <v>120070</v>
      </c>
      <c r="AI59" s="44">
        <v>120071</v>
      </c>
      <c r="AJ59" s="44">
        <v>120072</v>
      </c>
      <c r="AK59" s="44">
        <v>120073</v>
      </c>
      <c r="AL59" s="44">
        <v>120074</v>
      </c>
      <c r="AM59" s="44">
        <v>120075</v>
      </c>
      <c r="AN59" s="44">
        <v>120076</v>
      </c>
      <c r="AO59" s="44">
        <v>120077</v>
      </c>
      <c r="AP59" s="44">
        <v>120078</v>
      </c>
      <c r="AQ59" s="44">
        <v>120079</v>
      </c>
    </row>
    <row r="60" spans="1:474" ht="32.1" customHeight="1">
      <c r="A60" s="98"/>
      <c r="B60" s="79" t="str">
        <f>VLOOKUP(878,Sprachindex!$A:$Z,Info!$O$7,FALSE)</f>
        <v>Stk.</v>
      </c>
      <c r="C60" s="78"/>
      <c r="D60" s="78">
        <f>IF($P$21=1,AH60,IF($P$21=4,AI60,IF($P$21=5,AJ60,IF($P$21=11,AK60,IF($P$21=7,AL60,IF($P$21=3,AM60,IF($P$21=6,AN60,IF($P$21=9,AO60,IF($P$21=2,AP60,IF($P$21=8,AQ60,0))))))))))</f>
        <v>0</v>
      </c>
      <c r="E60" s="561" t="str">
        <f>VLOOKUP(567,Sprachindex!$A:$Z,Info!$O$7,FALSE)</f>
        <v>Laufstegstütze auf einem Fußteil</v>
      </c>
      <c r="F60" s="562"/>
      <c r="G60" s="562"/>
      <c r="H60" s="562"/>
      <c r="I60" s="562"/>
      <c r="J60" s="562"/>
      <c r="K60" s="563"/>
      <c r="L60" s="79" t="str">
        <f t="shared" si="14"/>
        <v/>
      </c>
      <c r="M60" s="433" t="str">
        <f t="shared" si="1"/>
        <v>Stk.</v>
      </c>
      <c r="N60" s="80"/>
      <c r="O60" s="202" t="str">
        <f t="shared" si="15"/>
        <v/>
      </c>
      <c r="P60" s="5"/>
      <c r="Q60" s="5"/>
      <c r="R60" s="200">
        <v>52.32</v>
      </c>
      <c r="S60" s="195"/>
      <c r="T60" s="195"/>
      <c r="U60" s="195"/>
      <c r="V60" s="195"/>
      <c r="W60" s="195"/>
      <c r="X60" s="195"/>
      <c r="Y60" s="195"/>
      <c r="Z60" s="195"/>
      <c r="AA60" s="195"/>
      <c r="AB60" s="195"/>
      <c r="AC60" s="149">
        <f t="shared" si="11"/>
        <v>0</v>
      </c>
      <c r="AD60" s="149">
        <f t="shared" si="11"/>
        <v>0</v>
      </c>
      <c r="AH60" s="44">
        <v>120080</v>
      </c>
      <c r="AI60" s="44">
        <v>120081</v>
      </c>
      <c r="AJ60" s="44">
        <v>120082</v>
      </c>
      <c r="AK60" s="44">
        <v>120083</v>
      </c>
      <c r="AL60" s="44">
        <v>120084</v>
      </c>
      <c r="AM60" s="44">
        <v>120085</v>
      </c>
      <c r="AN60" s="44">
        <v>120086</v>
      </c>
      <c r="AO60" s="44">
        <v>120087</v>
      </c>
      <c r="AP60" s="44">
        <v>120088</v>
      </c>
      <c r="AQ60" s="44">
        <v>120089</v>
      </c>
    </row>
    <row r="61" spans="1:474" ht="32.1" customHeight="1">
      <c r="A61" s="98"/>
      <c r="B61" s="79" t="str">
        <f>VLOOKUP(878,Sprachindex!$A:$Z,Info!$O$7,FALSE)</f>
        <v>Stk.</v>
      </c>
      <c r="C61" s="78"/>
      <c r="D61" s="78">
        <v>649304</v>
      </c>
      <c r="E61" s="561" t="str">
        <f>VLOOKUP(568,Sprachindex!$A:$Z,Info!$O$7,FALSE)</f>
        <v>Laufstegstütze auf zwei Fußteilen</v>
      </c>
      <c r="F61" s="562"/>
      <c r="G61" s="562"/>
      <c r="H61" s="562"/>
      <c r="I61" s="562"/>
      <c r="J61" s="562"/>
      <c r="K61" s="563"/>
      <c r="L61" s="79" t="str">
        <f t="shared" si="14"/>
        <v/>
      </c>
      <c r="M61" s="433" t="str">
        <f t="shared" si="1"/>
        <v>Stk.</v>
      </c>
      <c r="N61" s="80"/>
      <c r="O61" s="202" t="str">
        <f t="shared" si="15"/>
        <v/>
      </c>
      <c r="P61" s="5"/>
      <c r="Q61" s="5"/>
      <c r="R61" s="200">
        <v>74.13</v>
      </c>
      <c r="S61" s="195"/>
      <c r="T61" s="195"/>
      <c r="U61" s="195"/>
      <c r="V61" s="195"/>
      <c r="W61" s="195"/>
      <c r="X61" s="195"/>
      <c r="Y61" s="195"/>
      <c r="Z61" s="195"/>
      <c r="AA61" s="195"/>
      <c r="AB61" s="195"/>
      <c r="AC61" s="149">
        <f t="shared" si="11"/>
        <v>0</v>
      </c>
      <c r="AD61" s="149">
        <f t="shared" si="11"/>
        <v>0</v>
      </c>
      <c r="AH61" s="44"/>
      <c r="AI61" s="44"/>
      <c r="AJ61" s="44"/>
      <c r="AK61" s="44"/>
      <c r="AL61" s="44"/>
      <c r="AM61" s="44"/>
      <c r="AN61" s="44"/>
      <c r="AO61" s="44"/>
      <c r="AP61" s="44"/>
      <c r="AQ61" s="44"/>
    </row>
    <row r="62" spans="1:474" ht="32.1" customHeight="1">
      <c r="A62" s="98"/>
      <c r="B62" s="79" t="str">
        <f>VLOOKUP(878,Sprachindex!$A:$Z,Info!$O$7,FALSE)</f>
        <v>Stk.</v>
      </c>
      <c r="C62" s="78"/>
      <c r="D62" s="78">
        <f>IF($P$21=1,AH62,IF($P$21=4,AI62,IF($P$21=5,AJ62,IF($P$21=11,AK62,IF($P$21=7,AL62,IF($P$21=3,AM62,IF($P$21=6,AN62,IF($P$21=9,AO62,IF($P$21=2,AP62,IF($P$21=8,AQ62,0))))))))))</f>
        <v>0</v>
      </c>
      <c r="E62" s="561" t="str">
        <f>VLOOKUP(560,Sprachindex!$A:$Z,Info!$O$7,FALSE)</f>
        <v>Laufsteg (250 × 1.200 mm)</v>
      </c>
      <c r="F62" s="562"/>
      <c r="G62" s="562"/>
      <c r="H62" s="562"/>
      <c r="I62" s="562"/>
      <c r="J62" s="562"/>
      <c r="K62" s="563"/>
      <c r="L62" s="79" t="str">
        <f t="shared" si="14"/>
        <v/>
      </c>
      <c r="M62" s="433" t="str">
        <f t="shared" si="1"/>
        <v>Stk.</v>
      </c>
      <c r="N62" s="80"/>
      <c r="O62" s="202" t="str">
        <f t="shared" si="15"/>
        <v/>
      </c>
      <c r="P62" s="5"/>
      <c r="Q62" s="5"/>
      <c r="R62" s="200">
        <v>74.430000000000007</v>
      </c>
      <c r="S62" s="195"/>
      <c r="T62" s="195"/>
      <c r="U62" s="195"/>
      <c r="V62" s="195"/>
      <c r="W62" s="195"/>
      <c r="X62" s="195"/>
      <c r="Y62" s="195"/>
      <c r="Z62" s="195"/>
      <c r="AA62" s="195"/>
      <c r="AB62" s="195"/>
      <c r="AC62" s="149">
        <f t="shared" si="11"/>
        <v>0</v>
      </c>
      <c r="AD62" s="149">
        <f t="shared" si="11"/>
        <v>0</v>
      </c>
      <c r="AH62" s="44">
        <v>120030</v>
      </c>
      <c r="AI62" s="44">
        <v>120031</v>
      </c>
      <c r="AJ62" s="44">
        <v>120032</v>
      </c>
      <c r="AK62" s="44">
        <v>120033</v>
      </c>
      <c r="AL62" s="44">
        <v>120034</v>
      </c>
      <c r="AM62" s="44">
        <v>120035</v>
      </c>
      <c r="AN62" s="44">
        <v>120036</v>
      </c>
      <c r="AO62" s="44">
        <v>120037</v>
      </c>
      <c r="AP62" s="44">
        <v>120038</v>
      </c>
      <c r="AQ62" s="44">
        <v>120039</v>
      </c>
    </row>
    <row r="63" spans="1:474" ht="32.1" customHeight="1">
      <c r="A63" s="98"/>
      <c r="B63" s="79" t="str">
        <f>VLOOKUP(878,Sprachindex!$A:$Z,Info!$O$7,FALSE)</f>
        <v>Stk.</v>
      </c>
      <c r="C63" s="78"/>
      <c r="D63" s="78">
        <f>IF($P$21=1,AH63,IF($P$21=4,AI63,IF($P$21=5,AJ63,IF($P$21=11,AK63,IF($P$21=7,AL63,IF($P$21=3,AM63,IF($P$21=6,AN63,IF($P$21=9,AO63,IF($P$21=2,AP63,IF($P$21=8,AQ63,0))))))))))</f>
        <v>0</v>
      </c>
      <c r="E63" s="561" t="str">
        <f>VLOOKUP(563,Sprachindex!$A:$Z,Info!$O$7,FALSE)</f>
        <v>Laufsteg (250 × 800 mm)</v>
      </c>
      <c r="F63" s="562"/>
      <c r="G63" s="562"/>
      <c r="H63" s="562"/>
      <c r="I63" s="562"/>
      <c r="J63" s="562"/>
      <c r="K63" s="563"/>
      <c r="L63" s="79" t="str">
        <f t="shared" si="14"/>
        <v/>
      </c>
      <c r="M63" s="433" t="str">
        <f t="shared" si="1"/>
        <v>Stk.</v>
      </c>
      <c r="N63" s="80"/>
      <c r="O63" s="202" t="str">
        <f t="shared" si="15"/>
        <v/>
      </c>
      <c r="P63" s="5"/>
      <c r="Q63" s="5"/>
      <c r="R63" s="200">
        <v>54.95</v>
      </c>
      <c r="S63" s="195"/>
      <c r="T63" s="195"/>
      <c r="U63" s="195"/>
      <c r="V63" s="195"/>
      <c r="W63" s="195"/>
      <c r="X63" s="195"/>
      <c r="Y63" s="195"/>
      <c r="Z63" s="195"/>
      <c r="AA63" s="195"/>
      <c r="AB63" s="195"/>
      <c r="AC63" s="149">
        <f t="shared" si="11"/>
        <v>0</v>
      </c>
      <c r="AD63" s="149">
        <f t="shared" si="11"/>
        <v>0</v>
      </c>
      <c r="AH63" s="44">
        <v>120020</v>
      </c>
      <c r="AI63" s="44">
        <v>120021</v>
      </c>
      <c r="AJ63" s="44">
        <v>120022</v>
      </c>
      <c r="AK63" s="44">
        <v>120023</v>
      </c>
      <c r="AL63" s="44">
        <v>120024</v>
      </c>
      <c r="AM63" s="44">
        <v>120025</v>
      </c>
      <c r="AN63" s="44">
        <v>120026</v>
      </c>
      <c r="AO63" s="44">
        <v>120027</v>
      </c>
      <c r="AP63" s="44">
        <v>120028</v>
      </c>
      <c r="AQ63" s="44">
        <v>121075</v>
      </c>
    </row>
    <row r="64" spans="1:474" ht="32.1" customHeight="1">
      <c r="A64" s="98"/>
      <c r="B64" s="79" t="str">
        <f>VLOOKUP(878,Sprachindex!$A:$Z,Info!$O$7,FALSE)</f>
        <v>Stk.</v>
      </c>
      <c r="C64" s="78"/>
      <c r="D64" s="78">
        <f>IF($P$21=1,AH64,IF($P$21=4,AI64,IF($P$21=5,AJ64,IF($P$21=11,AK64,IF($P$21=7,AL64,IF($P$21=3,AM64,IF($P$21=6,AN64,IF($P$21=9,AO64,IF($P$21=2,AP64,IF($P$21=8,AQ64,0))))))))))</f>
        <v>0</v>
      </c>
      <c r="E64" s="561" t="str">
        <f>VLOOKUP(562,Sprachindex!$A:$Z,Info!$O$7,FALSE)</f>
        <v>Laufsteg (250 × 600 mm)</v>
      </c>
      <c r="F64" s="562"/>
      <c r="G64" s="562"/>
      <c r="H64" s="562"/>
      <c r="I64" s="562"/>
      <c r="J64" s="562"/>
      <c r="K64" s="563"/>
      <c r="L64" s="79" t="str">
        <f t="shared" si="14"/>
        <v/>
      </c>
      <c r="M64" s="433" t="str">
        <f t="shared" si="1"/>
        <v>Stk.</v>
      </c>
      <c r="N64" s="80"/>
      <c r="O64" s="202" t="str">
        <f t="shared" si="15"/>
        <v/>
      </c>
      <c r="P64" s="5"/>
      <c r="Q64" s="5"/>
      <c r="R64" s="200">
        <v>52.52</v>
      </c>
      <c r="S64" s="195"/>
      <c r="T64" s="195"/>
      <c r="U64" s="195"/>
      <c r="V64" s="195"/>
      <c r="W64" s="195"/>
      <c r="X64" s="195"/>
      <c r="Y64" s="195"/>
      <c r="Z64" s="195"/>
      <c r="AA64" s="195"/>
      <c r="AB64" s="195"/>
      <c r="AC64" s="149">
        <f t="shared" si="11"/>
        <v>0</v>
      </c>
      <c r="AD64" s="149">
        <f t="shared" si="11"/>
        <v>0</v>
      </c>
      <c r="AH64" s="44">
        <v>120060</v>
      </c>
      <c r="AI64" s="44">
        <v>120061</v>
      </c>
      <c r="AJ64" s="44">
        <v>120062</v>
      </c>
      <c r="AK64" s="44">
        <v>120063</v>
      </c>
      <c r="AL64" s="44">
        <v>120064</v>
      </c>
      <c r="AM64" s="44">
        <v>120065</v>
      </c>
      <c r="AN64" s="44">
        <v>120066</v>
      </c>
      <c r="AO64" s="44">
        <v>120067</v>
      </c>
      <c r="AP64" s="44">
        <v>120068</v>
      </c>
      <c r="AQ64" s="44">
        <v>120069</v>
      </c>
    </row>
    <row r="65" spans="1:55" ht="32.1" customHeight="1">
      <c r="A65" s="98"/>
      <c r="B65" s="79" t="str">
        <f>VLOOKUP(878,Sprachindex!$A:$Z,Info!$O$7,FALSE)</f>
        <v>Stk.</v>
      </c>
      <c r="C65" s="78"/>
      <c r="D65" s="78">
        <f>IF($P$21=1,AH65,IF($P$21=4,AI65,IF($P$21=5,AJ65,IF($P$21=11,AK65,IF($P$21=7,AL65,IF($P$21=3,AM65,IF($P$21=6,AN65,IF($P$21=9,AO65,IF($P$21=2,AP65,IF($P$21=8,AQ65,0))))))))))</f>
        <v>0</v>
      </c>
      <c r="E65" s="561" t="str">
        <f>VLOOKUP(561,Sprachindex!$A:$Z,Info!$O$7,FALSE)</f>
        <v>Laufsteg (250 × 420 mm)</v>
      </c>
      <c r="F65" s="562"/>
      <c r="G65" s="562"/>
      <c r="H65" s="562"/>
      <c r="I65" s="562"/>
      <c r="J65" s="562"/>
      <c r="K65" s="563"/>
      <c r="L65" s="79" t="str">
        <f t="shared" si="14"/>
        <v/>
      </c>
      <c r="M65" s="433" t="str">
        <f t="shared" si="1"/>
        <v>Stk.</v>
      </c>
      <c r="N65" s="80"/>
      <c r="O65" s="202" t="str">
        <f t="shared" si="15"/>
        <v/>
      </c>
      <c r="P65" s="5"/>
      <c r="Q65" s="5"/>
      <c r="R65" s="200">
        <v>38.97</v>
      </c>
      <c r="S65" s="195"/>
      <c r="T65" s="195"/>
      <c r="U65" s="195"/>
      <c r="V65" s="195"/>
      <c r="W65" s="195"/>
      <c r="X65" s="195"/>
      <c r="Y65" s="195"/>
      <c r="Z65" s="195"/>
      <c r="AA65" s="195"/>
      <c r="AB65" s="195"/>
      <c r="AC65" s="149">
        <f>ROUNDUP($A65/4,0)*4</f>
        <v>0</v>
      </c>
      <c r="AD65" s="149">
        <f t="shared" ref="AD65:AD82" si="16">ROUNDUP($A65,0)</f>
        <v>0</v>
      </c>
      <c r="AH65" s="44">
        <v>120010</v>
      </c>
      <c r="AI65" s="44">
        <v>120011</v>
      </c>
      <c r="AJ65" s="44">
        <v>120012</v>
      </c>
      <c r="AK65" s="44">
        <v>120013</v>
      </c>
      <c r="AL65" s="44">
        <v>120014</v>
      </c>
      <c r="AM65" s="44">
        <v>120015</v>
      </c>
      <c r="AN65" s="44">
        <v>120016</v>
      </c>
      <c r="AO65" s="44">
        <v>120017</v>
      </c>
      <c r="AP65" s="44">
        <v>120018</v>
      </c>
      <c r="AQ65" s="44">
        <v>120019</v>
      </c>
    </row>
    <row r="66" spans="1:55" ht="32.1" customHeight="1">
      <c r="A66" s="98"/>
      <c r="B66" s="79" t="str">
        <f>VLOOKUP(878,Sprachindex!$A:$Z,Info!$O$7,FALSE)</f>
        <v>Stk.</v>
      </c>
      <c r="C66" s="78"/>
      <c r="D66" s="78">
        <v>649305</v>
      </c>
      <c r="E66" s="561" t="str">
        <f>VLOOKUP(565,Sprachindex!$A:$Z,Info!$O$7,FALSE)</f>
        <v>Laufsteg (360 × 800 mm)</v>
      </c>
      <c r="F66" s="562"/>
      <c r="G66" s="562"/>
      <c r="H66" s="562"/>
      <c r="I66" s="562"/>
      <c r="J66" s="562"/>
      <c r="K66" s="563"/>
      <c r="L66" s="79" t="str">
        <f t="shared" si="14"/>
        <v/>
      </c>
      <c r="M66" s="433" t="str">
        <f t="shared" si="1"/>
        <v>Stk.</v>
      </c>
      <c r="N66" s="80"/>
      <c r="O66" s="202" t="str">
        <f t="shared" si="15"/>
        <v/>
      </c>
      <c r="P66" s="5"/>
      <c r="Q66" s="5"/>
      <c r="R66" s="200">
        <v>80.81</v>
      </c>
      <c r="S66" s="195"/>
      <c r="T66" s="195"/>
      <c r="U66" s="195"/>
      <c r="V66" s="195"/>
      <c r="W66" s="195"/>
      <c r="X66" s="195"/>
      <c r="Y66" s="195"/>
      <c r="Z66" s="195"/>
      <c r="AA66" s="195"/>
      <c r="AB66" s="195"/>
      <c r="AC66" s="149">
        <f>ROUNDUP($A66,0)</f>
        <v>0</v>
      </c>
      <c r="AD66" s="149">
        <f t="shared" si="16"/>
        <v>0</v>
      </c>
      <c r="AH66" s="44"/>
      <c r="AI66" s="44"/>
      <c r="AJ66" s="44"/>
      <c r="AK66" s="44"/>
      <c r="AL66" s="44"/>
      <c r="AM66" s="44"/>
      <c r="AN66" s="44"/>
      <c r="AO66" s="44"/>
      <c r="AP66" s="44"/>
      <c r="AQ66" s="44"/>
    </row>
    <row r="67" spans="1:55" ht="32.1" customHeight="1">
      <c r="A67" s="98"/>
      <c r="B67" s="79" t="str">
        <f>VLOOKUP(878,Sprachindex!$A:$Z,Info!$O$7,FALSE)</f>
        <v>Stk.</v>
      </c>
      <c r="C67" s="78"/>
      <c r="D67" s="78">
        <v>649306</v>
      </c>
      <c r="E67" s="561" t="str">
        <f>VLOOKUP(564,Sprachindex!$A:$Z,Info!$O$7,FALSE)</f>
        <v>Laufsteg (360 × 1.200 mm)</v>
      </c>
      <c r="F67" s="562"/>
      <c r="G67" s="562"/>
      <c r="H67" s="562"/>
      <c r="I67" s="562"/>
      <c r="J67" s="562"/>
      <c r="K67" s="563"/>
      <c r="L67" s="79" t="str">
        <f t="shared" si="14"/>
        <v/>
      </c>
      <c r="M67" s="433" t="str">
        <f t="shared" si="1"/>
        <v>Stk.</v>
      </c>
      <c r="N67" s="80"/>
      <c r="O67" s="202" t="str">
        <f t="shared" si="15"/>
        <v/>
      </c>
      <c r="P67" s="5"/>
      <c r="Q67" s="5"/>
      <c r="R67" s="200">
        <v>119.7</v>
      </c>
      <c r="S67" s="195"/>
      <c r="T67" s="195"/>
      <c r="U67" s="195"/>
      <c r="V67" s="195"/>
      <c r="W67" s="195"/>
      <c r="X67" s="195"/>
      <c r="Y67" s="195"/>
      <c r="Z67" s="195"/>
      <c r="AA67" s="195"/>
      <c r="AB67" s="195"/>
      <c r="AC67" s="149">
        <f>ROUNDUP($A67,0)</f>
        <v>0</v>
      </c>
      <c r="AD67" s="149">
        <f t="shared" si="16"/>
        <v>0</v>
      </c>
      <c r="AH67" s="44"/>
      <c r="AI67" s="44"/>
      <c r="AJ67" s="44"/>
      <c r="AK67" s="44"/>
      <c r="AL67" s="44"/>
      <c r="AM67" s="44"/>
      <c r="AN67" s="44"/>
      <c r="AO67" s="44"/>
      <c r="AP67" s="44"/>
      <c r="AQ67" s="44"/>
    </row>
    <row r="68" spans="1:55" ht="32.1" customHeight="1">
      <c r="A68" s="98"/>
      <c r="B68" s="79" t="str">
        <f>VLOOKUP(878,Sprachindex!$A:$Z,Info!$O$7,FALSE)</f>
        <v>Stk.</v>
      </c>
      <c r="C68" s="78"/>
      <c r="D68" s="83">
        <v>649001</v>
      </c>
      <c r="E68" s="561" t="str">
        <f>VLOOKUP(955,Sprachindex!$A:$Z,Info!$O$7,FALSE)</f>
        <v>Verbinder (verzinkt; für Laufsteg; Breite: 250 mm)</v>
      </c>
      <c r="F68" s="562"/>
      <c r="G68" s="562"/>
      <c r="H68" s="562"/>
      <c r="I68" s="562"/>
      <c r="J68" s="562"/>
      <c r="K68" s="563"/>
      <c r="L68" s="79" t="str">
        <f t="shared" si="14"/>
        <v/>
      </c>
      <c r="M68" s="433" t="str">
        <f t="shared" si="1"/>
        <v>Stk.</v>
      </c>
      <c r="N68" s="80"/>
      <c r="O68" s="202" t="str">
        <f t="shared" si="15"/>
        <v/>
      </c>
      <c r="P68" s="5"/>
      <c r="Q68" s="5"/>
      <c r="R68" s="200">
        <v>24.02</v>
      </c>
      <c r="S68" s="195"/>
      <c r="T68" s="195"/>
      <c r="U68" s="195"/>
      <c r="V68" s="195"/>
      <c r="W68" s="195"/>
      <c r="X68" s="195"/>
      <c r="Y68" s="195"/>
      <c r="Z68" s="195"/>
      <c r="AA68" s="195"/>
      <c r="AB68" s="195"/>
      <c r="AC68" s="149">
        <f>ROUNDUP($A68,0)</f>
        <v>0</v>
      </c>
      <c r="AD68" s="149">
        <f t="shared" si="16"/>
        <v>0</v>
      </c>
      <c r="AH68" s="47" t="s">
        <v>33</v>
      </c>
      <c r="AI68" s="47" t="s">
        <v>34</v>
      </c>
      <c r="AJ68" s="47" t="s">
        <v>35</v>
      </c>
      <c r="AK68" s="47" t="s">
        <v>36</v>
      </c>
      <c r="AL68" s="47" t="s">
        <v>37</v>
      </c>
      <c r="AM68" s="47" t="s">
        <v>38</v>
      </c>
      <c r="AN68" s="47" t="s">
        <v>39</v>
      </c>
      <c r="AO68" s="47" t="s">
        <v>40</v>
      </c>
      <c r="AP68" s="47" t="s">
        <v>41</v>
      </c>
      <c r="AQ68" s="47" t="s">
        <v>42</v>
      </c>
      <c r="AR68" s="47" t="s">
        <v>33</v>
      </c>
      <c r="AS68" s="47" t="s">
        <v>34</v>
      </c>
      <c r="AT68" s="47" t="s">
        <v>35</v>
      </c>
      <c r="AU68" s="47" t="s">
        <v>36</v>
      </c>
      <c r="AV68" s="47" t="s">
        <v>37</v>
      </c>
      <c r="AW68" s="47" t="s">
        <v>38</v>
      </c>
      <c r="AX68" s="47" t="s">
        <v>39</v>
      </c>
      <c r="AY68" s="47" t="s">
        <v>40</v>
      </c>
      <c r="AZ68" s="47" t="s">
        <v>41</v>
      </c>
      <c r="BA68" s="47" t="s">
        <v>42</v>
      </c>
    </row>
    <row r="69" spans="1:55" ht="32.1" customHeight="1">
      <c r="A69" s="98"/>
      <c r="B69" s="79" t="str">
        <f>VLOOKUP(878,Sprachindex!$A:$Z,Info!$O$7,FALSE)</f>
        <v>Stk.</v>
      </c>
      <c r="C69" s="78"/>
      <c r="D69" s="83">
        <v>649008</v>
      </c>
      <c r="E69" s="561" t="str">
        <f>VLOOKUP(956,Sprachindex!$A:$Z,Info!$O$7,FALSE)</f>
        <v>Verbinder (verzinkt; für Laufsteg; Breite: 360 mm)</v>
      </c>
      <c r="F69" s="562"/>
      <c r="G69" s="562"/>
      <c r="H69" s="562"/>
      <c r="I69" s="562"/>
      <c r="J69" s="562"/>
      <c r="K69" s="563"/>
      <c r="L69" s="79" t="str">
        <f t="shared" si="14"/>
        <v/>
      </c>
      <c r="M69" s="433" t="str">
        <f t="shared" si="1"/>
        <v>Stk.</v>
      </c>
      <c r="N69" s="80"/>
      <c r="O69" s="202" t="str">
        <f t="shared" si="15"/>
        <v/>
      </c>
      <c r="P69" s="5"/>
      <c r="Q69" s="5"/>
      <c r="R69" s="200">
        <v>53.07</v>
      </c>
      <c r="S69" s="195"/>
      <c r="T69" s="195"/>
      <c r="U69" s="195"/>
      <c r="V69" s="195"/>
      <c r="W69" s="195"/>
      <c r="X69" s="195"/>
      <c r="Y69" s="195"/>
      <c r="Z69" s="195"/>
      <c r="AA69" s="195"/>
      <c r="AB69" s="195"/>
      <c r="AC69" s="149">
        <f>ROUNDUP($A69,0)</f>
        <v>0</v>
      </c>
      <c r="AD69" s="149">
        <f t="shared" si="16"/>
        <v>0</v>
      </c>
      <c r="AH69" s="47" t="s">
        <v>33</v>
      </c>
      <c r="AI69" s="47" t="s">
        <v>34</v>
      </c>
      <c r="AJ69" s="47" t="s">
        <v>35</v>
      </c>
      <c r="AK69" s="47" t="s">
        <v>36</v>
      </c>
      <c r="AL69" s="47" t="s">
        <v>37</v>
      </c>
      <c r="AM69" s="47" t="s">
        <v>38</v>
      </c>
      <c r="AN69" s="47" t="s">
        <v>39</v>
      </c>
      <c r="AO69" s="47" t="s">
        <v>40</v>
      </c>
      <c r="AP69" s="47" t="s">
        <v>41</v>
      </c>
      <c r="AQ69" s="47" t="s">
        <v>42</v>
      </c>
      <c r="AR69" s="47" t="s">
        <v>33</v>
      </c>
      <c r="AS69" s="47" t="s">
        <v>34</v>
      </c>
      <c r="AT69" s="47" t="s">
        <v>35</v>
      </c>
      <c r="AU69" s="47" t="s">
        <v>36</v>
      </c>
      <c r="AV69" s="47" t="s">
        <v>37</v>
      </c>
      <c r="AW69" s="47" t="s">
        <v>38</v>
      </c>
      <c r="AX69" s="47" t="s">
        <v>39</v>
      </c>
      <c r="AY69" s="47" t="s">
        <v>40</v>
      </c>
      <c r="AZ69" s="47" t="s">
        <v>41</v>
      </c>
      <c r="BA69" s="47" t="s">
        <v>42</v>
      </c>
    </row>
    <row r="70" spans="1:55" ht="32.1" customHeight="1">
      <c r="A70" s="98"/>
      <c r="B70" s="79" t="str">
        <f>VLOOKUP(878,Sprachindex!$A:$Z,Info!$O$7,FALSE)</f>
        <v>Stk.</v>
      </c>
      <c r="C70" s="81"/>
      <c r="D70" s="83">
        <v>635661</v>
      </c>
      <c r="E70" s="561" t="str">
        <f>VLOOKUP(277,Sprachindex!$A:$Z,Info!$O$7,FALSE)</f>
        <v>Sicherheitsdachhaken auf Fußteilen</v>
      </c>
      <c r="F70" s="562"/>
      <c r="G70" s="562"/>
      <c r="H70" s="562"/>
      <c r="I70" s="562"/>
      <c r="J70" s="562"/>
      <c r="K70" s="563"/>
      <c r="L70" s="79" t="str">
        <f t="shared" si="14"/>
        <v/>
      </c>
      <c r="M70" s="433" t="str">
        <f t="shared" si="1"/>
        <v>Stk.</v>
      </c>
      <c r="N70" s="80"/>
      <c r="O70" s="202" t="str">
        <f t="shared" si="15"/>
        <v/>
      </c>
      <c r="P70" s="5"/>
      <c r="Q70" s="5"/>
      <c r="R70" s="200">
        <v>119.8</v>
      </c>
      <c r="S70" s="195"/>
      <c r="T70" s="195"/>
      <c r="U70" s="195"/>
      <c r="V70" s="195"/>
      <c r="W70" s="195"/>
      <c r="X70" s="195"/>
      <c r="Y70" s="195"/>
      <c r="Z70" s="195"/>
      <c r="AA70" s="195"/>
      <c r="AB70" s="195"/>
      <c r="AC70" s="149">
        <f>ROUNDUP($A70,0)</f>
        <v>0</v>
      </c>
      <c r="AD70" s="149">
        <f t="shared" si="16"/>
        <v>0</v>
      </c>
    </row>
    <row r="71" spans="1:55" ht="32.1" customHeight="1">
      <c r="A71" s="98"/>
      <c r="B71" s="79" t="str">
        <f>VLOOKUP(878,Sprachindex!$A:$Z,Info!$O$7,FALSE)</f>
        <v>Stk.</v>
      </c>
      <c r="C71" s="81"/>
      <c r="D71" s="78">
        <f>IF($P$21=1,AH71,IF($P$21=4,AI71,IF($P$21=5,AJ71,IF($P$21=11,AK71,IF($P$21=7,AL71,IF($P$21=3,AM71,IF($P$21=6,AN71,IF($P$21=9,AO71,IF($P$21=2,AP71,IF($P$21=8,AQ71,0))))))))))</f>
        <v>0</v>
      </c>
      <c r="E71" s="561" t="str">
        <f>VLOOKUP(822,Sprachindex!$A:$Z,Info!$O$7,FALSE)</f>
        <v>Sicherheitsdachhaken</v>
      </c>
      <c r="F71" s="562"/>
      <c r="G71" s="562"/>
      <c r="H71" s="562"/>
      <c r="I71" s="562"/>
      <c r="J71" s="562"/>
      <c r="K71" s="563"/>
      <c r="L71" s="79" t="str">
        <f t="shared" si="14"/>
        <v/>
      </c>
      <c r="M71" s="433" t="str">
        <f t="shared" si="1"/>
        <v>Stk.</v>
      </c>
      <c r="N71" s="80"/>
      <c r="O71" s="202" t="str">
        <f t="shared" si="15"/>
        <v/>
      </c>
      <c r="P71" s="5"/>
      <c r="Q71" s="5"/>
      <c r="R71" s="200">
        <v>31.53</v>
      </c>
      <c r="S71" s="195"/>
      <c r="T71" s="195"/>
      <c r="U71" s="195"/>
      <c r="V71" s="195"/>
      <c r="W71" s="195"/>
      <c r="X71" s="195"/>
      <c r="Y71" s="195"/>
      <c r="Z71" s="195"/>
      <c r="AA71" s="195"/>
      <c r="AB71" s="195"/>
      <c r="AC71" s="149">
        <f>ROUNDUP($A71/12,0)*12</f>
        <v>0</v>
      </c>
      <c r="AD71" s="149">
        <f t="shared" si="16"/>
        <v>0</v>
      </c>
      <c r="AH71" s="44">
        <v>120000</v>
      </c>
      <c r="AI71" s="44">
        <v>120001</v>
      </c>
      <c r="AJ71" s="44">
        <v>120002</v>
      </c>
      <c r="AK71" s="44">
        <v>120003</v>
      </c>
      <c r="AL71" s="44">
        <v>120004</v>
      </c>
      <c r="AM71" s="44">
        <v>120005</v>
      </c>
      <c r="AN71" s="44">
        <v>120006</v>
      </c>
      <c r="AO71" s="44">
        <v>120007</v>
      </c>
      <c r="AP71" s="44">
        <v>120008</v>
      </c>
      <c r="AQ71" s="44">
        <v>120009</v>
      </c>
    </row>
    <row r="72" spans="1:55" ht="32.1" customHeight="1">
      <c r="A72" s="98"/>
      <c r="B72" s="79" t="str">
        <f>VLOOKUP(878,Sprachindex!$A:$Z,Info!$O$7,FALSE)</f>
        <v>Stk.</v>
      </c>
      <c r="C72" s="81"/>
      <c r="D72" s="78">
        <f>IF($P$21=1,AH72,IF($P$21=4,AI72,IF($P$21=5,AJ72,IF($P$21=11,AK72,IF($P$21=7,AL72,IF($P$21=3,AM72,IF($P$21=6,AN72,IF($P$21=9,AO72,IF($P$21=2,AP72,IF($P$21=8,AQ72,0))))))))))</f>
        <v>0</v>
      </c>
      <c r="E72" s="561" t="str">
        <f>VLOOKUP(327,Sprachindex!$A:$Z,Info!$O$7,FALSE)</f>
        <v>Einfassungsplatte für Dachraute 29 × 29; glatt; ⌀ 80–125 mm</v>
      </c>
      <c r="F72" s="562"/>
      <c r="G72" s="562"/>
      <c r="H72" s="562"/>
      <c r="I72" s="562"/>
      <c r="J72" s="562"/>
      <c r="K72" s="563"/>
      <c r="L72" s="79" t="str">
        <f t="shared" si="14"/>
        <v/>
      </c>
      <c r="M72" s="433" t="str">
        <f t="shared" si="1"/>
        <v>Stk.</v>
      </c>
      <c r="N72" s="80"/>
      <c r="O72" s="202" t="str">
        <f t="shared" si="15"/>
        <v/>
      </c>
      <c r="P72" s="5"/>
      <c r="Q72" s="5"/>
      <c r="R72" s="200">
        <v>115.3</v>
      </c>
      <c r="S72" s="195"/>
      <c r="T72" s="195"/>
      <c r="U72" s="195"/>
      <c r="V72" s="195"/>
      <c r="W72" s="195"/>
      <c r="X72" s="195"/>
      <c r="Y72" s="195"/>
      <c r="Z72" s="195"/>
      <c r="AA72" s="195"/>
      <c r="AB72" s="195"/>
      <c r="AC72" s="149">
        <f>ROUNDUP($A72/10,0)*20</f>
        <v>0</v>
      </c>
      <c r="AD72" s="149">
        <f t="shared" si="16"/>
        <v>0</v>
      </c>
      <c r="AH72" s="470">
        <v>110250</v>
      </c>
      <c r="AI72" s="470">
        <v>110251</v>
      </c>
      <c r="AJ72" s="470">
        <v>110252</v>
      </c>
      <c r="AK72" s="470">
        <v>110253</v>
      </c>
      <c r="AL72" s="470">
        <v>110254</v>
      </c>
      <c r="AM72" s="470">
        <v>110255</v>
      </c>
      <c r="AN72" s="470">
        <v>110256</v>
      </c>
      <c r="AO72" s="470">
        <v>110257</v>
      </c>
      <c r="AP72" s="470">
        <v>110258</v>
      </c>
      <c r="AQ72" s="470">
        <v>110259</v>
      </c>
    </row>
    <row r="73" spans="1:55" ht="32.1" customHeight="1">
      <c r="A73" s="98"/>
      <c r="B73" s="79" t="str">
        <f>VLOOKUP(878,Sprachindex!$A:$Z,Info!$O$7,FALSE)</f>
        <v>Stk.</v>
      </c>
      <c r="C73" s="81"/>
      <c r="D73" s="78">
        <f>IF($P$9=1,BC73,BB73)</f>
        <v>0</v>
      </c>
      <c r="E73" s="561" t="str">
        <f>IF($P$9=1,VLOOKUP(2942,Sprachindex!$A:$Z,Info!$O$7,FALSE),VLOOKUP(1419,Sprachindex!$A:$Z,Info!$O$7,FALSE))</f>
        <v>Einfassungsplatte, zum Einfalzen; glatt</v>
      </c>
      <c r="F73" s="562"/>
      <c r="G73" s="562"/>
      <c r="H73" s="562"/>
      <c r="I73" s="562"/>
      <c r="J73" s="562"/>
      <c r="K73" s="563"/>
      <c r="L73" s="79" t="str">
        <f t="shared" si="14"/>
        <v/>
      </c>
      <c r="M73" s="433" t="str">
        <f t="shared" si="1"/>
        <v>Stk.</v>
      </c>
      <c r="N73" s="80"/>
      <c r="O73" s="202" t="str">
        <f t="shared" si="15"/>
        <v/>
      </c>
      <c r="P73" s="5"/>
      <c r="Q73" s="5"/>
      <c r="R73" s="200">
        <v>112</v>
      </c>
      <c r="S73" s="195"/>
      <c r="T73" s="195"/>
      <c r="U73" s="195"/>
      <c r="V73" s="195"/>
      <c r="W73" s="195"/>
      <c r="X73" s="195"/>
      <c r="Y73" s="195"/>
      <c r="Z73" s="195"/>
      <c r="AA73" s="195"/>
      <c r="AB73" s="195"/>
      <c r="AC73" s="149">
        <f>ROUNDUP($A73/5,0)*5</f>
        <v>0</v>
      </c>
      <c r="AD73" s="149">
        <f t="shared" si="16"/>
        <v>0</v>
      </c>
      <c r="AH73" s="470">
        <v>110230</v>
      </c>
      <c r="AI73" s="470">
        <v>110231</v>
      </c>
      <c r="AJ73" s="470">
        <v>110232</v>
      </c>
      <c r="AK73" s="470">
        <v>110233</v>
      </c>
      <c r="AL73" s="470">
        <v>110234</v>
      </c>
      <c r="AM73" s="470">
        <v>110235</v>
      </c>
      <c r="AN73" s="470">
        <v>110236</v>
      </c>
      <c r="AO73" s="470">
        <v>110237</v>
      </c>
      <c r="AP73" s="470">
        <v>110238</v>
      </c>
      <c r="AQ73" s="470">
        <v>110239</v>
      </c>
      <c r="AR73" s="469">
        <v>112880</v>
      </c>
      <c r="AS73" s="469">
        <v>112881</v>
      </c>
      <c r="AT73" s="469">
        <v>112882</v>
      </c>
      <c r="AU73" s="469">
        <v>112883</v>
      </c>
      <c r="AV73" s="469">
        <v>112884</v>
      </c>
      <c r="AW73" s="469">
        <v>112885</v>
      </c>
      <c r="AX73" s="469">
        <v>112886</v>
      </c>
      <c r="AY73" s="469">
        <v>112887</v>
      </c>
      <c r="AZ73" s="469">
        <v>112888</v>
      </c>
      <c r="BA73" s="469">
        <v>112889</v>
      </c>
      <c r="BB73" s="468">
        <f t="shared" ref="BB73" si="17">IF($P$21=1,AH73,IF($P$21=4,AI73,IF($P$21=5,AJ73,IF($P$21=11,AK73,IF($P$21=7,AL73,IF($P$21=3,AM73,IF($P$21=6,AN73,IF($P$21=9,AO73,IF($P$21=2,AP73,IF($P$21=8,AQ73,0))))))))))</f>
        <v>0</v>
      </c>
      <c r="BC73" s="468">
        <f t="shared" ref="BC73" si="18">IF($P$21=1,AR73,IF($P$21=4,AS73,IF($P$21=5,AT73,IF($P$21=11,AU73,IF($P$21=7,AV73,IF($P$21=3,AW73,IF($P$21=6,AX73,IF($P$21=9,AY73,IF($P$21=2,AZ73,IF($P$21=8,BA73,0))))))))))</f>
        <v>0</v>
      </c>
    </row>
    <row r="74" spans="1:55" ht="32.1" customHeight="1">
      <c r="A74" s="98"/>
      <c r="B74" s="79" t="str">
        <f>VLOOKUP(878,Sprachindex!$A:$Z,Info!$O$7,FALSE)</f>
        <v>Stk.</v>
      </c>
      <c r="C74" s="81"/>
      <c r="D74" s="78">
        <f>IF($P$21=1,AH74,IF($P$21=4,AI74,IF($P$21=5,AJ74,IF($P$21=11,AK74,IF($P$21=7,AL74,IF($P$21=3,AM74,IF($P$21=6,AN74,IF($P$21=9,AO74,IF($P$21=2,AP74,IF($P$21=8,AQ74,0))))))))))</f>
        <v>0</v>
      </c>
      <c r="E74" s="561" t="str">
        <f>VLOOKUP(926,Sprachindex!$A:$Z,Info!$O$7,FALSE)</f>
        <v>Universaleinfassung (2-teilig); glatt; ⌀ 40–120 mm</v>
      </c>
      <c r="F74" s="562"/>
      <c r="G74" s="562"/>
      <c r="H74" s="562"/>
      <c r="I74" s="562"/>
      <c r="J74" s="562"/>
      <c r="K74" s="563"/>
      <c r="L74" s="79" t="str">
        <f t="shared" si="14"/>
        <v/>
      </c>
      <c r="M74" s="433" t="str">
        <f t="shared" si="1"/>
        <v>Stk.</v>
      </c>
      <c r="N74" s="80"/>
      <c r="O74" s="202" t="str">
        <f t="shared" si="15"/>
        <v/>
      </c>
      <c r="P74" s="5"/>
      <c r="Q74" s="5"/>
      <c r="R74" s="200">
        <v>118.6</v>
      </c>
      <c r="S74" s="195"/>
      <c r="T74" s="195"/>
      <c r="U74" s="195"/>
      <c r="V74" s="195"/>
      <c r="W74" s="195"/>
      <c r="X74" s="195"/>
      <c r="Y74" s="195"/>
      <c r="Z74" s="195"/>
      <c r="AA74" s="195"/>
      <c r="AB74" s="195"/>
      <c r="AC74" s="149">
        <f>ROUNDUP($A74,0)</f>
        <v>0</v>
      </c>
      <c r="AD74" s="149">
        <f t="shared" si="16"/>
        <v>0</v>
      </c>
      <c r="AH74" s="44">
        <v>110240</v>
      </c>
      <c r="AI74" s="44">
        <v>110241</v>
      </c>
      <c r="AJ74" s="44">
        <v>110242</v>
      </c>
      <c r="AK74" s="44">
        <v>110243</v>
      </c>
      <c r="AL74" s="44">
        <v>110244</v>
      </c>
      <c r="AM74" s="44">
        <v>110245</v>
      </c>
      <c r="AN74" s="44">
        <v>110246</v>
      </c>
      <c r="AO74" s="44">
        <v>110247</v>
      </c>
      <c r="AP74" s="44">
        <v>110248</v>
      </c>
      <c r="AQ74" s="44">
        <v>110249</v>
      </c>
    </row>
    <row r="75" spans="1:55" ht="32.1" customHeight="1">
      <c r="A75" s="98"/>
      <c r="B75" s="79" t="str">
        <f>VLOOKUP(878,Sprachindex!$A:$Z,Info!$O$7,FALSE)</f>
        <v>Stk.</v>
      </c>
      <c r="C75" s="81"/>
      <c r="D75" s="78">
        <f>IF($P$21=1,AH75,IF($P$21=4,AI75,IF($P$21=5,AJ75,IF($P$21=11,AK75,IF($P$21=7,AL75,IF($P$21=3,AM75,IF($P$21=6,AN75,IF($P$21=9,AO75,IF($P$21=2,AP75,IF($P$21=8,AQ75,0))))))))))</f>
        <v>0</v>
      </c>
      <c r="E75" s="561" t="str">
        <f>VLOOKUP(364,Sprachindex!$A:$Z,Info!$O$7,FALSE)</f>
        <v>Entlüftungshaube (⌀ 100; glatt)</v>
      </c>
      <c r="F75" s="562"/>
      <c r="G75" s="562"/>
      <c r="H75" s="562"/>
      <c r="I75" s="562"/>
      <c r="J75" s="562"/>
      <c r="K75" s="563"/>
      <c r="L75" s="79" t="str">
        <f t="shared" si="14"/>
        <v/>
      </c>
      <c r="M75" s="433" t="str">
        <f t="shared" si="1"/>
        <v>Stk.</v>
      </c>
      <c r="N75" s="80"/>
      <c r="O75" s="202" t="str">
        <f t="shared" si="15"/>
        <v/>
      </c>
      <c r="P75" s="5"/>
      <c r="Q75" s="5"/>
      <c r="R75" s="200">
        <v>186.5</v>
      </c>
      <c r="S75" s="195"/>
      <c r="T75" s="195"/>
      <c r="U75" s="195"/>
      <c r="V75" s="195"/>
      <c r="W75" s="195"/>
      <c r="X75" s="195"/>
      <c r="Y75" s="195"/>
      <c r="Z75" s="195"/>
      <c r="AA75" s="195"/>
      <c r="AB75" s="195"/>
      <c r="AC75" s="149">
        <f>ROUNDUP($A75,0)</f>
        <v>0</v>
      </c>
      <c r="AD75" s="149">
        <f t="shared" si="16"/>
        <v>0</v>
      </c>
      <c r="AH75" s="44">
        <v>110280</v>
      </c>
      <c r="AI75" s="44">
        <v>110281</v>
      </c>
      <c r="AJ75" s="44">
        <v>110282</v>
      </c>
      <c r="AK75" s="44">
        <v>110283</v>
      </c>
      <c r="AL75" s="44">
        <v>110284</v>
      </c>
      <c r="AM75" s="44">
        <v>110285</v>
      </c>
      <c r="AN75" s="44">
        <v>110286</v>
      </c>
      <c r="AO75" s="44">
        <v>110287</v>
      </c>
      <c r="AP75" s="44">
        <v>110288</v>
      </c>
      <c r="AQ75" s="44">
        <v>110289</v>
      </c>
    </row>
    <row r="76" spans="1:55" ht="32.1" customHeight="1">
      <c r="A76" s="98"/>
      <c r="B76" s="79" t="str">
        <f>VLOOKUP(878,Sprachindex!$A:$Z,Info!$O$7,FALSE)</f>
        <v>Stk.</v>
      </c>
      <c r="C76" s="81"/>
      <c r="D76" s="78">
        <f>IF($P$21=1,AH76,IF($P$21=4,AI76,IF($P$21=5,AJ76,IF($P$21=11,AK76,IF($P$21=7,AL76,IF($P$21=3,AM76,IF($P$21=6,AN76,IF($P$21=9,AO76,IF($P$21=2,AP76,IF($P$21=8,AQ76,0))))))))))</f>
        <v>0</v>
      </c>
      <c r="E76" s="561" t="str">
        <f>VLOOKUP(366,Sprachindex!$A:$Z,Info!$O$7,FALSE)</f>
        <v>Entlüftungsrohr (⌀ 100; passend für HT-Rohr [NW 110])</v>
      </c>
      <c r="F76" s="562"/>
      <c r="G76" s="562"/>
      <c r="H76" s="562"/>
      <c r="I76" s="562"/>
      <c r="J76" s="562"/>
      <c r="K76" s="563"/>
      <c r="L76" s="79" t="str">
        <f t="shared" si="14"/>
        <v/>
      </c>
      <c r="M76" s="433" t="str">
        <f t="shared" si="1"/>
        <v>Stk.</v>
      </c>
      <c r="N76" s="80"/>
      <c r="O76" s="202" t="str">
        <f t="shared" si="15"/>
        <v/>
      </c>
      <c r="P76" s="5"/>
      <c r="Q76" s="5"/>
      <c r="R76" s="200">
        <v>76.77</v>
      </c>
      <c r="S76" s="195"/>
      <c r="T76" s="195"/>
      <c r="U76" s="195"/>
      <c r="V76" s="195"/>
      <c r="W76" s="195"/>
      <c r="X76" s="195"/>
      <c r="Y76" s="195"/>
      <c r="Z76" s="195"/>
      <c r="AA76" s="195"/>
      <c r="AB76" s="195"/>
      <c r="AC76" s="149">
        <f>ROUNDUP($A76,0)</f>
        <v>0</v>
      </c>
      <c r="AD76" s="149">
        <f t="shared" si="16"/>
        <v>0</v>
      </c>
      <c r="AH76" s="44">
        <v>110200</v>
      </c>
      <c r="AI76" s="44">
        <v>110201</v>
      </c>
      <c r="AJ76" s="44">
        <v>110202</v>
      </c>
      <c r="AK76" s="44">
        <v>110203</v>
      </c>
      <c r="AL76" s="44">
        <v>110204</v>
      </c>
      <c r="AM76" s="44">
        <v>110205</v>
      </c>
      <c r="AN76" s="44">
        <v>110206</v>
      </c>
      <c r="AO76" s="44">
        <v>110207</v>
      </c>
      <c r="AP76" s="44">
        <v>110208</v>
      </c>
      <c r="AQ76" s="44">
        <v>121015</v>
      </c>
    </row>
    <row r="77" spans="1:55" ht="32.1" customHeight="1">
      <c r="A77" s="98"/>
      <c r="B77" s="79" t="str">
        <f>VLOOKUP(878,Sprachindex!$A:$Z,Info!$O$7,FALSE)</f>
        <v>Stk.</v>
      </c>
      <c r="C77" s="81"/>
      <c r="D77" s="78">
        <f>IF($P$21=1,AH77,IF($P$21=4,AI77,IF($P$21=5,AJ77,IF($P$21=11,AK77,IF($P$21=7,AL77,IF($P$21=3,AM77,IF($P$21=6,AN77,IF($P$21=9,AO77,IF($P$21=2,AP77,IF($P$21=8,AQ77,0))))))))))</f>
        <v>0</v>
      </c>
      <c r="E77" s="561" t="str">
        <f>VLOOKUP(368,Sprachindex!$A:$Z,Info!$O$7,FALSE)</f>
        <v>Entlüftungsrohr (⌀ 120; passend für HT-Rohr [NW 125])</v>
      </c>
      <c r="F77" s="562"/>
      <c r="G77" s="562"/>
      <c r="H77" s="562"/>
      <c r="I77" s="562"/>
      <c r="J77" s="562"/>
      <c r="K77" s="563"/>
      <c r="L77" s="79" t="str">
        <f t="shared" si="14"/>
        <v/>
      </c>
      <c r="M77" s="433" t="str">
        <f t="shared" si="1"/>
        <v>Stk.</v>
      </c>
      <c r="N77" s="80"/>
      <c r="O77" s="202" t="str">
        <f t="shared" si="15"/>
        <v/>
      </c>
      <c r="P77" s="5"/>
      <c r="Q77" s="5"/>
      <c r="R77" s="200">
        <v>81.41</v>
      </c>
      <c r="S77" s="195"/>
      <c r="T77" s="195"/>
      <c r="U77" s="195"/>
      <c r="V77" s="195"/>
      <c r="W77" s="195"/>
      <c r="X77" s="195"/>
      <c r="Y77" s="195"/>
      <c r="Z77" s="195"/>
      <c r="AA77" s="195"/>
      <c r="AB77" s="195"/>
      <c r="AC77" s="149">
        <f>ROUNDUP($A77,0)</f>
        <v>0</v>
      </c>
      <c r="AD77" s="149">
        <f t="shared" si="16"/>
        <v>0</v>
      </c>
      <c r="AH77" s="44">
        <v>110210</v>
      </c>
      <c r="AI77" s="44">
        <v>110211</v>
      </c>
      <c r="AJ77" s="44">
        <v>110212</v>
      </c>
      <c r="AK77" s="44">
        <v>110213</v>
      </c>
      <c r="AL77" s="44">
        <v>110214</v>
      </c>
      <c r="AM77" s="44">
        <v>110215</v>
      </c>
      <c r="AN77" s="44">
        <v>110216</v>
      </c>
      <c r="AO77" s="44">
        <v>110217</v>
      </c>
      <c r="AP77" s="44">
        <v>110218</v>
      </c>
      <c r="AQ77" s="44">
        <v>121025</v>
      </c>
    </row>
    <row r="78" spans="1:55" ht="32.1" customHeight="1">
      <c r="A78" s="98"/>
      <c r="B78" s="79" t="str">
        <f>VLOOKUP(878,Sprachindex!$A:$Z,Info!$O$7,FALSE)</f>
        <v>Stk.</v>
      </c>
      <c r="C78" s="81"/>
      <c r="D78" s="83">
        <v>340943</v>
      </c>
      <c r="E78" s="561" t="str">
        <f>VLOOKUP(379,Sprachindex!$A:$Z,Info!$O$7,FALSE)</f>
        <v>Faltmanschette (Ø 100–130)</v>
      </c>
      <c r="F78" s="562"/>
      <c r="G78" s="562"/>
      <c r="H78" s="562"/>
      <c r="I78" s="562"/>
      <c r="J78" s="562"/>
      <c r="K78" s="563"/>
      <c r="L78" s="79" t="str">
        <f t="shared" si="14"/>
        <v/>
      </c>
      <c r="M78" s="433" t="str">
        <f t="shared" si="1"/>
        <v>Stk.</v>
      </c>
      <c r="N78" s="80"/>
      <c r="O78" s="202" t="str">
        <f t="shared" si="15"/>
        <v/>
      </c>
      <c r="P78" s="5"/>
      <c r="Q78" s="5"/>
      <c r="R78" s="200">
        <v>37.729999999999997</v>
      </c>
      <c r="S78" s="195"/>
      <c r="T78" s="195"/>
      <c r="U78" s="195"/>
      <c r="V78" s="195"/>
      <c r="W78" s="195"/>
      <c r="X78" s="195"/>
      <c r="Y78" s="195"/>
      <c r="Z78" s="195"/>
      <c r="AA78" s="195"/>
      <c r="AB78" s="195"/>
      <c r="AC78" s="149">
        <f>ROUNDUP($A78,0)</f>
        <v>0</v>
      </c>
      <c r="AD78" s="149">
        <f t="shared" si="16"/>
        <v>0</v>
      </c>
      <c r="AH78" s="47" t="s">
        <v>33</v>
      </c>
      <c r="AI78" s="47" t="s">
        <v>34</v>
      </c>
      <c r="AJ78" s="47" t="s">
        <v>35</v>
      </c>
      <c r="AK78" s="47" t="s">
        <v>36</v>
      </c>
      <c r="AL78" s="47" t="s">
        <v>37</v>
      </c>
      <c r="AM78" s="47" t="s">
        <v>38</v>
      </c>
      <c r="AN78" s="47" t="s">
        <v>39</v>
      </c>
      <c r="AO78" s="47" t="s">
        <v>40</v>
      </c>
      <c r="AP78" s="47" t="s">
        <v>41</v>
      </c>
      <c r="AQ78" s="47" t="s">
        <v>42</v>
      </c>
      <c r="AR78" s="47" t="s">
        <v>33</v>
      </c>
      <c r="AS78" s="47" t="s">
        <v>34</v>
      </c>
      <c r="AT78" s="47" t="s">
        <v>35</v>
      </c>
      <c r="AU78" s="47" t="s">
        <v>36</v>
      </c>
      <c r="AV78" s="47" t="s">
        <v>37</v>
      </c>
      <c r="AW78" s="47" t="s">
        <v>38</v>
      </c>
      <c r="AX78" s="47" t="s">
        <v>39</v>
      </c>
      <c r="AY78" s="47" t="s">
        <v>40</v>
      </c>
      <c r="AZ78" s="47" t="s">
        <v>41</v>
      </c>
      <c r="BA78" s="47" t="s">
        <v>42</v>
      </c>
    </row>
    <row r="79" spans="1:55" ht="32.1" customHeight="1">
      <c r="A79" s="98"/>
      <c r="B79" s="79" t="str">
        <f>VLOOKUP(878,Sprachindex!$A:$Z,Info!$O$7,FALSE)</f>
        <v>Stk.</v>
      </c>
      <c r="C79" s="81"/>
      <c r="D79" s="78">
        <f t="shared" ref="D79" si="19">IF($P$9=1,BC79,BB79)</f>
        <v>0</v>
      </c>
      <c r="E79" s="561" t="str">
        <f>IF($P$9=1,VLOOKUP(936,Sprachindex!$A:$Z,Info!$O$7,FALSE),VLOOKUP(2943,Sprachindex!$A:$Z,Info!$O$7,FALSE))</f>
        <v>Unterlagsplatte (540 × 125 mm [Länge × Breite]; glatt)</v>
      </c>
      <c r="F79" s="562"/>
      <c r="G79" s="562"/>
      <c r="H79" s="562"/>
      <c r="I79" s="562"/>
      <c r="J79" s="562"/>
      <c r="K79" s="563"/>
      <c r="L79" s="79" t="str">
        <f t="shared" si="14"/>
        <v/>
      </c>
      <c r="M79" s="433" t="str">
        <f t="shared" si="1"/>
        <v>Stk.</v>
      </c>
      <c r="N79" s="80"/>
      <c r="O79" s="202" t="str">
        <f t="shared" si="15"/>
        <v/>
      </c>
      <c r="P79" s="5"/>
      <c r="Q79" s="5"/>
      <c r="R79" s="200">
        <v>10.72</v>
      </c>
      <c r="S79" s="195"/>
      <c r="T79" s="195"/>
      <c r="U79" s="195"/>
      <c r="V79" s="195"/>
      <c r="W79" s="195"/>
      <c r="X79" s="195"/>
      <c r="Y79" s="195"/>
      <c r="Z79" s="195"/>
      <c r="AA79" s="195"/>
      <c r="AB79" s="195"/>
      <c r="AC79" s="149">
        <f>ROUNDUP($A79/15,0)*15</f>
        <v>0</v>
      </c>
      <c r="AD79" s="149">
        <f t="shared" si="16"/>
        <v>0</v>
      </c>
      <c r="AH79" s="470">
        <v>110360</v>
      </c>
      <c r="AI79" s="470">
        <v>110361</v>
      </c>
      <c r="AJ79" s="470">
        <v>110362</v>
      </c>
      <c r="AK79" s="470">
        <v>110363</v>
      </c>
      <c r="AL79" s="470">
        <v>110364</v>
      </c>
      <c r="AM79" s="470">
        <v>110365</v>
      </c>
      <c r="AN79" s="470">
        <v>110366</v>
      </c>
      <c r="AO79" s="470">
        <v>110367</v>
      </c>
      <c r="AP79" s="470">
        <v>110368</v>
      </c>
      <c r="AQ79" s="470"/>
      <c r="AR79" s="469">
        <v>110370</v>
      </c>
      <c r="AS79" s="469">
        <v>110371</v>
      </c>
      <c r="AT79" s="469">
        <v>110372</v>
      </c>
      <c r="AU79" s="469">
        <v>110373</v>
      </c>
      <c r="AV79" s="469">
        <v>110374</v>
      </c>
      <c r="AW79" s="469">
        <v>110375</v>
      </c>
      <c r="AX79" s="469">
        <v>110376</v>
      </c>
      <c r="AY79" s="469">
        <v>110377</v>
      </c>
      <c r="AZ79" s="469">
        <v>110378</v>
      </c>
      <c r="BA79" s="469">
        <v>110379</v>
      </c>
      <c r="BB79" s="468">
        <f t="shared" ref="BB79" si="20">IF($P$21=1,AH79,IF($P$21=4,AI79,IF($P$21=5,AJ79,IF($P$21=11,AK79,IF($P$21=7,AL79,IF($P$21=3,AM79,IF($P$21=6,AN79,IF($P$21=9,AO79,IF($P$21=2,AP79,IF($P$21=8,AQ79,0))))))))))</f>
        <v>0</v>
      </c>
      <c r="BC79" s="468">
        <f t="shared" ref="BC79" si="21">IF($P$21=1,AR79,IF($P$21=4,AS79,IF($P$21=5,AT79,IF($P$21=11,AU79,IF($P$21=7,AV79,IF($P$21=3,AW79,IF($P$21=6,AX79,IF($P$21=9,AY79,IF($P$21=2,AZ79,IF($P$21=8,BA79,0))))))))))</f>
        <v>0</v>
      </c>
    </row>
    <row r="80" spans="1:55" ht="32.1" customHeight="1">
      <c r="A80" s="98"/>
      <c r="B80" s="79" t="str">
        <f>VLOOKUP(878,Sprachindex!$A:$Z,Info!$O$7,FALSE)</f>
        <v>Stk.</v>
      </c>
      <c r="C80" s="81"/>
      <c r="D80" s="78">
        <f t="shared" ref="D80:D95" si="22">IF($P$21=1,AH80,IF($P$21=4,AI80,IF($P$21=5,AJ80,IF($P$21=11,AK80,IF($P$21=7,AL80,IF($P$21=3,AM80,IF($P$21=6,AN80,IF($P$21=9,AO80,IF($P$21=2,AP80,IF($P$21=8,AQ80,0))))))))))</f>
        <v>0</v>
      </c>
      <c r="E80" s="561" t="str">
        <f>VLOOKUP(800,Sprachindex!$A:$Z,Info!$O$7,FALSE)</f>
        <v>Schneestopper für Dachraute 29 × 29</v>
      </c>
      <c r="F80" s="562"/>
      <c r="G80" s="562"/>
      <c r="H80" s="562"/>
      <c r="I80" s="562"/>
      <c r="J80" s="562"/>
      <c r="K80" s="563"/>
      <c r="L80" s="79" t="str">
        <f t="shared" si="14"/>
        <v/>
      </c>
      <c r="M80" s="433" t="str">
        <f t="shared" si="1"/>
        <v>Stk.</v>
      </c>
      <c r="N80" s="80"/>
      <c r="O80" s="202" t="str">
        <f t="shared" si="15"/>
        <v/>
      </c>
      <c r="P80" s="5"/>
      <c r="Q80" s="5"/>
      <c r="R80" s="200">
        <v>1.74</v>
      </c>
      <c r="S80" s="195"/>
      <c r="T80" s="195"/>
      <c r="U80" s="195"/>
      <c r="V80" s="195"/>
      <c r="W80" s="195"/>
      <c r="X80" s="195"/>
      <c r="Y80" s="195"/>
      <c r="Z80" s="195"/>
      <c r="AA80" s="195"/>
      <c r="AB80" s="195"/>
      <c r="AC80" s="149">
        <f>ROUNDUP($A80/100,0)*100</f>
        <v>0</v>
      </c>
      <c r="AD80" s="149">
        <f t="shared" si="16"/>
        <v>0</v>
      </c>
      <c r="AH80" s="44">
        <v>110300</v>
      </c>
      <c r="AI80" s="44">
        <v>110301</v>
      </c>
      <c r="AJ80" s="44">
        <v>110302</v>
      </c>
      <c r="AK80" s="44">
        <v>110303</v>
      </c>
      <c r="AL80" s="44">
        <v>110304</v>
      </c>
      <c r="AM80" s="44">
        <v>110305</v>
      </c>
      <c r="AN80" s="44">
        <v>110306</v>
      </c>
      <c r="AO80" s="44">
        <v>110307</v>
      </c>
      <c r="AP80" s="44">
        <v>110308</v>
      </c>
      <c r="AQ80" s="44">
        <v>110309</v>
      </c>
    </row>
    <row r="81" spans="1:43" ht="32.1" customHeight="1">
      <c r="A81" s="98"/>
      <c r="B81" s="79" t="str">
        <f>VLOOKUP(878,Sprachindex!$A:$Z,Info!$O$7,FALSE)</f>
        <v>Stk.</v>
      </c>
      <c r="C81" s="81"/>
      <c r="D81" s="78">
        <f t="shared" si="22"/>
        <v>0</v>
      </c>
      <c r="E81" s="561" t="str">
        <f>VLOOKUP(2190,Sprachindex!$A:$Z,Info!$O$7,FALSE)</f>
        <v>Haken für Schneerechensystem, inkl. Befestigungsmaterial</v>
      </c>
      <c r="F81" s="562"/>
      <c r="G81" s="562"/>
      <c r="H81" s="562"/>
      <c r="I81" s="562"/>
      <c r="J81" s="562"/>
      <c r="K81" s="563"/>
      <c r="L81" s="79" t="str">
        <f t="shared" si="14"/>
        <v/>
      </c>
      <c r="M81" s="433" t="str">
        <f t="shared" si="1"/>
        <v>Stk.</v>
      </c>
      <c r="N81" s="80"/>
      <c r="O81" s="202" t="str">
        <f t="shared" si="15"/>
        <v/>
      </c>
      <c r="P81" s="5"/>
      <c r="Q81" s="5"/>
      <c r="R81" s="200">
        <v>55.82</v>
      </c>
      <c r="S81" s="195"/>
      <c r="T81" s="195"/>
      <c r="U81" s="195"/>
      <c r="V81" s="195"/>
      <c r="W81" s="195"/>
      <c r="X81" s="195"/>
      <c r="Y81" s="195"/>
      <c r="Z81" s="195"/>
      <c r="AA81" s="195"/>
      <c r="AB81" s="195"/>
      <c r="AC81" s="149">
        <f>ROUNDUP($A81/10,0)*10</f>
        <v>0</v>
      </c>
      <c r="AD81" s="149">
        <f t="shared" si="16"/>
        <v>0</v>
      </c>
      <c r="AH81" s="44">
        <v>120180</v>
      </c>
      <c r="AI81" s="44">
        <v>120181</v>
      </c>
      <c r="AJ81" s="44">
        <v>120182</v>
      </c>
      <c r="AK81" s="44">
        <v>120183</v>
      </c>
      <c r="AL81" s="44">
        <v>120184</v>
      </c>
      <c r="AM81" s="44">
        <v>120185</v>
      </c>
      <c r="AN81" s="44">
        <v>120186</v>
      </c>
      <c r="AO81" s="44">
        <v>120187</v>
      </c>
      <c r="AP81" s="44">
        <v>120188</v>
      </c>
      <c r="AQ81" s="44">
        <v>120189</v>
      </c>
    </row>
    <row r="82" spans="1:43" ht="32.1" customHeight="1">
      <c r="A82" s="98"/>
      <c r="B82" s="79" t="str">
        <f>VLOOKUP(878,Sprachindex!$A:$Z,Info!$O$7,FALSE)</f>
        <v>Stk.</v>
      </c>
      <c r="C82" s="81"/>
      <c r="D82" s="78">
        <v>515396</v>
      </c>
      <c r="E82" s="561" t="str">
        <f>VLOOKUP(2191,Sprachindex!$A:$Z,Info!$O$7,FALSE)</f>
        <v>Haken für Schneerechensystem XL, inkl. Befestigungsmaterial</v>
      </c>
      <c r="F82" s="562"/>
      <c r="G82" s="562"/>
      <c r="H82" s="562"/>
      <c r="I82" s="562"/>
      <c r="J82" s="562"/>
      <c r="K82" s="563"/>
      <c r="L82" s="79" t="str">
        <f t="shared" si="14"/>
        <v/>
      </c>
      <c r="M82" s="433" t="str">
        <f t="shared" si="1"/>
        <v>Stk.</v>
      </c>
      <c r="N82" s="80"/>
      <c r="O82" s="202" t="str">
        <f t="shared" si="15"/>
        <v/>
      </c>
      <c r="P82" s="5"/>
      <c r="Q82" s="5"/>
      <c r="R82" s="200">
        <v>97.9</v>
      </c>
      <c r="S82" s="195"/>
      <c r="T82" s="195"/>
      <c r="U82" s="195"/>
      <c r="V82" s="195"/>
      <c r="W82" s="195"/>
      <c r="X82" s="195"/>
      <c r="Y82" s="195"/>
      <c r="Z82" s="195"/>
      <c r="AA82" s="195"/>
      <c r="AB82" s="195"/>
      <c r="AC82" s="149">
        <f>ROUNDUP($A82/18,0)*18</f>
        <v>0</v>
      </c>
      <c r="AD82" s="149">
        <f t="shared" si="16"/>
        <v>0</v>
      </c>
      <c r="AE82" s="145"/>
      <c r="AH82" s="44"/>
      <c r="AI82" s="44"/>
      <c r="AJ82" s="44"/>
      <c r="AK82" s="44"/>
      <c r="AL82" s="44"/>
      <c r="AM82" s="44"/>
      <c r="AN82" s="44"/>
      <c r="AO82" s="44"/>
      <c r="AP82" s="44"/>
      <c r="AQ82" s="44"/>
    </row>
    <row r="83" spans="1:43" ht="32.1" customHeight="1">
      <c r="A83" s="98"/>
      <c r="B83" s="79" t="str">
        <f>VLOOKUP(1512,Sprachindex!$A:$Z,Info!$O$7,FALSE)</f>
        <v>lfm</v>
      </c>
      <c r="C83" s="81"/>
      <c r="D83" s="78">
        <f t="shared" si="22"/>
        <v>0</v>
      </c>
      <c r="E83" s="561" t="str">
        <f>VLOOKUP(793,Sprachindex!$A:$Z,Info!$O$7,FALSE)</f>
        <v>Einlegeprofil (3.000 mm)</v>
      </c>
      <c r="F83" s="562"/>
      <c r="G83" s="562"/>
      <c r="H83" s="562"/>
      <c r="I83" s="562"/>
      <c r="J83" s="562"/>
      <c r="K83" s="563"/>
      <c r="L83" s="79" t="str">
        <f t="shared" si="14"/>
        <v/>
      </c>
      <c r="M83" s="433" t="str">
        <f t="shared" si="1"/>
        <v>lfm</v>
      </c>
      <c r="N83" s="80"/>
      <c r="O83" s="202" t="str">
        <f t="shared" si="15"/>
        <v/>
      </c>
      <c r="P83" s="5"/>
      <c r="Q83" s="5"/>
      <c r="R83" s="200">
        <v>10.71</v>
      </c>
      <c r="S83" s="195"/>
      <c r="T83" s="195"/>
      <c r="U83" s="195"/>
      <c r="V83" s="195"/>
      <c r="W83" s="195"/>
      <c r="X83" s="195"/>
      <c r="Y83" s="195"/>
      <c r="Z83" s="195"/>
      <c r="AA83" s="195"/>
      <c r="AB83" s="195"/>
      <c r="AC83" s="149">
        <f>ROUNDUP($A83/3,0)*3</f>
        <v>0</v>
      </c>
      <c r="AD83" s="149">
        <f>ROUNDUP($A83/3,0)*3</f>
        <v>0</v>
      </c>
      <c r="AH83" s="44">
        <v>120350</v>
      </c>
      <c r="AI83" s="44">
        <v>120351</v>
      </c>
      <c r="AJ83" s="44">
        <v>120352</v>
      </c>
      <c r="AK83" s="44">
        <v>120353</v>
      </c>
      <c r="AL83" s="44">
        <v>120354</v>
      </c>
      <c r="AM83" s="44">
        <v>120355</v>
      </c>
      <c r="AN83" s="44">
        <v>120356</v>
      </c>
      <c r="AO83" s="44">
        <v>120357</v>
      </c>
      <c r="AP83" s="44">
        <v>120358</v>
      </c>
      <c r="AQ83" s="44">
        <v>120359</v>
      </c>
    </row>
    <row r="84" spans="1:43" ht="32.1" customHeight="1">
      <c r="A84" s="98"/>
      <c r="B84" s="79" t="str">
        <f>VLOOKUP(878,Sprachindex!$A:$Z,Info!$O$7,FALSE)</f>
        <v>Stk.</v>
      </c>
      <c r="C84" s="81"/>
      <c r="D84" s="78">
        <f t="shared" si="22"/>
        <v>0</v>
      </c>
      <c r="E84" s="561" t="str">
        <f>VLOOKUP(794,Sprachindex!$A:$Z,Info!$O$7,FALSE)</f>
        <v>Eiskralle</v>
      </c>
      <c r="F84" s="562"/>
      <c r="G84" s="562"/>
      <c r="H84" s="562"/>
      <c r="I84" s="562"/>
      <c r="J84" s="562"/>
      <c r="K84" s="563"/>
      <c r="L84" s="79" t="str">
        <f t="shared" si="14"/>
        <v/>
      </c>
      <c r="M84" s="433" t="str">
        <f t="shared" si="1"/>
        <v>Stk.</v>
      </c>
      <c r="N84" s="80"/>
      <c r="O84" s="202" t="str">
        <f t="shared" si="15"/>
        <v/>
      </c>
      <c r="P84" s="5"/>
      <c r="Q84" s="5"/>
      <c r="R84" s="200">
        <v>4.6399999999999997</v>
      </c>
      <c r="S84" s="195"/>
      <c r="T84" s="195"/>
      <c r="U84" s="195"/>
      <c r="V84" s="195"/>
      <c r="W84" s="195"/>
      <c r="X84" s="195"/>
      <c r="Y84" s="195"/>
      <c r="Z84" s="195"/>
      <c r="AA84" s="195"/>
      <c r="AB84" s="195"/>
      <c r="AC84" s="149">
        <f>ROUNDUP($A84/100,0)*100</f>
        <v>0</v>
      </c>
      <c r="AD84" s="149">
        <f t="shared" ref="AD84:AD93" si="23">ROUNDUP($A84,0)</f>
        <v>0</v>
      </c>
      <c r="AH84" s="44">
        <v>120700</v>
      </c>
      <c r="AI84" s="44">
        <v>120701</v>
      </c>
      <c r="AJ84" s="44">
        <v>120702</v>
      </c>
      <c r="AK84" s="44">
        <v>120703</v>
      </c>
      <c r="AL84" s="44">
        <v>120704</v>
      </c>
      <c r="AM84" s="44">
        <v>120705</v>
      </c>
      <c r="AN84" s="44">
        <v>120706</v>
      </c>
      <c r="AO84" s="44">
        <v>120707</v>
      </c>
      <c r="AP84" s="44">
        <v>120708</v>
      </c>
      <c r="AQ84" s="44">
        <v>120709</v>
      </c>
    </row>
    <row r="85" spans="1:43" ht="32.1" customHeight="1">
      <c r="A85" s="98"/>
      <c r="B85" s="79" t="str">
        <f>VLOOKUP(878,Sprachindex!$A:$Z,Info!$O$7,FALSE)</f>
        <v>Stk.</v>
      </c>
      <c r="C85" s="81"/>
      <c r="D85" s="78">
        <f t="shared" si="22"/>
        <v>0</v>
      </c>
      <c r="E85" s="561" t="str">
        <f>VLOOKUP(791,Sprachindex!$A:$Z,Info!$O$7,FALSE)</f>
        <v>Abschluss für Schneerechensystem</v>
      </c>
      <c r="F85" s="562"/>
      <c r="G85" s="562"/>
      <c r="H85" s="562"/>
      <c r="I85" s="562"/>
      <c r="J85" s="562"/>
      <c r="K85" s="563"/>
      <c r="L85" s="79" t="str">
        <f t="shared" si="14"/>
        <v/>
      </c>
      <c r="M85" s="433" t="str">
        <f t="shared" si="1"/>
        <v>Stk.</v>
      </c>
      <c r="N85" s="80"/>
      <c r="O85" s="202" t="str">
        <f t="shared" si="15"/>
        <v/>
      </c>
      <c r="P85" s="5"/>
      <c r="Q85" s="5"/>
      <c r="R85" s="200">
        <v>6.33</v>
      </c>
      <c r="S85" s="195"/>
      <c r="T85" s="195"/>
      <c r="U85" s="195"/>
      <c r="V85" s="195"/>
      <c r="W85" s="195"/>
      <c r="X85" s="195"/>
      <c r="Y85" s="195"/>
      <c r="Z85" s="195"/>
      <c r="AA85" s="195"/>
      <c r="AB85" s="195"/>
      <c r="AC85" s="149">
        <f>ROUNDUP($A85/2,0)*2</f>
        <v>0</v>
      </c>
      <c r="AD85" s="149">
        <f t="shared" si="23"/>
        <v>0</v>
      </c>
      <c r="AH85" s="44">
        <v>120390</v>
      </c>
      <c r="AI85" s="44">
        <v>120391</v>
      </c>
      <c r="AJ85" s="44">
        <v>120392</v>
      </c>
      <c r="AK85" s="44">
        <v>120393</v>
      </c>
      <c r="AL85" s="44">
        <v>120394</v>
      </c>
      <c r="AM85" s="44">
        <v>120395</v>
      </c>
      <c r="AN85" s="44">
        <v>120396</v>
      </c>
      <c r="AO85" s="44">
        <v>120397</v>
      </c>
      <c r="AP85" s="44">
        <v>120398</v>
      </c>
      <c r="AQ85" s="44">
        <v>120399</v>
      </c>
    </row>
    <row r="86" spans="1:43" ht="32.1" customHeight="1">
      <c r="A86" s="98"/>
      <c r="B86" s="79" t="str">
        <f>VLOOKUP(878,Sprachindex!$A:$Z,Info!$O$7,FALSE)</f>
        <v>Stk.</v>
      </c>
      <c r="C86" s="81"/>
      <c r="D86" s="78">
        <v>515395</v>
      </c>
      <c r="E86" s="561" t="str">
        <f>VLOOKUP(2192,Sprachindex!$A:$Z,Info!$O$7,FALSE)</f>
        <v>Abschluss für Schneerechensystem XL</v>
      </c>
      <c r="F86" s="562"/>
      <c r="G86" s="562"/>
      <c r="H86" s="562"/>
      <c r="I86" s="562"/>
      <c r="J86" s="562"/>
      <c r="K86" s="563"/>
      <c r="L86" s="79" t="str">
        <f t="shared" si="14"/>
        <v/>
      </c>
      <c r="M86" s="433" t="str">
        <f t="shared" si="1"/>
        <v>Stk.</v>
      </c>
      <c r="N86" s="80"/>
      <c r="O86" s="202" t="str">
        <f t="shared" si="15"/>
        <v/>
      </c>
      <c r="P86" s="5"/>
      <c r="Q86" s="5"/>
      <c r="R86" s="200">
        <v>8.3000000000000007</v>
      </c>
      <c r="S86" s="195"/>
      <c r="T86" s="195"/>
      <c r="U86" s="195"/>
      <c r="V86" s="195"/>
      <c r="W86" s="195"/>
      <c r="X86" s="195"/>
      <c r="Y86" s="195"/>
      <c r="Z86" s="195"/>
      <c r="AA86" s="195"/>
      <c r="AB86" s="195"/>
      <c r="AC86" s="149">
        <f>ROUNDUP($A86/18,0)*18</f>
        <v>0</v>
      </c>
      <c r="AD86" s="149">
        <f t="shared" si="23"/>
        <v>0</v>
      </c>
      <c r="AE86" s="145"/>
      <c r="AH86" s="44"/>
      <c r="AI86" s="44"/>
      <c r="AJ86" s="44"/>
      <c r="AK86" s="44"/>
      <c r="AL86" s="44"/>
      <c r="AM86" s="44"/>
      <c r="AN86" s="44"/>
      <c r="AO86" s="44"/>
      <c r="AP86" s="44"/>
      <c r="AQ86" s="44"/>
    </row>
    <row r="87" spans="1:43" ht="32.1" customHeight="1">
      <c r="A87" s="98"/>
      <c r="B87" s="79" t="str">
        <f>VLOOKUP(878,Sprachindex!$A:$Z,Info!$O$7,FALSE)</f>
        <v>Stk.</v>
      </c>
      <c r="C87" s="81"/>
      <c r="D87" s="78">
        <f t="shared" si="22"/>
        <v>0</v>
      </c>
      <c r="E87" s="561" t="str">
        <f>VLOOKUP(424,Sprachindex!$A:$Z,Info!$O$7,FALSE)</f>
        <v>Gebirgsschneefangstütze</v>
      </c>
      <c r="F87" s="562"/>
      <c r="G87" s="562"/>
      <c r="H87" s="562"/>
      <c r="I87" s="562"/>
      <c r="J87" s="562"/>
      <c r="K87" s="563"/>
      <c r="L87" s="79" t="str">
        <f t="shared" si="14"/>
        <v/>
      </c>
      <c r="M87" s="433" t="str">
        <f t="shared" si="1"/>
        <v>Stk.</v>
      </c>
      <c r="N87" s="80"/>
      <c r="O87" s="202" t="str">
        <f t="shared" si="15"/>
        <v/>
      </c>
      <c r="P87" s="5"/>
      <c r="Q87" s="5"/>
      <c r="R87" s="200">
        <v>55.82</v>
      </c>
      <c r="S87" s="195"/>
      <c r="T87" s="195"/>
      <c r="U87" s="195"/>
      <c r="V87" s="195"/>
      <c r="W87" s="195"/>
      <c r="X87" s="195"/>
      <c r="Y87" s="195"/>
      <c r="Z87" s="195"/>
      <c r="AA87" s="195"/>
      <c r="AB87" s="195"/>
      <c r="AC87" s="149">
        <f>ROUNDUP($A87/2,0)*2</f>
        <v>0</v>
      </c>
      <c r="AD87" s="149">
        <f t="shared" si="23"/>
        <v>0</v>
      </c>
      <c r="AH87" s="44">
        <v>120150</v>
      </c>
      <c r="AI87" s="44">
        <v>120151</v>
      </c>
      <c r="AJ87" s="44">
        <v>120152</v>
      </c>
      <c r="AK87" s="44">
        <v>120153</v>
      </c>
      <c r="AL87" s="44">
        <v>120154</v>
      </c>
      <c r="AM87" s="44">
        <v>120155</v>
      </c>
      <c r="AN87" s="44">
        <v>120156</v>
      </c>
      <c r="AO87" s="44">
        <v>120157</v>
      </c>
      <c r="AP87" s="44">
        <v>120158</v>
      </c>
      <c r="AQ87" s="44">
        <v>120159</v>
      </c>
    </row>
    <row r="88" spans="1:43" ht="32.1" customHeight="1">
      <c r="A88" s="98"/>
      <c r="B88" s="79" t="str">
        <f>VLOOKUP(878,Sprachindex!$A:$Z,Info!$O$7,FALSE)</f>
        <v>Stk.</v>
      </c>
      <c r="C88" s="81"/>
      <c r="D88" s="78">
        <f t="shared" si="22"/>
        <v>0</v>
      </c>
      <c r="E88" s="561" t="str">
        <f>VLOOKUP(510,Sprachindex!$A:$Z,Info!$O$7,FALSE)</f>
        <v>Kaminhut (700 × 700 mm)</v>
      </c>
      <c r="F88" s="562"/>
      <c r="G88" s="562"/>
      <c r="H88" s="562"/>
      <c r="I88" s="562"/>
      <c r="J88" s="562"/>
      <c r="K88" s="563"/>
      <c r="L88" s="79" t="str">
        <f t="shared" si="14"/>
        <v/>
      </c>
      <c r="M88" s="433" t="str">
        <f t="shared" si="1"/>
        <v>Stk.</v>
      </c>
      <c r="N88" s="80"/>
      <c r="O88" s="202" t="str">
        <f t="shared" si="15"/>
        <v/>
      </c>
      <c r="P88" s="5"/>
      <c r="Q88" s="5"/>
      <c r="R88" s="200">
        <v>152.69999999999999</v>
      </c>
      <c r="S88" s="195"/>
      <c r="T88" s="195"/>
      <c r="U88" s="195"/>
      <c r="V88" s="195"/>
      <c r="W88" s="195"/>
      <c r="X88" s="195"/>
      <c r="Y88" s="195"/>
      <c r="Z88" s="195"/>
      <c r="AA88" s="195"/>
      <c r="AB88" s="195"/>
      <c r="AC88" s="149">
        <f>ROUNDUP($A88,0)</f>
        <v>0</v>
      </c>
      <c r="AD88" s="149">
        <f t="shared" si="23"/>
        <v>0</v>
      </c>
      <c r="AH88" s="44">
        <v>110420</v>
      </c>
      <c r="AI88" s="44">
        <v>110421</v>
      </c>
      <c r="AJ88" s="44">
        <v>110422</v>
      </c>
      <c r="AK88" s="44">
        <v>110423</v>
      </c>
      <c r="AL88" s="44">
        <v>110424</v>
      </c>
      <c r="AM88" s="44">
        <v>110425</v>
      </c>
      <c r="AN88" s="44">
        <v>110426</v>
      </c>
      <c r="AO88" s="44">
        <v>110427</v>
      </c>
      <c r="AP88" s="44">
        <v>110428</v>
      </c>
      <c r="AQ88" s="44">
        <v>110429</v>
      </c>
    </row>
    <row r="89" spans="1:43" ht="32.1" customHeight="1">
      <c r="A89" s="98"/>
      <c r="B89" s="79" t="str">
        <f>VLOOKUP(878,Sprachindex!$A:$Z,Info!$O$7,FALSE)</f>
        <v>Stk.</v>
      </c>
      <c r="C89" s="81"/>
      <c r="D89" s="78">
        <f t="shared" si="22"/>
        <v>0</v>
      </c>
      <c r="E89" s="561" t="str">
        <f>VLOOKUP(511,Sprachindex!$A:$Z,Info!$O$7,FALSE)</f>
        <v>Kaminhut (800 × 800 mm)</v>
      </c>
      <c r="F89" s="562"/>
      <c r="G89" s="562"/>
      <c r="H89" s="562"/>
      <c r="I89" s="562"/>
      <c r="J89" s="562"/>
      <c r="K89" s="563"/>
      <c r="L89" s="79" t="str">
        <f t="shared" si="14"/>
        <v/>
      </c>
      <c r="M89" s="433" t="str">
        <f t="shared" si="1"/>
        <v>Stk.</v>
      </c>
      <c r="N89" s="80"/>
      <c r="O89" s="202" t="str">
        <f t="shared" si="15"/>
        <v/>
      </c>
      <c r="P89" s="5"/>
      <c r="Q89" s="5"/>
      <c r="R89" s="200">
        <v>165</v>
      </c>
      <c r="S89" s="195"/>
      <c r="T89" s="195"/>
      <c r="U89" s="195"/>
      <c r="V89" s="195"/>
      <c r="W89" s="195"/>
      <c r="X89" s="195"/>
      <c r="Y89" s="195"/>
      <c r="Z89" s="195"/>
      <c r="AA89" s="195"/>
      <c r="AB89" s="195"/>
      <c r="AC89" s="149">
        <f>ROUNDUP($A89,0)</f>
        <v>0</v>
      </c>
      <c r="AD89" s="149">
        <f t="shared" si="23"/>
        <v>0</v>
      </c>
      <c r="AH89" s="44">
        <v>110430</v>
      </c>
      <c r="AI89" s="44">
        <v>110431</v>
      </c>
      <c r="AJ89" s="44">
        <v>110432</v>
      </c>
      <c r="AK89" s="44">
        <v>110433</v>
      </c>
      <c r="AL89" s="44">
        <v>110434</v>
      </c>
      <c r="AM89" s="44">
        <v>110435</v>
      </c>
      <c r="AN89" s="44">
        <v>110436</v>
      </c>
      <c r="AO89" s="44">
        <v>110437</v>
      </c>
      <c r="AP89" s="44">
        <v>110438</v>
      </c>
      <c r="AQ89" s="44">
        <v>110439</v>
      </c>
    </row>
    <row r="90" spans="1:43" ht="32.1" customHeight="1">
      <c r="A90" s="98"/>
      <c r="B90" s="79" t="str">
        <f>VLOOKUP(878,Sprachindex!$A:$Z,Info!$O$7,FALSE)</f>
        <v>Stk.</v>
      </c>
      <c r="C90" s="81"/>
      <c r="D90" s="78">
        <f t="shared" si="22"/>
        <v>0</v>
      </c>
      <c r="E90" s="561" t="str">
        <f>VLOOKUP(507,Sprachindex!$A:$Z,Info!$O$7,FALSE)</f>
        <v>Kaminhut (1.000 × 700 mm)</v>
      </c>
      <c r="F90" s="562"/>
      <c r="G90" s="562"/>
      <c r="H90" s="562"/>
      <c r="I90" s="562"/>
      <c r="J90" s="562"/>
      <c r="K90" s="563"/>
      <c r="L90" s="79" t="str">
        <f t="shared" si="14"/>
        <v/>
      </c>
      <c r="M90" s="433" t="str">
        <f t="shared" si="1"/>
        <v>Stk.</v>
      </c>
      <c r="N90" s="80"/>
      <c r="O90" s="202" t="str">
        <f t="shared" si="15"/>
        <v/>
      </c>
      <c r="P90" s="5"/>
      <c r="Q90" s="5"/>
      <c r="R90" s="200">
        <v>165.6</v>
      </c>
      <c r="S90" s="195"/>
      <c r="T90" s="195"/>
      <c r="U90" s="195"/>
      <c r="V90" s="195"/>
      <c r="W90" s="195"/>
      <c r="X90" s="195"/>
      <c r="Y90" s="195"/>
      <c r="Z90" s="195"/>
      <c r="AA90" s="195"/>
      <c r="AB90" s="195"/>
      <c r="AC90" s="149">
        <f>ROUNDUP($A90,0)</f>
        <v>0</v>
      </c>
      <c r="AD90" s="149">
        <f t="shared" si="23"/>
        <v>0</v>
      </c>
      <c r="AH90" s="44">
        <v>110440</v>
      </c>
      <c r="AI90" s="44">
        <v>110441</v>
      </c>
      <c r="AJ90" s="44">
        <v>110442</v>
      </c>
      <c r="AK90" s="44">
        <v>110443</v>
      </c>
      <c r="AL90" s="44">
        <v>110444</v>
      </c>
      <c r="AM90" s="44">
        <v>110445</v>
      </c>
      <c r="AN90" s="44">
        <v>110446</v>
      </c>
      <c r="AO90" s="44">
        <v>110447</v>
      </c>
      <c r="AP90" s="44">
        <v>110448</v>
      </c>
      <c r="AQ90" s="44">
        <v>110449</v>
      </c>
    </row>
    <row r="91" spans="1:43" ht="32.1" customHeight="1">
      <c r="A91" s="98"/>
      <c r="B91" s="79" t="str">
        <f>VLOOKUP(878,Sprachindex!$A:$Z,Info!$O$7,FALSE)</f>
        <v>Stk.</v>
      </c>
      <c r="C91" s="81"/>
      <c r="D91" s="78">
        <f t="shared" si="22"/>
        <v>0</v>
      </c>
      <c r="E91" s="561" t="str">
        <f>VLOOKUP(508,Sprachindex!$A:$Z,Info!$O$7,FALSE)</f>
        <v>Kaminhut (1.100 × 800 mm)</v>
      </c>
      <c r="F91" s="562"/>
      <c r="G91" s="562"/>
      <c r="H91" s="562"/>
      <c r="I91" s="562"/>
      <c r="J91" s="562"/>
      <c r="K91" s="563"/>
      <c r="L91" s="79" t="str">
        <f t="shared" si="14"/>
        <v/>
      </c>
      <c r="M91" s="433" t="str">
        <f t="shared" si="1"/>
        <v>Stk.</v>
      </c>
      <c r="N91" s="80"/>
      <c r="O91" s="202" t="str">
        <f t="shared" si="15"/>
        <v/>
      </c>
      <c r="P91" s="5"/>
      <c r="Q91" s="5"/>
      <c r="R91" s="200">
        <v>198.5</v>
      </c>
      <c r="S91" s="195"/>
      <c r="T91" s="195"/>
      <c r="U91" s="195"/>
      <c r="V91" s="195"/>
      <c r="W91" s="195"/>
      <c r="X91" s="195"/>
      <c r="Y91" s="195"/>
      <c r="Z91" s="195"/>
      <c r="AA91" s="195"/>
      <c r="AB91" s="195"/>
      <c r="AC91" s="149">
        <f>ROUNDUP($A91,0)</f>
        <v>0</v>
      </c>
      <c r="AD91" s="149">
        <f t="shared" si="23"/>
        <v>0</v>
      </c>
      <c r="AH91" s="44">
        <v>110450</v>
      </c>
      <c r="AI91" s="44">
        <v>110451</v>
      </c>
      <c r="AJ91" s="44">
        <v>110452</v>
      </c>
      <c r="AK91" s="44">
        <v>110453</v>
      </c>
      <c r="AL91" s="44">
        <v>110454</v>
      </c>
      <c r="AM91" s="44">
        <v>110455</v>
      </c>
      <c r="AN91" s="44">
        <v>110456</v>
      </c>
      <c r="AO91" s="44">
        <v>110457</v>
      </c>
      <c r="AP91" s="44">
        <v>110458</v>
      </c>
      <c r="AQ91" s="44">
        <v>110459</v>
      </c>
    </row>
    <row r="92" spans="1:43" ht="32.1" customHeight="1">
      <c r="A92" s="98"/>
      <c r="B92" s="79" t="str">
        <f>VLOOKUP(878,Sprachindex!$A:$Z,Info!$O$7,FALSE)</f>
        <v>Stk.</v>
      </c>
      <c r="C92" s="78"/>
      <c r="D92" s="78">
        <f t="shared" si="22"/>
        <v>0</v>
      </c>
      <c r="E92" s="561" t="str">
        <f>VLOOKUP(509,Sprachindex!$A:$Z,Info!$O$7,FALSE)</f>
        <v>Kaminhut (1.500 × 800 mm)</v>
      </c>
      <c r="F92" s="562"/>
      <c r="G92" s="562"/>
      <c r="H92" s="562"/>
      <c r="I92" s="562"/>
      <c r="J92" s="562"/>
      <c r="K92" s="563"/>
      <c r="L92" s="79" t="str">
        <f t="shared" si="14"/>
        <v/>
      </c>
      <c r="M92" s="433" t="str">
        <f t="shared" si="1"/>
        <v>Stk.</v>
      </c>
      <c r="N92" s="80"/>
      <c r="O92" s="202" t="str">
        <f t="shared" si="15"/>
        <v/>
      </c>
      <c r="P92" s="5"/>
      <c r="Q92" s="5"/>
      <c r="R92" s="200">
        <v>271.39999999999998</v>
      </c>
      <c r="S92" s="195"/>
      <c r="T92" s="195"/>
      <c r="U92" s="195"/>
      <c r="V92" s="195"/>
      <c r="W92" s="195"/>
      <c r="X92" s="195"/>
      <c r="Y92" s="195"/>
      <c r="Z92" s="195"/>
      <c r="AA92" s="195"/>
      <c r="AB92" s="195"/>
      <c r="AC92" s="149">
        <f>ROUNDUP($A92,0)</f>
        <v>0</v>
      </c>
      <c r="AD92" s="149">
        <f t="shared" si="23"/>
        <v>0</v>
      </c>
      <c r="AH92" s="44">
        <v>110460</v>
      </c>
      <c r="AI92" s="44">
        <v>110461</v>
      </c>
      <c r="AJ92" s="44">
        <v>110462</v>
      </c>
      <c r="AK92" s="44">
        <v>110463</v>
      </c>
      <c r="AL92" s="44">
        <v>110464</v>
      </c>
      <c r="AM92" s="44">
        <v>110465</v>
      </c>
      <c r="AN92" s="44">
        <v>110466</v>
      </c>
      <c r="AO92" s="44">
        <v>110467</v>
      </c>
      <c r="AP92" s="44">
        <v>110468</v>
      </c>
      <c r="AQ92" s="44">
        <v>110469</v>
      </c>
    </row>
    <row r="93" spans="1:43" ht="32.1" customHeight="1">
      <c r="A93" s="98"/>
      <c r="B93" s="79" t="str">
        <f>VLOOKUP(878,Sprachindex!$A:$Z,Info!$O$7,FALSE)</f>
        <v>Stk.</v>
      </c>
      <c r="C93" s="81"/>
      <c r="D93" s="78">
        <f t="shared" si="22"/>
        <v>0</v>
      </c>
      <c r="E93" s="561" t="str">
        <f>VLOOKUP(512,Sprachindex!$A:$Z,Info!$O$7,FALSE)</f>
        <v>Kaminstrebe gebogen</v>
      </c>
      <c r="F93" s="562"/>
      <c r="G93" s="562"/>
      <c r="H93" s="562"/>
      <c r="I93" s="562"/>
      <c r="J93" s="562"/>
      <c r="K93" s="563"/>
      <c r="L93" s="79" t="str">
        <f t="shared" si="14"/>
        <v/>
      </c>
      <c r="M93" s="433" t="str">
        <f t="shared" si="1"/>
        <v>Stk.</v>
      </c>
      <c r="N93" s="80"/>
      <c r="O93" s="202" t="str">
        <f t="shared" si="15"/>
        <v/>
      </c>
      <c r="P93" s="5"/>
      <c r="Q93" s="5"/>
      <c r="R93" s="200">
        <v>16.77</v>
      </c>
      <c r="S93" s="195"/>
      <c r="T93" s="195"/>
      <c r="U93" s="195"/>
      <c r="V93" s="195"/>
      <c r="W93" s="195"/>
      <c r="X93" s="195"/>
      <c r="Y93" s="195"/>
      <c r="Z93" s="195"/>
      <c r="AA93" s="195"/>
      <c r="AB93" s="195"/>
      <c r="AC93" s="149">
        <f>ROUNDUP($A93/10,0)*10</f>
        <v>0</v>
      </c>
      <c r="AD93" s="149">
        <f t="shared" si="23"/>
        <v>0</v>
      </c>
      <c r="AH93" s="44">
        <v>110410</v>
      </c>
      <c r="AI93" s="44">
        <v>110411</v>
      </c>
      <c r="AJ93" s="44">
        <v>110412</v>
      </c>
      <c r="AK93" s="44">
        <v>110413</v>
      </c>
      <c r="AL93" s="44">
        <v>110414</v>
      </c>
      <c r="AM93" s="44">
        <v>110415</v>
      </c>
      <c r="AN93" s="44">
        <v>110416</v>
      </c>
      <c r="AO93" s="44">
        <v>110417</v>
      </c>
      <c r="AP93" s="44">
        <v>110418</v>
      </c>
      <c r="AQ93" s="44">
        <v>110419</v>
      </c>
    </row>
    <row r="94" spans="1:43" ht="32.1" customHeight="1">
      <c r="A94" s="98"/>
      <c r="B94" s="79" t="str">
        <f>VLOOKUP(1512,Sprachindex!$A:$Z,Info!$O$7,FALSE)</f>
        <v>lfm</v>
      </c>
      <c r="C94" s="81"/>
      <c r="D94" s="78">
        <f t="shared" si="22"/>
        <v>0</v>
      </c>
      <c r="E94" s="561" t="str">
        <f>VLOOKUP(402,Sprachindex!$A:$Z,Info!$O$7,FALSE)</f>
        <v>Flachprofil (35 × 7 × 3.000 mm)</v>
      </c>
      <c r="F94" s="562"/>
      <c r="G94" s="562"/>
      <c r="H94" s="562"/>
      <c r="I94" s="562"/>
      <c r="J94" s="562"/>
      <c r="K94" s="563"/>
      <c r="L94" s="79" t="str">
        <f t="shared" si="14"/>
        <v/>
      </c>
      <c r="M94" s="433" t="str">
        <f t="shared" si="1"/>
        <v>lfm</v>
      </c>
      <c r="N94" s="80"/>
      <c r="O94" s="202" t="str">
        <f t="shared" si="15"/>
        <v/>
      </c>
      <c r="P94" s="5"/>
      <c r="Q94" s="5"/>
      <c r="R94" s="200">
        <v>11.32</v>
      </c>
      <c r="S94" s="195"/>
      <c r="T94" s="195"/>
      <c r="U94" s="195"/>
      <c r="V94" s="195"/>
      <c r="W94" s="195"/>
      <c r="X94" s="195"/>
      <c r="Y94" s="195"/>
      <c r="Z94" s="195"/>
      <c r="AA94" s="195"/>
      <c r="AB94" s="195"/>
      <c r="AC94" s="149">
        <f>ROUNDUP($A94/3,0)*3</f>
        <v>0</v>
      </c>
      <c r="AD94" s="149">
        <f>ROUNDUP($A94/3,0)*3</f>
        <v>0</v>
      </c>
      <c r="AH94" s="44">
        <v>110400</v>
      </c>
      <c r="AI94" s="44">
        <v>110401</v>
      </c>
      <c r="AJ94" s="44">
        <v>110402</v>
      </c>
      <c r="AK94" s="44">
        <v>110403</v>
      </c>
      <c r="AL94" s="44">
        <v>110404</v>
      </c>
      <c r="AM94" s="44">
        <v>110405</v>
      </c>
      <c r="AN94" s="44">
        <v>110406</v>
      </c>
      <c r="AO94" s="44">
        <v>110407</v>
      </c>
      <c r="AP94" s="44">
        <v>110408</v>
      </c>
      <c r="AQ94" s="117" t="s">
        <v>74</v>
      </c>
    </row>
    <row r="95" spans="1:43" ht="32.1" customHeight="1">
      <c r="A95" s="98"/>
      <c r="B95" s="79" t="str">
        <f>VLOOKUP(878,Sprachindex!$A:$Z,Info!$O$7,FALSE)</f>
        <v>Stk.</v>
      </c>
      <c r="C95" s="81"/>
      <c r="D95" s="78">
        <f t="shared" si="22"/>
        <v>0</v>
      </c>
      <c r="E95" s="561" t="str">
        <f>VLOOKUP(459,Sprachindex!$A:$Z,Info!$O$7,FALSE)</f>
        <v>Hauerbuckel; zum Abdecken von Befestigungsmitteln</v>
      </c>
      <c r="F95" s="562"/>
      <c r="G95" s="562"/>
      <c r="H95" s="562"/>
      <c r="I95" s="562"/>
      <c r="J95" s="562"/>
      <c r="K95" s="563"/>
      <c r="L95" s="79" t="str">
        <f t="shared" si="14"/>
        <v/>
      </c>
      <c r="M95" s="433" t="str">
        <f t="shared" si="1"/>
        <v>Stk.</v>
      </c>
      <c r="N95" s="80"/>
      <c r="O95" s="202" t="str">
        <f t="shared" si="15"/>
        <v/>
      </c>
      <c r="P95" s="5"/>
      <c r="Q95" s="5"/>
      <c r="R95" s="200">
        <v>2.06</v>
      </c>
      <c r="S95" s="195"/>
      <c r="T95" s="195"/>
      <c r="U95" s="195"/>
      <c r="V95" s="195"/>
      <c r="W95" s="195"/>
      <c r="X95" s="195"/>
      <c r="Y95" s="195"/>
      <c r="Z95" s="195"/>
      <c r="AA95" s="195"/>
      <c r="AB95" s="195"/>
      <c r="AC95" s="149">
        <f>ROUNDUP($A95,0)</f>
        <v>0</v>
      </c>
      <c r="AD95" s="149">
        <f>ROUNDUP($A95,0)</f>
        <v>0</v>
      </c>
      <c r="AH95" s="44">
        <v>112401</v>
      </c>
      <c r="AI95" s="44">
        <v>112402</v>
      </c>
      <c r="AJ95" s="44">
        <v>112403</v>
      </c>
      <c r="AK95" s="44">
        <v>112404</v>
      </c>
      <c r="AL95" s="44">
        <v>112405</v>
      </c>
      <c r="AM95" s="44">
        <v>112406</v>
      </c>
      <c r="AN95" s="44">
        <v>112407</v>
      </c>
      <c r="AO95" s="44">
        <v>112408</v>
      </c>
      <c r="AP95" s="44">
        <v>112409</v>
      </c>
      <c r="AQ95" s="44">
        <v>112410</v>
      </c>
    </row>
    <row r="96" spans="1:43" ht="32.1" customHeight="1">
      <c r="A96" s="98"/>
      <c r="B96" s="79" t="str">
        <f>VLOOKUP(878,Sprachindex!$A:$Z,Info!$O$7,FALSE)</f>
        <v>Stk.</v>
      </c>
      <c r="C96" s="81"/>
      <c r="D96" s="78">
        <v>340404</v>
      </c>
      <c r="E96" s="561" t="str">
        <f>VLOOKUP(1422,Sprachindex!$A:$Z,Info!$O$7,FALSE)</f>
        <v>Dachleitungshalter für Blitzschutzdraht</v>
      </c>
      <c r="F96" s="562"/>
      <c r="G96" s="562"/>
      <c r="H96" s="562"/>
      <c r="I96" s="562"/>
      <c r="J96" s="562"/>
      <c r="K96" s="563"/>
      <c r="L96" s="79" t="str">
        <f t="shared" si="14"/>
        <v/>
      </c>
      <c r="M96" s="433" t="str">
        <f t="shared" ref="M96:M104" si="24">B96</f>
        <v>Stk.</v>
      </c>
      <c r="N96" s="80"/>
      <c r="O96" s="202" t="str">
        <f t="shared" si="15"/>
        <v/>
      </c>
      <c r="P96" s="5"/>
      <c r="Q96" s="5"/>
      <c r="R96" s="200">
        <v>7.16</v>
      </c>
      <c r="S96" s="195"/>
      <c r="T96" s="195"/>
      <c r="U96" s="195"/>
      <c r="V96" s="195"/>
      <c r="W96" s="195"/>
      <c r="X96" s="195"/>
      <c r="Y96" s="195"/>
      <c r="Z96" s="195"/>
      <c r="AA96" s="195"/>
      <c r="AB96" s="195"/>
      <c r="AC96" s="149">
        <f>ROUNDUP($A96/50,0)*50</f>
        <v>0</v>
      </c>
      <c r="AD96" s="149">
        <f t="shared" ref="AD96:AE104" si="25">ROUNDUP($A96,0)</f>
        <v>0</v>
      </c>
      <c r="AH96" s="125"/>
      <c r="AI96" s="125"/>
      <c r="AJ96" s="125"/>
      <c r="AK96" s="125"/>
      <c r="AL96" s="125"/>
      <c r="AM96" s="125"/>
      <c r="AN96" s="125"/>
      <c r="AO96" s="125"/>
      <c r="AP96" s="125"/>
      <c r="AQ96" s="125"/>
    </row>
    <row r="97" spans="1:53" ht="32.1" customHeight="1">
      <c r="A97" s="98"/>
      <c r="B97" s="79" t="str">
        <f>VLOOKUP(878,Sprachindex!$A:$Z,Info!$O$7,FALSE)</f>
        <v>Stk.</v>
      </c>
      <c r="C97" s="78"/>
      <c r="D97" s="78">
        <v>420501</v>
      </c>
      <c r="E97" s="581" t="str">
        <f>VLOOKUP(851,Sprachindex!$A:$Z,Info!$O$7,FALSE)</f>
        <v>Spezialkleber</v>
      </c>
      <c r="F97" s="582"/>
      <c r="G97" s="582"/>
      <c r="H97" s="582"/>
      <c r="I97" s="582"/>
      <c r="J97" s="582"/>
      <c r="K97" s="583"/>
      <c r="L97" s="79" t="str">
        <f t="shared" si="14"/>
        <v/>
      </c>
      <c r="M97" s="433" t="str">
        <f t="shared" si="24"/>
        <v>Stk.</v>
      </c>
      <c r="N97" s="80"/>
      <c r="O97" s="202" t="str">
        <f t="shared" si="15"/>
        <v/>
      </c>
      <c r="P97" s="5"/>
      <c r="Q97" s="5"/>
      <c r="R97" s="200">
        <v>39.130000000000003</v>
      </c>
      <c r="S97" s="195"/>
      <c r="T97" s="195"/>
      <c r="U97" s="195"/>
      <c r="V97" s="195"/>
      <c r="W97" s="195"/>
      <c r="X97" s="195"/>
      <c r="Y97" s="195"/>
      <c r="Z97" s="195"/>
      <c r="AA97" s="195"/>
      <c r="AB97" s="195"/>
      <c r="AC97" s="149">
        <f>ROUNDUP($A97/24,0)*24</f>
        <v>0</v>
      </c>
      <c r="AD97" s="149">
        <f t="shared" si="25"/>
        <v>0</v>
      </c>
    </row>
    <row r="98" spans="1:53" ht="32.1" customHeight="1">
      <c r="A98" s="98"/>
      <c r="B98" s="79" t="str">
        <f>VLOOKUP(821,Sprachindex!$A:$Z,Info!$O$7,FALSE)</f>
        <v>Set</v>
      </c>
      <c r="C98" s="81"/>
      <c r="D98" s="78">
        <v>420500</v>
      </c>
      <c r="E98" s="561" t="str">
        <f>VLOOKUP(852,Sprachindex!$A:$Z,Info!$O$7,FALSE)</f>
        <v>Spezialkleberset</v>
      </c>
      <c r="F98" s="562"/>
      <c r="G98" s="562"/>
      <c r="H98" s="562"/>
      <c r="I98" s="562"/>
      <c r="J98" s="562"/>
      <c r="K98" s="563"/>
      <c r="L98" s="79" t="str">
        <f t="shared" si="14"/>
        <v/>
      </c>
      <c r="M98" s="433" t="str">
        <f t="shared" si="24"/>
        <v>Set</v>
      </c>
      <c r="N98" s="80"/>
      <c r="O98" s="202" t="str">
        <f t="shared" si="15"/>
        <v/>
      </c>
      <c r="P98" s="5"/>
      <c r="Q98" s="5"/>
      <c r="R98" s="200">
        <v>53.57</v>
      </c>
      <c r="S98" s="195"/>
      <c r="T98" s="195"/>
      <c r="U98" s="195"/>
      <c r="V98" s="195"/>
      <c r="W98" s="195"/>
      <c r="X98" s="195"/>
      <c r="Y98" s="195"/>
      <c r="Z98" s="195"/>
      <c r="AA98" s="195"/>
      <c r="AB98" s="195"/>
      <c r="AC98" s="149">
        <f>ROUNDUP($A98,0)</f>
        <v>0</v>
      </c>
      <c r="AD98" s="149">
        <f t="shared" si="25"/>
        <v>0</v>
      </c>
    </row>
    <row r="99" spans="1:53" ht="32.1" customHeight="1">
      <c r="A99" s="98"/>
      <c r="B99" s="79" t="str">
        <f>VLOOKUP(878,Sprachindex!$A:$Z,Info!$O$7,FALSE)</f>
        <v>Stk.</v>
      </c>
      <c r="C99" s="81"/>
      <c r="D99" s="78">
        <v>340415</v>
      </c>
      <c r="E99" s="561" t="str">
        <f>VLOOKUP(184,Sprachindex!$A:$Z,Info!$O$7,FALSE)</f>
        <v>Aufsparrenschraubenpaket</v>
      </c>
      <c r="F99" s="562"/>
      <c r="G99" s="562"/>
      <c r="H99" s="562"/>
      <c r="I99" s="562"/>
      <c r="J99" s="562"/>
      <c r="K99" s="563"/>
      <c r="L99" s="79" t="str">
        <f>IF($A99=0,"",IF($P$11=1,AC99,AD99))</f>
        <v/>
      </c>
      <c r="M99" s="433" t="str">
        <f t="shared" si="24"/>
        <v>Stk.</v>
      </c>
      <c r="N99" s="80"/>
      <c r="O99" s="202" t="str">
        <f t="shared" si="15"/>
        <v/>
      </c>
      <c r="P99" s="5"/>
      <c r="Q99" s="5"/>
      <c r="R99" s="200">
        <v>55.96</v>
      </c>
      <c r="S99" s="195"/>
      <c r="T99" s="195"/>
      <c r="U99" s="195"/>
      <c r="V99" s="195"/>
      <c r="W99" s="195"/>
      <c r="X99" s="195"/>
      <c r="Y99" s="195"/>
      <c r="Z99" s="195"/>
      <c r="AA99" s="195"/>
      <c r="AB99" s="195"/>
      <c r="AC99" s="149">
        <f>ROUNDUP($A99,0)</f>
        <v>0</v>
      </c>
      <c r="AD99" s="149">
        <f t="shared" si="25"/>
        <v>0</v>
      </c>
    </row>
    <row r="100" spans="1:53" ht="32.1" customHeight="1">
      <c r="A100" s="98"/>
      <c r="B100" s="79" t="str">
        <f>VLOOKUP(878,Sprachindex!$A:$Z,Info!$O$7,FALSE)</f>
        <v>Stk.</v>
      </c>
      <c r="C100" s="81"/>
      <c r="D100" s="78">
        <v>340416</v>
      </c>
      <c r="E100" s="561" t="str">
        <f>VLOOKUP(183,Sprachindex!$A:$Z,Info!$O$7,FALSE)</f>
        <v>Aufsparrenmontagepaket</v>
      </c>
      <c r="F100" s="562"/>
      <c r="G100" s="562"/>
      <c r="H100" s="562"/>
      <c r="I100" s="562"/>
      <c r="J100" s="562"/>
      <c r="K100" s="563"/>
      <c r="L100" s="79" t="str">
        <f>IF($A100=0,"",IF($P$11=1,AC100,AD100))</f>
        <v/>
      </c>
      <c r="M100" s="433" t="str">
        <f t="shared" si="24"/>
        <v>Stk.</v>
      </c>
      <c r="N100" s="80"/>
      <c r="O100" s="202" t="str">
        <f t="shared" si="15"/>
        <v/>
      </c>
      <c r="P100" s="5"/>
      <c r="Q100" s="5"/>
      <c r="R100" s="200">
        <v>61.99</v>
      </c>
      <c r="S100" s="195"/>
      <c r="T100" s="195"/>
      <c r="U100" s="195"/>
      <c r="V100" s="195"/>
      <c r="W100" s="195"/>
      <c r="X100" s="195"/>
      <c r="Y100" s="195"/>
      <c r="Z100" s="195"/>
      <c r="AA100" s="195"/>
      <c r="AB100" s="195"/>
      <c r="AC100" s="149">
        <f>ROUNDUP($A100,0)</f>
        <v>0</v>
      </c>
      <c r="AD100" s="149">
        <f t="shared" si="25"/>
        <v>0</v>
      </c>
    </row>
    <row r="101" spans="1:53" ht="32.1" customHeight="1">
      <c r="A101" s="98"/>
      <c r="B101" s="79" t="str">
        <f>VLOOKUP(878,Sprachindex!$A:$Z,Info!$O$7,FALSE)</f>
        <v>Stk.</v>
      </c>
      <c r="C101" s="81"/>
      <c r="D101" s="78">
        <v>119008</v>
      </c>
      <c r="E101" s="561" t="str">
        <f>VLOOKUP(2237,Sprachindex!$A:$Z,Info!$O$7,FALSE)</f>
        <v>Taurus-BEF-10 auf Fußteilen</v>
      </c>
      <c r="F101" s="562"/>
      <c r="G101" s="562"/>
      <c r="H101" s="562"/>
      <c r="I101" s="562"/>
      <c r="J101" s="562"/>
      <c r="K101" s="563"/>
      <c r="L101" s="79" t="str">
        <f>IF($A101=0,"",IF($P$11=1,AD101,AE101))</f>
        <v/>
      </c>
      <c r="M101" s="171" t="str">
        <f>VLOOKUP(878,Sprachindex!$A:$Z,Info!$O$7,FALSE)</f>
        <v>Stk.</v>
      </c>
      <c r="N101" s="80"/>
      <c r="O101" s="202" t="str">
        <f t="shared" si="15"/>
        <v/>
      </c>
      <c r="P101" s="5"/>
      <c r="Q101" s="5"/>
      <c r="R101" s="200">
        <v>138.6</v>
      </c>
      <c r="S101" s="195"/>
      <c r="T101" s="195"/>
      <c r="U101" s="195"/>
      <c r="V101" s="195"/>
      <c r="W101" s="195"/>
      <c r="X101" s="195"/>
      <c r="Y101" s="195"/>
      <c r="Z101" s="195"/>
      <c r="AA101" s="195"/>
      <c r="AB101" s="195"/>
      <c r="AC101" s="135"/>
      <c r="AD101" s="149">
        <f t="shared" si="25"/>
        <v>0</v>
      </c>
      <c r="AE101" s="149">
        <f t="shared" si="25"/>
        <v>0</v>
      </c>
      <c r="AF101" s="151"/>
      <c r="AG101" s="145"/>
    </row>
    <row r="102" spans="1:53" ht="32.1" customHeight="1">
      <c r="A102" s="98"/>
      <c r="B102" s="79" t="str">
        <f>VLOOKUP(878,Sprachindex!$A:$Z,Info!$O$7,FALSE)</f>
        <v>Stk.</v>
      </c>
      <c r="C102" s="81"/>
      <c r="D102" s="78">
        <v>120268</v>
      </c>
      <c r="E102" s="561" t="str">
        <f>VLOOKUP(2238,Sprachindex!$A:$Z,Info!$O$7,FALSE)</f>
        <v>Einzelanschlagspunkt auf Fußteilen</v>
      </c>
      <c r="F102" s="562"/>
      <c r="G102" s="562"/>
      <c r="H102" s="562"/>
      <c r="I102" s="562"/>
      <c r="J102" s="562"/>
      <c r="K102" s="563"/>
      <c r="L102" s="79" t="str">
        <f>IF($A102=0,"",IF($P$11=1,AD102,AE102))</f>
        <v/>
      </c>
      <c r="M102" s="171" t="str">
        <f>VLOOKUP(878,Sprachindex!$A:$Z,Info!$O$7,FALSE)</f>
        <v>Stk.</v>
      </c>
      <c r="N102" s="80"/>
      <c r="O102" s="202" t="str">
        <f t="shared" si="15"/>
        <v/>
      </c>
      <c r="P102" s="5"/>
      <c r="Q102" s="5"/>
      <c r="R102" s="200">
        <v>135.6</v>
      </c>
      <c r="S102" s="195"/>
      <c r="T102" s="195"/>
      <c r="U102" s="195"/>
      <c r="V102" s="195"/>
      <c r="W102" s="195"/>
      <c r="X102" s="195"/>
      <c r="Y102" s="195"/>
      <c r="Z102" s="195"/>
      <c r="AA102" s="195"/>
      <c r="AB102" s="195"/>
      <c r="AC102" s="135"/>
      <c r="AD102" s="149">
        <f t="shared" si="25"/>
        <v>0</v>
      </c>
      <c r="AE102" s="149">
        <f t="shared" si="25"/>
        <v>0</v>
      </c>
      <c r="AF102" s="151"/>
      <c r="AG102" s="145"/>
    </row>
    <row r="103" spans="1:53" ht="32.1" customHeight="1">
      <c r="A103" s="98"/>
      <c r="B103" s="79" t="str">
        <f>VLOOKUP(531,Sprachindex!$A:$Z,Info!$O$7,FALSE)</f>
        <v>kg</v>
      </c>
      <c r="C103" s="81"/>
      <c r="D103" s="81" t="str">
        <f>IF(I103=Formeln!A107,AL103,IF(I103=Formeln!A108,AH103,IF(I103=Formeln!A109,AI103,IF(I103=Formeln!A111,AK103,""))))</f>
        <v/>
      </c>
      <c r="E103" s="570" t="str">
        <f>VLOOKUP(583,Sprachindex!$A:$Z,Info!$O$7,FALSE)</f>
        <v>Lochblech (⌀ 5 mm) ca. 24 kg/Rolle (0,7 × 1.000 mm)</v>
      </c>
      <c r="F103" s="571"/>
      <c r="G103" s="571"/>
      <c r="H103" s="571"/>
      <c r="I103" s="572"/>
      <c r="J103" s="573"/>
      <c r="K103" s="573"/>
      <c r="L103" s="79" t="str">
        <f>IF($A103=0,"",IF($I103=Formeln!$A$106," ",IF($P$11=1,AC103,AD103)))</f>
        <v/>
      </c>
      <c r="M103" s="433" t="str">
        <f t="shared" si="24"/>
        <v>kg</v>
      </c>
      <c r="N103" s="80"/>
      <c r="O103" s="202" t="str">
        <f t="shared" si="15"/>
        <v/>
      </c>
      <c r="P103" s="5"/>
      <c r="Q103" s="5"/>
      <c r="R103" s="200">
        <v>26.02</v>
      </c>
      <c r="S103" s="195"/>
      <c r="T103" s="195"/>
      <c r="U103" s="195"/>
      <c r="V103" s="195"/>
      <c r="W103" s="195"/>
      <c r="X103" s="195"/>
      <c r="Y103" s="195"/>
      <c r="Z103" s="195"/>
      <c r="AA103" s="195"/>
      <c r="AB103" s="195"/>
      <c r="AC103" s="149">
        <f>ROUNDUP($A103/24,0)*24</f>
        <v>0</v>
      </c>
      <c r="AD103" s="149">
        <f t="shared" si="25"/>
        <v>0</v>
      </c>
      <c r="AE103" s="8" t="str">
        <f>IF(A103&gt;24, Formeln!A119, Formeln!A118)</f>
        <v>Rolle</v>
      </c>
      <c r="AF103" s="8"/>
      <c r="AH103" s="44">
        <v>507202</v>
      </c>
      <c r="AI103" s="44">
        <v>507203</v>
      </c>
      <c r="AJ103" s="44"/>
      <c r="AK103" s="44">
        <v>507205</v>
      </c>
      <c r="AL103" s="44">
        <v>507206</v>
      </c>
    </row>
    <row r="104" spans="1:53" ht="50.1" customHeight="1">
      <c r="A104" s="98"/>
      <c r="B104" s="79" t="str">
        <f>VLOOKUP(531,Sprachindex!$A:$Z,Info!$O$7,FALSE)</f>
        <v>kg</v>
      </c>
      <c r="C104" s="81"/>
      <c r="D104" s="81" t="str">
        <f>IF(AND(I104=Formeln!A24,K104=Formeln!A129),AH104,IF(AND(I104=Formeln!A24,K104=Formeln!A132),AI104,IF(AND(I104=Formeln!A24,K104=Formeln!A134),AJ104,IF(AND(I104=Formeln!A24,K104=Formeln!A128),AK104,IF(AND(I104=Formeln!A24,K104=Formeln!A137),AL104,IF(AND(I104=Formeln!A24,K104=Formeln!A131),AM104,IF(AND(I104=Formeln!A24,K104=Formeln!A135),AN104,IF(AND(I104=Formeln!A24,K104=Formeln!A133),AO104,IF(AND(I104=Formeln!A24,K104=Formeln!A130),AP104,IF(AND(I104=Formeln!A24,K104=Formeln!A136),AQ104,IF(AND(I104=Formeln!A25,K104=Formeln!A129),AR104,IF(AND(I104=Formeln!A25,K104=Formeln!A132),AS104,IF(AND(I104=Formeln!A25,K104=Formeln!A134),AT104,IF(AND(I104=Formeln!A25,K104=Formeln!A128),AU104,IF(AND(I104=Formeln!A25,K104=Formeln!A137),AV104,IF(AND(I104=Formeln!A25,K104=Formeln!A131),AW104,IF(AND(I104=Formeln!A25,K104=Formeln!A135),AX104,IF(AND(I104=Formeln!A25,K104=Formeln!A133),AY104,IF(AND(I104=Formeln!A25,K104=Formeln!A130),AZ104,IF(AND(I104=Formeln!A25,K104=Formeln!A136),BA104,""))))))))))))))))))))</f>
        <v/>
      </c>
      <c r="E104" s="561" t="str">
        <f>VLOOKUP(669,Sprachindex!$A:$Z,Info!$O$7,FALSE)</f>
        <v>PREFALZ Ergänzungsband; 0,7 × 1.000 mm (für Zusatzverblechungen)</v>
      </c>
      <c r="F104" s="562"/>
      <c r="G104" s="562"/>
      <c r="H104" s="85" t="str">
        <f>VLOOKUP(638,Sprachindex!$A:$Z,Info!$O$7,FALSE)</f>
        <v>Oberfläche:</v>
      </c>
      <c r="I104" s="86"/>
      <c r="J104" s="84" t="str">
        <f>VLOOKUP(385,Sprachindex!$A:$Z,Info!$O$7,FALSE)</f>
        <v>Farbe:</v>
      </c>
      <c r="K104" s="86"/>
      <c r="L104" s="79" t="str">
        <f>IF($A104=0,"",IF(OR($I104=Formeln!$A$23,$K104=Formeln!$A$127)," ",IF($P$11=1,AC104,AD104)))</f>
        <v/>
      </c>
      <c r="M104" s="433" t="str">
        <f t="shared" si="24"/>
        <v>kg</v>
      </c>
      <c r="N104" s="80"/>
      <c r="O104" s="202" t="str">
        <f t="shared" si="15"/>
        <v/>
      </c>
      <c r="P104" s="207"/>
      <c r="Q104" s="207"/>
      <c r="R104" s="200">
        <v>43.62</v>
      </c>
      <c r="S104" s="207"/>
      <c r="T104" s="207"/>
      <c r="U104" s="207"/>
      <c r="V104" s="207"/>
      <c r="W104" s="207"/>
      <c r="X104" s="207"/>
      <c r="Y104" s="207"/>
      <c r="AB104" s="1"/>
      <c r="AC104" s="161">
        <f>ROUNDUP($A104/30,0)*30</f>
        <v>0</v>
      </c>
      <c r="AD104" s="161">
        <f t="shared" si="25"/>
        <v>0</v>
      </c>
      <c r="AE104" s="8" t="str">
        <f>IF(A104&gt;60, Formeln!A119, Formeln!A118)</f>
        <v>Rolle</v>
      </c>
      <c r="AF104" s="8"/>
      <c r="AH104" s="117" t="s">
        <v>76</v>
      </c>
      <c r="AI104" s="117" t="s">
        <v>77</v>
      </c>
      <c r="AJ104" s="117" t="s">
        <v>78</v>
      </c>
      <c r="AK104" s="117" t="s">
        <v>99</v>
      </c>
      <c r="AL104" s="117" t="s">
        <v>79</v>
      </c>
      <c r="AM104" s="117" t="s">
        <v>80</v>
      </c>
      <c r="AN104" s="117" t="s">
        <v>81</v>
      </c>
      <c r="AO104" s="117" t="s">
        <v>82</v>
      </c>
      <c r="AP104" s="117" t="s">
        <v>83</v>
      </c>
      <c r="AQ104" s="117" t="s">
        <v>84</v>
      </c>
      <c r="AR104" s="117" t="s">
        <v>85</v>
      </c>
      <c r="AS104" s="117" t="s">
        <v>86</v>
      </c>
      <c r="AT104" s="117" t="s">
        <v>87</v>
      </c>
      <c r="AU104" s="117" t="s">
        <v>88</v>
      </c>
      <c r="AV104" s="117" t="s">
        <v>89</v>
      </c>
      <c r="AW104" s="117" t="s">
        <v>90</v>
      </c>
      <c r="AX104" s="117" t="s">
        <v>91</v>
      </c>
      <c r="AY104" s="117" t="s">
        <v>92</v>
      </c>
      <c r="AZ104" s="117" t="s">
        <v>93</v>
      </c>
      <c r="BA104" s="117" t="s">
        <v>94</v>
      </c>
    </row>
    <row r="105" spans="1:53" ht="32.1" customHeight="1">
      <c r="A105" s="98"/>
      <c r="B105" s="104"/>
      <c r="C105" s="104"/>
      <c r="D105" s="104"/>
      <c r="E105" s="575"/>
      <c r="F105" s="576"/>
      <c r="G105" s="576"/>
      <c r="H105" s="576"/>
      <c r="I105" s="576"/>
      <c r="J105" s="576"/>
      <c r="K105" s="577"/>
      <c r="L105" s="104"/>
      <c r="M105" s="433"/>
      <c r="N105" s="447"/>
      <c r="O105" s="5"/>
      <c r="P105" s="5"/>
      <c r="Q105" s="5"/>
      <c r="R105" s="5"/>
      <c r="S105" s="5"/>
      <c r="T105" s="5"/>
      <c r="U105" s="5"/>
      <c r="V105" s="5"/>
      <c r="W105" s="5"/>
      <c r="X105" s="5"/>
      <c r="Y105" s="5"/>
      <c r="AB105" s="1"/>
      <c r="AC105" s="8"/>
      <c r="AD105" s="8"/>
      <c r="AH105" s="47" t="s">
        <v>33</v>
      </c>
      <c r="AI105" s="47" t="s">
        <v>34</v>
      </c>
      <c r="AJ105" s="47" t="s">
        <v>35</v>
      </c>
      <c r="AK105" s="47" t="s">
        <v>36</v>
      </c>
      <c r="AL105" s="47" t="s">
        <v>37</v>
      </c>
      <c r="AM105" s="47" t="s">
        <v>38</v>
      </c>
      <c r="AN105" s="47" t="s">
        <v>39</v>
      </c>
      <c r="AO105" s="47" t="s">
        <v>40</v>
      </c>
      <c r="AP105" s="47" t="s">
        <v>41</v>
      </c>
      <c r="AQ105" s="47" t="s">
        <v>42</v>
      </c>
      <c r="AR105" s="47" t="s">
        <v>33</v>
      </c>
      <c r="AS105" s="47" t="s">
        <v>34</v>
      </c>
      <c r="AT105" s="47" t="s">
        <v>35</v>
      </c>
      <c r="AU105" s="47" t="s">
        <v>36</v>
      </c>
      <c r="AV105" s="47" t="s">
        <v>37</v>
      </c>
      <c r="AW105" s="47" t="s">
        <v>38</v>
      </c>
      <c r="AX105" s="47" t="s">
        <v>39</v>
      </c>
      <c r="AY105" s="47" t="s">
        <v>40</v>
      </c>
      <c r="AZ105" s="47" t="s">
        <v>41</v>
      </c>
      <c r="BA105" s="47" t="s">
        <v>42</v>
      </c>
    </row>
    <row r="106" spans="1:53" ht="32.1" customHeight="1">
      <c r="A106" s="98"/>
      <c r="B106" s="104"/>
      <c r="C106" s="104"/>
      <c r="D106" s="104"/>
      <c r="E106" s="575"/>
      <c r="F106" s="576"/>
      <c r="G106" s="576"/>
      <c r="H106" s="576"/>
      <c r="I106" s="576"/>
      <c r="J106" s="576"/>
      <c r="K106" s="577"/>
      <c r="L106" s="104"/>
      <c r="M106" s="433"/>
      <c r="N106" s="447"/>
      <c r="O106" s="5"/>
      <c r="P106" s="5"/>
      <c r="Q106" s="5"/>
      <c r="R106" s="5"/>
      <c r="S106" s="5"/>
      <c r="T106" s="5"/>
      <c r="U106" s="5"/>
      <c r="V106" s="5"/>
      <c r="W106" s="5"/>
      <c r="X106" s="5"/>
      <c r="Y106" s="5"/>
      <c r="AB106" s="1"/>
      <c r="AC106" s="8"/>
      <c r="AD106" s="8"/>
    </row>
    <row r="107" spans="1:53" ht="32.1" customHeight="1" thickBot="1">
      <c r="A107" s="153"/>
      <c r="B107" s="154"/>
      <c r="C107" s="154"/>
      <c r="D107" s="154"/>
      <c r="E107" s="578"/>
      <c r="F107" s="579"/>
      <c r="G107" s="579"/>
      <c r="H107" s="579"/>
      <c r="I107" s="579"/>
      <c r="J107" s="579"/>
      <c r="K107" s="580"/>
      <c r="L107" s="154"/>
      <c r="M107" s="434"/>
      <c r="N107" s="448"/>
      <c r="O107" s="5"/>
      <c r="P107" s="5"/>
      <c r="Q107" s="5"/>
      <c r="R107" s="5"/>
      <c r="S107" s="5"/>
      <c r="T107" s="5"/>
      <c r="U107" s="5"/>
      <c r="V107" s="5"/>
      <c r="W107" s="5"/>
      <c r="X107" s="5"/>
      <c r="Y107" s="5"/>
      <c r="AB107" s="1"/>
      <c r="AC107" s="8"/>
      <c r="AD107" s="8"/>
    </row>
    <row r="108" spans="1:53" ht="15" customHeight="1">
      <c r="A108" s="70"/>
      <c r="B108" s="70"/>
      <c r="C108" s="70"/>
      <c r="D108" s="564"/>
      <c r="E108" s="564"/>
      <c r="F108" s="564"/>
      <c r="G108" s="564"/>
      <c r="H108" s="564"/>
      <c r="I108" s="564"/>
      <c r="J108" s="564"/>
      <c r="K108" s="564"/>
      <c r="L108" s="564"/>
      <c r="M108" s="564"/>
      <c r="N108" s="564"/>
      <c r="O108"/>
      <c r="P108"/>
      <c r="Q108"/>
      <c r="R108" s="5"/>
      <c r="S108"/>
      <c r="T108"/>
      <c r="U108"/>
      <c r="V108"/>
      <c r="W108"/>
      <c r="X108"/>
      <c r="Y108"/>
    </row>
    <row r="109" spans="1:53" ht="17.399999999999999">
      <c r="A109" s="70"/>
      <c r="B109" s="70"/>
      <c r="C109" s="89" t="str">
        <f>VLOOKUP(1035,Sprachindex!$A:$Z,Info!$O$7,FALSE)</f>
        <v>Zusatzvermerk:</v>
      </c>
      <c r="D109" s="565"/>
      <c r="E109" s="565"/>
      <c r="F109" s="565"/>
      <c r="G109" s="565"/>
      <c r="H109" s="565"/>
      <c r="I109" s="565"/>
      <c r="J109" s="565"/>
      <c r="K109" s="565"/>
      <c r="L109" s="565"/>
      <c r="M109" s="565"/>
      <c r="N109" s="565"/>
      <c r="O109" s="196">
        <f>SUM(O31:O107)</f>
        <v>0</v>
      </c>
      <c r="P109" s="204"/>
      <c r="Q109" s="204"/>
      <c r="R109" s="204"/>
      <c r="S109" s="204"/>
      <c r="T109" s="204"/>
      <c r="U109" s="204"/>
      <c r="V109" s="204"/>
      <c r="W109" s="204"/>
      <c r="X109" s="204"/>
      <c r="Y109" s="204"/>
    </row>
    <row r="110" spans="1:53" ht="17.399999999999999">
      <c r="A110" s="70"/>
      <c r="B110" s="70"/>
      <c r="C110" s="70"/>
      <c r="D110" s="566"/>
      <c r="E110" s="566"/>
      <c r="F110" s="566"/>
      <c r="G110" s="566"/>
      <c r="H110" s="566"/>
      <c r="I110" s="566"/>
      <c r="J110" s="566"/>
      <c r="K110" s="566"/>
      <c r="L110" s="566"/>
      <c r="M110" s="566"/>
      <c r="N110" s="566"/>
      <c r="O110" s="204"/>
      <c r="P110" s="204"/>
      <c r="Q110" s="204"/>
      <c r="R110" s="204"/>
      <c r="S110" s="204"/>
      <c r="T110" s="204"/>
      <c r="U110" s="204"/>
      <c r="V110" s="204"/>
      <c r="W110" s="204"/>
      <c r="X110" s="204"/>
      <c r="Y110" s="204"/>
    </row>
    <row r="111" spans="1:53" ht="17.399999999999999">
      <c r="A111" s="70"/>
      <c r="B111" s="70"/>
      <c r="C111" s="70"/>
      <c r="D111" s="565"/>
      <c r="E111" s="565"/>
      <c r="F111" s="565"/>
      <c r="G111" s="565"/>
      <c r="H111" s="565"/>
      <c r="I111" s="565"/>
      <c r="J111" s="565"/>
      <c r="K111" s="565"/>
      <c r="L111" s="565"/>
      <c r="M111" s="565"/>
      <c r="N111" s="565"/>
      <c r="O111" s="204"/>
      <c r="P111" s="204"/>
      <c r="Q111" s="204"/>
      <c r="R111" s="204"/>
      <c r="S111" s="204"/>
      <c r="T111" s="204"/>
      <c r="U111" s="204"/>
      <c r="V111" s="204"/>
      <c r="W111" s="204"/>
      <c r="X111" s="204"/>
      <c r="Y111" s="204"/>
    </row>
    <row r="112" spans="1:53" ht="17.399999999999999">
      <c r="A112" s="70"/>
      <c r="B112" s="70"/>
      <c r="C112" s="70"/>
      <c r="D112" s="566"/>
      <c r="E112" s="566"/>
      <c r="F112" s="566"/>
      <c r="G112" s="566"/>
      <c r="H112" s="566"/>
      <c r="I112" s="566"/>
      <c r="J112" s="566"/>
      <c r="K112" s="566"/>
      <c r="L112" s="566"/>
      <c r="M112" s="566"/>
      <c r="N112" s="566"/>
      <c r="O112" s="204"/>
      <c r="P112" s="204"/>
      <c r="Q112" s="204"/>
      <c r="R112" s="204"/>
      <c r="S112" s="204"/>
      <c r="T112" s="204"/>
      <c r="U112" s="204"/>
      <c r="V112" s="204"/>
      <c r="W112" s="204"/>
      <c r="X112" s="204"/>
      <c r="Y112" s="204"/>
    </row>
    <row r="113" spans="1:25" ht="17.399999999999999">
      <c r="A113" s="70"/>
      <c r="B113" s="70"/>
      <c r="C113" s="70"/>
      <c r="D113" s="565"/>
      <c r="E113" s="565"/>
      <c r="F113" s="565"/>
      <c r="G113" s="565"/>
      <c r="H113" s="565"/>
      <c r="I113" s="565"/>
      <c r="J113" s="565"/>
      <c r="K113" s="565"/>
      <c r="L113" s="565"/>
      <c r="M113" s="565"/>
      <c r="N113" s="565"/>
      <c r="O113" s="204"/>
      <c r="P113" s="204"/>
      <c r="Q113" s="204"/>
      <c r="R113" s="204"/>
      <c r="S113" s="204"/>
      <c r="T113" s="204"/>
      <c r="U113" s="204"/>
      <c r="V113" s="204"/>
      <c r="W113" s="204"/>
      <c r="X113" s="204"/>
      <c r="Y113" s="204"/>
    </row>
    <row r="114" spans="1:25" ht="17.399999999999999">
      <c r="A114" s="70"/>
      <c r="B114" s="70"/>
      <c r="C114" s="70"/>
      <c r="D114" s="70"/>
      <c r="E114" s="70"/>
      <c r="F114" s="70"/>
      <c r="G114" s="70"/>
      <c r="H114" s="70"/>
      <c r="I114" s="70"/>
      <c r="J114" s="70"/>
      <c r="K114" s="70"/>
      <c r="L114" s="70"/>
      <c r="M114" s="70"/>
      <c r="N114" s="70"/>
      <c r="O114" s="70"/>
      <c r="P114" s="70"/>
      <c r="Q114" s="70"/>
      <c r="R114" s="204"/>
      <c r="S114" s="70"/>
      <c r="T114" s="70"/>
      <c r="U114" s="70"/>
      <c r="V114" s="70"/>
      <c r="W114" s="70"/>
      <c r="X114" s="70"/>
      <c r="Y114" s="70"/>
    </row>
    <row r="115" spans="1:25" ht="17.399999999999999">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row>
    <row r="116" spans="1:25" ht="17.399999999999999">
      <c r="A116" s="90" t="str">
        <f>VLOOKUP(2097,Sprachindex!$A:$Z,Info!$O$7,FALSE)</f>
        <v>Produkttechnik</v>
      </c>
      <c r="B116" s="91"/>
      <c r="C116" s="91"/>
      <c r="D116" s="569"/>
      <c r="E116" s="569"/>
      <c r="F116" s="569"/>
      <c r="G116" s="569"/>
      <c r="H116" s="569"/>
      <c r="I116" s="569"/>
      <c r="J116" s="569"/>
      <c r="K116" s="92" t="str">
        <f>VLOOKUP(856,Sprachindex!$A:$Z,Info!$O$7,FALSE)</f>
        <v>Stand:</v>
      </c>
      <c r="L116" s="567">
        <f>Info!M59</f>
        <v>45511</v>
      </c>
      <c r="M116" s="567"/>
      <c r="N116" s="568"/>
      <c r="O116" s="69"/>
      <c r="P116" s="69"/>
      <c r="Q116" s="69"/>
      <c r="R116" s="70"/>
      <c r="S116" s="69"/>
      <c r="T116" s="69"/>
      <c r="U116" s="69"/>
      <c r="V116" s="69"/>
      <c r="W116" s="69"/>
      <c r="X116" s="69"/>
      <c r="Y116" s="69"/>
    </row>
    <row r="117" spans="1:25" ht="17.399999999999999">
      <c r="R117" s="69"/>
    </row>
    <row r="118" spans="1:25" ht="13.8" hidden="1"/>
    <row r="119" spans="1:25" ht="13.8" hidden="1"/>
    <row r="120" spans="1:25" ht="13.8" hidden="1"/>
    <row r="121" spans="1:25" ht="13.8" hidden="1"/>
    <row r="122" spans="1:25" ht="13.8" hidden="1"/>
    <row r="123" spans="1:25" ht="13.8" hidden="1"/>
    <row r="124" spans="1:25" ht="13.8" hidden="1"/>
    <row r="125" spans="1:25" ht="13.8" hidden="1"/>
    <row r="126" spans="1:25" ht="14.25" hidden="1" customHeight="1"/>
    <row r="127" spans="1:25" ht="14.25" hidden="1" customHeight="1"/>
    <row r="128" spans="1:25" ht="14.25" hidden="1" customHeight="1"/>
  </sheetData>
  <sheetProtection algorithmName="SHA-512" hashValue="X347nDR3O0Eyi5c1knPDL4JE6Vw+dElj2xHvw18pD1brySk80zSa/u/cczj9qTolzkzKGIlL/SH3m5/XfWf7Mw==" saltValue="m/uFgmRmCtRWBV8OodxEFg==" spinCount="100000" sheet="1" objects="1" selectLockedCells="1" autoFilter="0"/>
  <protectedRanges>
    <protectedRange password="DEBF" sqref="AE103:AF104" name="darf vom Benutzer nicht verändert werden_1_12"/>
    <protectedRange password="DEBF" sqref="AC105:AD107" name="darf vom Benutzer nicht verändert werden_1_5_10"/>
    <protectedRange password="DEBF" sqref="AC35:AD35" name="darf vom Benutzer nicht verändert werden_1_5_2"/>
    <protectedRange password="DEBF" sqref="AD36" name="darf vom Benutzer nicht verändert werden_1_1"/>
    <protectedRange password="DEBF" sqref="AC36" name="darf vom Benutzer nicht verändert werden_1_4_1"/>
    <protectedRange password="DEBF" sqref="AD39" name="darf vom Benutzer nicht verändert werden_1_2_6"/>
    <protectedRange password="DEBF" sqref="AC39" name="darf vom Benutzer nicht verändert werden_1_5_3"/>
    <protectedRange password="DEBF" sqref="AC40:AD40" name="darf vom Benutzer nicht verändert werden_1_5_12"/>
    <protectedRange password="DEBF" sqref="AC41:AD50" name="darf vom Benutzer nicht verändert werden_1_5_14"/>
    <protectedRange password="DEBF" sqref="AC51:AD51" name="darf vom Benutzer nicht verändert werden_1_5_15"/>
    <protectedRange password="DEBF" sqref="AC52:AD54" name="darf vom Benutzer nicht verändert werden_1_5_17"/>
    <protectedRange password="DEBF" sqref="AC55:AD71" name="darf vom Benutzer nicht verändert werden_1_5_18"/>
    <protectedRange password="DEBF" sqref="AC72:AD81 AC83:AD85 AC87:AD97" name="darf vom Benutzer nicht verändert werden_1_5_19"/>
    <protectedRange password="DEBF" sqref="AC99:AD100 AC103:AD104" name="darf vom Benutzer nicht verändert werden_1_5_20"/>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98:AD98" name="darf vom Benutzer nicht verändert werden_1_5"/>
    <protectedRange password="DEBF" sqref="AC38:AD38" name="darf vom Benutzer nicht verändert werden_1_5_1"/>
    <protectedRange password="DEBF" sqref="AC82:AD82" name="darf vom Benutzer nicht verändert werden_1_5_4"/>
    <protectedRange password="DEBF" sqref="AC86:AD86" name="darf vom Benutzer nicht verändert werden_1_5_5"/>
    <protectedRange password="DEBF" sqref="AD37" name="darf vom Benutzer nicht verändert werden_1_2"/>
    <protectedRange password="DEBF" sqref="AC37" name="darf vom Benutzer nicht verändert werden_1_5_2_5"/>
    <protectedRange password="DEBF" sqref="AD101:AF102" name="darf vom Benutzer nicht verändert werden_1_5_4_1"/>
  </protectedRanges>
  <autoFilter ref="A29:A107" xr:uid="{00000000-0009-0000-0000-000006000000}"/>
  <mergeCells count="109">
    <mergeCell ref="AC29:AD29"/>
    <mergeCell ref="E85:K85"/>
    <mergeCell ref="E76:K76"/>
    <mergeCell ref="E77:K77"/>
    <mergeCell ref="E78:K78"/>
    <mergeCell ref="E79:K79"/>
    <mergeCell ref="E80:K80"/>
    <mergeCell ref="E81:K81"/>
    <mergeCell ref="E83:K83"/>
    <mergeCell ref="E84:K84"/>
    <mergeCell ref="E57:H57"/>
    <mergeCell ref="J57:K57"/>
    <mergeCell ref="E75:K75"/>
    <mergeCell ref="E59:K59"/>
    <mergeCell ref="E60:K60"/>
    <mergeCell ref="E62:K62"/>
    <mergeCell ref="E63:K63"/>
    <mergeCell ref="E64:K64"/>
    <mergeCell ref="E65:K65"/>
    <mergeCell ref="E68:K68"/>
    <mergeCell ref="E70:K70"/>
    <mergeCell ref="E71:K71"/>
    <mergeCell ref="E58:H58"/>
    <mergeCell ref="J58:K58"/>
    <mergeCell ref="E103:H103"/>
    <mergeCell ref="I103:K103"/>
    <mergeCell ref="E87:K87"/>
    <mergeCell ref="E88:K88"/>
    <mergeCell ref="E89:K89"/>
    <mergeCell ref="E90:K90"/>
    <mergeCell ref="E91:K91"/>
    <mergeCell ref="E92:K92"/>
    <mergeCell ref="E93:K93"/>
    <mergeCell ref="E94:K94"/>
    <mergeCell ref="E95:K95"/>
    <mergeCell ref="E97:K97"/>
    <mergeCell ref="E98:K98"/>
    <mergeCell ref="E100:K100"/>
    <mergeCell ref="E99:K99"/>
    <mergeCell ref="E96:K96"/>
    <mergeCell ref="E101:K101"/>
    <mergeCell ref="E102:K102"/>
    <mergeCell ref="D116:J116"/>
    <mergeCell ref="E104:G104"/>
    <mergeCell ref="E105:K105"/>
    <mergeCell ref="E106:K106"/>
    <mergeCell ref="E107:K107"/>
    <mergeCell ref="L116:N116"/>
    <mergeCell ref="D108:N109"/>
    <mergeCell ref="D110:N111"/>
    <mergeCell ref="D112:N113"/>
    <mergeCell ref="E73:K73"/>
    <mergeCell ref="E61:K61"/>
    <mergeCell ref="E66:K66"/>
    <mergeCell ref="E67:K67"/>
    <mergeCell ref="E69:K69"/>
    <mergeCell ref="E72:K72"/>
    <mergeCell ref="E74:K74"/>
    <mergeCell ref="E82:K82"/>
    <mergeCell ref="E86:K86"/>
    <mergeCell ref="E56:H56"/>
    <mergeCell ref="J56:K56"/>
    <mergeCell ref="E55:K55"/>
    <mergeCell ref="E39:G39"/>
    <mergeCell ref="H39:K39"/>
    <mergeCell ref="E40:K40"/>
    <mergeCell ref="E41:K41"/>
    <mergeCell ref="E44:K44"/>
    <mergeCell ref="E45:K45"/>
    <mergeCell ref="E46:K46"/>
    <mergeCell ref="E47:K47"/>
    <mergeCell ref="E43:K43"/>
    <mergeCell ref="E48:K48"/>
    <mergeCell ref="E42:K4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s>
  <conditionalFormatting sqref="A31:A107">
    <cfRule type="cellIs" dxfId="999" priority="19" operator="equal">
      <formula>""</formula>
    </cfRule>
  </conditionalFormatting>
  <conditionalFormatting sqref="B105:E107">
    <cfRule type="cellIs" dxfId="998" priority="714" operator="equal">
      <formula>""</formula>
    </cfRule>
  </conditionalFormatting>
  <conditionalFormatting sqref="C9:E11">
    <cfRule type="cellIs" dxfId="996" priority="846" operator="equal">
      <formula>""</formula>
    </cfRule>
  </conditionalFormatting>
  <conditionalFormatting sqref="C13:E15">
    <cfRule type="cellIs" dxfId="995" priority="843" operator="equal">
      <formula>""</formula>
    </cfRule>
  </conditionalFormatting>
  <conditionalFormatting sqref="C18:E21">
    <cfRule type="cellIs" dxfId="994" priority="839" operator="equal">
      <formula>""</formula>
    </cfRule>
  </conditionalFormatting>
  <conditionalFormatting sqref="C24:E27">
    <cfRule type="cellIs" dxfId="993" priority="264" operator="equal">
      <formula>""</formula>
    </cfRule>
  </conditionalFormatting>
  <conditionalFormatting sqref="D68">
    <cfRule type="duplicateValues" dxfId="992" priority="384"/>
  </conditionalFormatting>
  <conditionalFormatting sqref="D69">
    <cfRule type="duplicateValues" dxfId="991" priority="385"/>
  </conditionalFormatting>
  <conditionalFormatting sqref="D70">
    <cfRule type="duplicateValues" dxfId="990" priority="579"/>
  </conditionalFormatting>
  <conditionalFormatting sqref="D78">
    <cfRule type="duplicateValues" dxfId="989" priority="578"/>
  </conditionalFormatting>
  <conditionalFormatting sqref="H37:K37">
    <cfRule type="cellIs" dxfId="987" priority="25" operator="equal">
      <formula>""</formula>
    </cfRule>
  </conditionalFormatting>
  <conditionalFormatting sqref="I13">
    <cfRule type="expression" dxfId="983" priority="2021">
      <formula>$P$13=1</formula>
    </cfRule>
    <cfRule type="expression" dxfId="982" priority="2020">
      <formula>$P$13=2</formula>
    </cfRule>
  </conditionalFormatting>
  <conditionalFormatting sqref="I21:I22 I28">
    <cfRule type="expression" dxfId="981" priority="2024">
      <formula>$P$21=10</formula>
    </cfRule>
  </conditionalFormatting>
  <conditionalFormatting sqref="I24:I26">
    <cfRule type="cellIs" dxfId="980" priority="17" operator="equal">
      <formula>""</formula>
    </cfRule>
  </conditionalFormatting>
  <conditionalFormatting sqref="J21:K22">
    <cfRule type="expression" dxfId="977" priority="2026">
      <formula>$P$21=10</formula>
    </cfRule>
  </conditionalFormatting>
  <conditionalFormatting sqref="L13">
    <cfRule type="expression" dxfId="974" priority="2023">
      <formula>$P$13=2</formula>
    </cfRule>
    <cfRule type="expression" dxfId="973" priority="2022">
      <formula>$P$13=1</formula>
    </cfRule>
  </conditionalFormatting>
  <conditionalFormatting sqref="L105:M107">
    <cfRule type="cellIs" dxfId="972" priority="26" operator="equal">
      <formula>""</formula>
    </cfRule>
  </conditionalFormatting>
  <conditionalFormatting sqref="AH48">
    <cfRule type="duplicateValues" dxfId="969" priority="216"/>
  </conditionalFormatting>
  <conditionalFormatting sqref="AH49">
    <cfRule type="duplicateValues" dxfId="968" priority="242"/>
  </conditionalFormatting>
  <conditionalFormatting sqref="AH50">
    <cfRule type="duplicateValues" dxfId="967" priority="235"/>
  </conditionalFormatting>
  <conditionalFormatting sqref="AH51">
    <cfRule type="duplicateValues" dxfId="966" priority="228"/>
  </conditionalFormatting>
  <conditionalFormatting sqref="AH87">
    <cfRule type="duplicateValues" dxfId="965" priority="62"/>
  </conditionalFormatting>
  <conditionalFormatting sqref="AH103:AL103">
    <cfRule type="duplicateValues" dxfId="964" priority="276"/>
  </conditionalFormatting>
  <conditionalFormatting sqref="AH52:AP54">
    <cfRule type="duplicateValues" dxfId="963" priority="377"/>
  </conditionalFormatting>
  <conditionalFormatting sqref="AH56:AP56">
    <cfRule type="duplicateValues" dxfId="962" priority="199"/>
  </conditionalFormatting>
  <conditionalFormatting sqref="AH57:AP57 AR57:AZ57">
    <cfRule type="duplicateValues" dxfId="961" priority="160"/>
  </conditionalFormatting>
  <conditionalFormatting sqref="AH58:AP58 AR58:BA58">
    <cfRule type="duplicateValues" dxfId="960" priority="116"/>
  </conditionalFormatting>
  <conditionalFormatting sqref="AH63:AP63">
    <cfRule type="duplicateValues" dxfId="959" priority="131"/>
  </conditionalFormatting>
  <conditionalFormatting sqref="AH64:AP64">
    <cfRule type="duplicateValues" dxfId="958" priority="129"/>
  </conditionalFormatting>
  <conditionalFormatting sqref="AH65:AP65">
    <cfRule type="duplicateValues" dxfId="957" priority="124"/>
  </conditionalFormatting>
  <conditionalFormatting sqref="AH66:AP66">
    <cfRule type="duplicateValues" dxfId="956" priority="122"/>
  </conditionalFormatting>
  <conditionalFormatting sqref="AH67:AP67">
    <cfRule type="duplicateValues" dxfId="955" priority="127"/>
  </conditionalFormatting>
  <conditionalFormatting sqref="AH71:AP71">
    <cfRule type="duplicateValues" dxfId="954" priority="313"/>
  </conditionalFormatting>
  <conditionalFormatting sqref="AH76:AP76">
    <cfRule type="duplicateValues" dxfId="953" priority="79"/>
  </conditionalFormatting>
  <conditionalFormatting sqref="AH77:AP77">
    <cfRule type="duplicateValues" dxfId="952" priority="76"/>
  </conditionalFormatting>
  <conditionalFormatting sqref="AH81:AP81">
    <cfRule type="duplicateValues" dxfId="951" priority="66"/>
  </conditionalFormatting>
  <conditionalFormatting sqref="AH83:AP83">
    <cfRule type="duplicateValues" dxfId="950" priority="70"/>
  </conditionalFormatting>
  <conditionalFormatting sqref="AH84:AP84">
    <cfRule type="duplicateValues" dxfId="949" priority="65"/>
  </conditionalFormatting>
  <conditionalFormatting sqref="AH85:AP85">
    <cfRule type="duplicateValues" dxfId="948" priority="64"/>
  </conditionalFormatting>
  <conditionalFormatting sqref="AH88:AP88">
    <cfRule type="duplicateValues" dxfId="947" priority="61"/>
  </conditionalFormatting>
  <conditionalFormatting sqref="AH89:AP89">
    <cfRule type="duplicateValues" dxfId="946" priority="60"/>
  </conditionalFormatting>
  <conditionalFormatting sqref="AH90:AP90">
    <cfRule type="duplicateValues" dxfId="945" priority="59"/>
  </conditionalFormatting>
  <conditionalFormatting sqref="AH91:AP91">
    <cfRule type="duplicateValues" dxfId="944" priority="58"/>
  </conditionalFormatting>
  <conditionalFormatting sqref="AH92:AP92">
    <cfRule type="duplicateValues" dxfId="943" priority="57"/>
  </conditionalFormatting>
  <conditionalFormatting sqref="AH93:AP93">
    <cfRule type="duplicateValues" dxfId="942" priority="71"/>
  </conditionalFormatting>
  <conditionalFormatting sqref="AH94:AP94">
    <cfRule type="duplicateValues" dxfId="941" priority="56"/>
  </conditionalFormatting>
  <conditionalFormatting sqref="AH95:AP95">
    <cfRule type="duplicateValues" dxfId="940" priority="55"/>
  </conditionalFormatting>
  <conditionalFormatting sqref="AH96:AP96">
    <cfRule type="duplicateValues" dxfId="939" priority="278"/>
  </conditionalFormatting>
  <conditionalFormatting sqref="AH104:AP104">
    <cfRule type="duplicateValues" dxfId="938" priority="38"/>
  </conditionalFormatting>
  <conditionalFormatting sqref="AH38:AQ38">
    <cfRule type="duplicateValues" dxfId="937" priority="31"/>
  </conditionalFormatting>
  <conditionalFormatting sqref="AH59:AQ59">
    <cfRule type="duplicateValues" dxfId="936" priority="134"/>
  </conditionalFormatting>
  <conditionalFormatting sqref="AH60:AQ60">
    <cfRule type="duplicateValues" dxfId="935" priority="125"/>
  </conditionalFormatting>
  <conditionalFormatting sqref="AH61:AQ61">
    <cfRule type="duplicateValues" dxfId="934" priority="133"/>
  </conditionalFormatting>
  <conditionalFormatting sqref="AH62:AQ62 AQ63:AQ65">
    <cfRule type="duplicateValues" dxfId="933" priority="132"/>
  </conditionalFormatting>
  <conditionalFormatting sqref="AH72:AQ72">
    <cfRule type="duplicateValues" dxfId="932" priority="6"/>
  </conditionalFormatting>
  <conditionalFormatting sqref="AH74:AQ74">
    <cfRule type="duplicateValues" dxfId="931" priority="81"/>
  </conditionalFormatting>
  <conditionalFormatting sqref="AH75:AQ75">
    <cfRule type="duplicateValues" dxfId="930" priority="80"/>
  </conditionalFormatting>
  <conditionalFormatting sqref="AH80:AQ80">
    <cfRule type="duplicateValues" dxfId="929" priority="302"/>
  </conditionalFormatting>
  <conditionalFormatting sqref="AH82:AQ82">
    <cfRule type="duplicateValues" dxfId="928" priority="24"/>
  </conditionalFormatting>
  <conditionalFormatting sqref="AH86:AQ86">
    <cfRule type="duplicateValues" dxfId="927" priority="27"/>
  </conditionalFormatting>
  <conditionalFormatting sqref="AH31:AU31">
    <cfRule type="duplicateValues" dxfId="926" priority="16"/>
  </conditionalFormatting>
  <conditionalFormatting sqref="AH32:AU33">
    <cfRule type="duplicateValues" dxfId="925" priority="14"/>
  </conditionalFormatting>
  <conditionalFormatting sqref="AH41:AU47">
    <cfRule type="duplicateValues" dxfId="924" priority="12"/>
  </conditionalFormatting>
  <conditionalFormatting sqref="AH55:AU55">
    <cfRule type="duplicateValues" dxfId="923" priority="10"/>
  </conditionalFormatting>
  <conditionalFormatting sqref="AH73:AU73">
    <cfRule type="duplicateValues" dxfId="922" priority="4"/>
  </conditionalFormatting>
  <conditionalFormatting sqref="AH79:AU79">
    <cfRule type="duplicateValues" dxfId="921" priority="8"/>
  </conditionalFormatting>
  <conditionalFormatting sqref="AI48">
    <cfRule type="duplicateValues" dxfId="920" priority="213"/>
  </conditionalFormatting>
  <conditionalFormatting sqref="AI49">
    <cfRule type="duplicateValues" dxfId="919" priority="239"/>
  </conditionalFormatting>
  <conditionalFormatting sqref="AI50">
    <cfRule type="duplicateValues" dxfId="918" priority="232"/>
  </conditionalFormatting>
  <conditionalFormatting sqref="AI51">
    <cfRule type="duplicateValues" dxfId="917" priority="227"/>
  </conditionalFormatting>
  <conditionalFormatting sqref="AI87:AP87">
    <cfRule type="duplicateValues" dxfId="916" priority="63"/>
  </conditionalFormatting>
  <conditionalFormatting sqref="AJ48">
    <cfRule type="duplicateValues" dxfId="915" priority="214"/>
  </conditionalFormatting>
  <conditionalFormatting sqref="AJ49">
    <cfRule type="duplicateValues" dxfId="914" priority="240"/>
  </conditionalFormatting>
  <conditionalFormatting sqref="AJ50">
    <cfRule type="duplicateValues" dxfId="913" priority="233"/>
  </conditionalFormatting>
  <conditionalFormatting sqref="AJ51">
    <cfRule type="duplicateValues" dxfId="912" priority="226"/>
  </conditionalFormatting>
  <conditionalFormatting sqref="AK48">
    <cfRule type="duplicateValues" dxfId="911" priority="210"/>
  </conditionalFormatting>
  <conditionalFormatting sqref="AK49">
    <cfRule type="duplicateValues" dxfId="910" priority="236"/>
  </conditionalFormatting>
  <conditionalFormatting sqref="AK50">
    <cfRule type="duplicateValues" dxfId="909" priority="234"/>
  </conditionalFormatting>
  <conditionalFormatting sqref="AK51">
    <cfRule type="duplicateValues" dxfId="908" priority="225"/>
  </conditionalFormatting>
  <conditionalFormatting sqref="AL48">
    <cfRule type="duplicateValues" dxfId="907" priority="209"/>
  </conditionalFormatting>
  <conditionalFormatting sqref="AL51">
    <cfRule type="duplicateValues" dxfId="906" priority="224"/>
  </conditionalFormatting>
  <conditionalFormatting sqref="AM48">
    <cfRule type="duplicateValues" dxfId="905" priority="215"/>
  </conditionalFormatting>
  <conditionalFormatting sqref="AM49">
    <cfRule type="duplicateValues" dxfId="904" priority="241"/>
  </conditionalFormatting>
  <conditionalFormatting sqref="AM50">
    <cfRule type="duplicateValues" dxfId="903" priority="231"/>
  </conditionalFormatting>
  <conditionalFormatting sqref="AM51">
    <cfRule type="duplicateValues" dxfId="902" priority="223"/>
  </conditionalFormatting>
  <conditionalFormatting sqref="AN48">
    <cfRule type="duplicateValues" dxfId="901" priority="211"/>
  </conditionalFormatting>
  <conditionalFormatting sqref="AN49">
    <cfRule type="duplicateValues" dxfId="900" priority="237"/>
  </conditionalFormatting>
  <conditionalFormatting sqref="AN50">
    <cfRule type="duplicateValues" dxfId="899" priority="229"/>
  </conditionalFormatting>
  <conditionalFormatting sqref="AN51">
    <cfRule type="duplicateValues" dxfId="898" priority="222"/>
  </conditionalFormatting>
  <conditionalFormatting sqref="AO48">
    <cfRule type="duplicateValues" dxfId="897" priority="212"/>
  </conditionalFormatting>
  <conditionalFormatting sqref="AO49">
    <cfRule type="duplicateValues" dxfId="896" priority="238"/>
  </conditionalFormatting>
  <conditionalFormatting sqref="AO50">
    <cfRule type="duplicateValues" dxfId="895" priority="230"/>
  </conditionalFormatting>
  <conditionalFormatting sqref="AO51">
    <cfRule type="duplicateValues" dxfId="894" priority="221"/>
  </conditionalFormatting>
  <conditionalFormatting sqref="AP48">
    <cfRule type="duplicateValues" dxfId="893" priority="208"/>
  </conditionalFormatting>
  <conditionalFormatting sqref="AP49">
    <cfRule type="duplicateValues" dxfId="892" priority="207"/>
  </conditionalFormatting>
  <conditionalFormatting sqref="AP50">
    <cfRule type="duplicateValues" dxfId="891" priority="206"/>
  </conditionalFormatting>
  <conditionalFormatting sqref="AP51">
    <cfRule type="duplicateValues" dxfId="890" priority="220"/>
  </conditionalFormatting>
  <conditionalFormatting sqref="AQ48">
    <cfRule type="duplicateValues" dxfId="889" priority="202"/>
  </conditionalFormatting>
  <conditionalFormatting sqref="AQ49">
    <cfRule type="duplicateValues" dxfId="888" priority="204"/>
  </conditionalFormatting>
  <conditionalFormatting sqref="AQ50">
    <cfRule type="duplicateValues" dxfId="887" priority="203"/>
  </conditionalFormatting>
  <conditionalFormatting sqref="AQ51">
    <cfRule type="duplicateValues" dxfId="886" priority="205"/>
  </conditionalFormatting>
  <conditionalFormatting sqref="AQ52:AQ54">
    <cfRule type="duplicateValues" dxfId="885" priority="33"/>
  </conditionalFormatting>
  <conditionalFormatting sqref="AQ63">
    <cfRule type="duplicateValues" dxfId="884" priority="130"/>
  </conditionalFormatting>
  <conditionalFormatting sqref="AQ64">
    <cfRule type="duplicateValues" dxfId="883" priority="128"/>
  </conditionalFormatting>
  <conditionalFormatting sqref="AQ65">
    <cfRule type="duplicateValues" dxfId="882" priority="123"/>
  </conditionalFormatting>
  <conditionalFormatting sqref="AQ66">
    <cfRule type="duplicateValues" dxfId="881" priority="121"/>
  </conditionalFormatting>
  <conditionalFormatting sqref="AQ67">
    <cfRule type="duplicateValues" dxfId="880" priority="126"/>
  </conditionalFormatting>
  <conditionalFormatting sqref="AQ71">
    <cfRule type="duplicateValues" dxfId="879" priority="82"/>
  </conditionalFormatting>
  <conditionalFormatting sqref="AQ76">
    <cfRule type="duplicateValues" dxfId="878" priority="78"/>
  </conditionalFormatting>
  <conditionalFormatting sqref="AQ77">
    <cfRule type="duplicateValues" dxfId="877" priority="77"/>
  </conditionalFormatting>
  <conditionalFormatting sqref="AQ81">
    <cfRule type="duplicateValues" dxfId="876" priority="51"/>
  </conditionalFormatting>
  <conditionalFormatting sqref="AQ83">
    <cfRule type="duplicateValues" dxfId="875" priority="48"/>
  </conditionalFormatting>
  <conditionalFormatting sqref="AQ84">
    <cfRule type="duplicateValues" dxfId="874" priority="50"/>
  </conditionalFormatting>
  <conditionalFormatting sqref="AQ85">
    <cfRule type="duplicateValues" dxfId="873" priority="49"/>
  </conditionalFormatting>
  <conditionalFormatting sqref="AQ87">
    <cfRule type="duplicateValues" dxfId="872" priority="46"/>
  </conditionalFormatting>
  <conditionalFormatting sqref="AQ88">
    <cfRule type="duplicateValues" dxfId="871" priority="45"/>
  </conditionalFormatting>
  <conditionalFormatting sqref="AQ89">
    <cfRule type="duplicateValues" dxfId="870" priority="44"/>
  </conditionalFormatting>
  <conditionalFormatting sqref="AQ90">
    <cfRule type="duplicateValues" dxfId="869" priority="43"/>
  </conditionalFormatting>
  <conditionalFormatting sqref="AQ91">
    <cfRule type="duplicateValues" dxfId="868" priority="42"/>
  </conditionalFormatting>
  <conditionalFormatting sqref="AQ92">
    <cfRule type="duplicateValues" dxfId="867" priority="41"/>
  </conditionalFormatting>
  <conditionalFormatting sqref="AQ93">
    <cfRule type="duplicateValues" dxfId="866" priority="47"/>
  </conditionalFormatting>
  <conditionalFormatting sqref="AQ94">
    <cfRule type="duplicateValues" dxfId="865" priority="40"/>
  </conditionalFormatting>
  <conditionalFormatting sqref="AQ95">
    <cfRule type="duplicateValues" dxfId="864" priority="39"/>
  </conditionalFormatting>
  <conditionalFormatting sqref="AQ96">
    <cfRule type="duplicateValues" dxfId="863" priority="277"/>
  </conditionalFormatting>
  <conditionalFormatting sqref="AQ104">
    <cfRule type="duplicateValues" dxfId="862" priority="34"/>
  </conditionalFormatting>
  <conditionalFormatting sqref="AR104:AU104">
    <cfRule type="duplicateValues" dxfId="861" priority="37"/>
  </conditionalFormatting>
  <conditionalFormatting sqref="AR56:BA56">
    <cfRule type="duplicateValues" dxfId="860" priority="198"/>
  </conditionalFormatting>
  <conditionalFormatting sqref="AV104:AZ104">
    <cfRule type="duplicateValues" dxfId="859" priority="36"/>
  </conditionalFormatting>
  <conditionalFormatting sqref="AV31:BA31">
    <cfRule type="duplicateValues" dxfId="858" priority="15"/>
  </conditionalFormatting>
  <conditionalFormatting sqref="AV32:BA33">
    <cfRule type="duplicateValues" dxfId="857" priority="13"/>
  </conditionalFormatting>
  <conditionalFormatting sqref="AV41:BA47">
    <cfRule type="duplicateValues" dxfId="856" priority="11"/>
  </conditionalFormatting>
  <conditionalFormatting sqref="AV55:BA55">
    <cfRule type="duplicateValues" dxfId="855" priority="9"/>
  </conditionalFormatting>
  <conditionalFormatting sqref="AV73:BA73">
    <cfRule type="duplicateValues" dxfId="854" priority="3"/>
  </conditionalFormatting>
  <conditionalFormatting sqref="AV79:BA79">
    <cfRule type="duplicateValues" dxfId="853" priority="7"/>
  </conditionalFormatting>
  <conditionalFormatting sqref="BA57">
    <cfRule type="duplicateValues" dxfId="852" priority="108"/>
  </conditionalFormatting>
  <conditionalFormatting sqref="BA104">
    <cfRule type="duplicateValues" dxfId="851" priority="35"/>
  </conditionalFormatting>
  <conditionalFormatting sqref="BC56:BK56">
    <cfRule type="duplicateValues" dxfId="850" priority="197"/>
  </conditionalFormatting>
  <conditionalFormatting sqref="BC57:BK57 BM57:BU57">
    <cfRule type="duplicateValues" dxfId="849" priority="140"/>
  </conditionalFormatting>
  <conditionalFormatting sqref="BC58:BK58 BM58:BV58">
    <cfRule type="duplicateValues" dxfId="848" priority="115"/>
  </conditionalFormatting>
  <conditionalFormatting sqref="BM56:BU56">
    <cfRule type="duplicateValues" dxfId="847" priority="196"/>
  </conditionalFormatting>
  <conditionalFormatting sqref="BV56">
    <cfRule type="duplicateValues" dxfId="846" priority="107"/>
  </conditionalFormatting>
  <conditionalFormatting sqref="BV57">
    <cfRule type="duplicateValues" dxfId="845" priority="106"/>
  </conditionalFormatting>
  <conditionalFormatting sqref="BX56">
    <cfRule type="duplicateValues" dxfId="844" priority="159"/>
  </conditionalFormatting>
  <conditionalFormatting sqref="BX57:CF57 CH57:CP57">
    <cfRule type="duplicateValues" dxfId="843" priority="139"/>
  </conditionalFormatting>
  <conditionalFormatting sqref="BX58:CF58 CH58:CQ58">
    <cfRule type="duplicateValues" dxfId="842" priority="114"/>
  </conditionalFormatting>
  <conditionalFormatting sqref="BY56:CF56">
    <cfRule type="duplicateValues" dxfId="841" priority="195"/>
  </conditionalFormatting>
  <conditionalFormatting sqref="CH56:CQ56">
    <cfRule type="duplicateValues" dxfId="840" priority="194"/>
  </conditionalFormatting>
  <conditionalFormatting sqref="CQ57">
    <cfRule type="duplicateValues" dxfId="839" priority="105"/>
  </conditionalFormatting>
  <conditionalFormatting sqref="CS56">
    <cfRule type="duplicateValues" dxfId="838" priority="158"/>
  </conditionalFormatting>
  <conditionalFormatting sqref="CS57:DA57 DX57:EF57">
    <cfRule type="duplicateValues" dxfId="837" priority="138"/>
  </conditionalFormatting>
  <conditionalFormatting sqref="CS58:DA58 DX58:EG58">
    <cfRule type="duplicateValues" dxfId="836" priority="113"/>
  </conditionalFormatting>
  <conditionalFormatting sqref="CT56:DA56">
    <cfRule type="duplicateValues" dxfId="835" priority="200"/>
  </conditionalFormatting>
  <conditionalFormatting sqref="DC56:DK56">
    <cfRule type="duplicateValues" dxfId="834" priority="201"/>
  </conditionalFormatting>
  <conditionalFormatting sqref="DC57:DK57">
    <cfRule type="duplicateValues" dxfId="833" priority="117"/>
  </conditionalFormatting>
  <conditionalFormatting sqref="DC58:DL58">
    <cfRule type="duplicateValues" dxfId="832" priority="111"/>
  </conditionalFormatting>
  <conditionalFormatting sqref="DL56">
    <cfRule type="duplicateValues" dxfId="831" priority="104"/>
  </conditionalFormatting>
  <conditionalFormatting sqref="DL57">
    <cfRule type="duplicateValues" dxfId="830" priority="103"/>
  </conditionalFormatting>
  <conditionalFormatting sqref="DN56">
    <cfRule type="duplicateValues" dxfId="829" priority="157"/>
  </conditionalFormatting>
  <conditionalFormatting sqref="DO56:DV56">
    <cfRule type="duplicateValues" dxfId="828" priority="192"/>
  </conditionalFormatting>
  <conditionalFormatting sqref="DX56:EF56">
    <cfRule type="duplicateValues" dxfId="827" priority="193"/>
  </conditionalFormatting>
  <conditionalFormatting sqref="EG56">
    <cfRule type="duplicateValues" dxfId="826" priority="102"/>
  </conditionalFormatting>
  <conditionalFormatting sqref="EG57">
    <cfRule type="duplicateValues" dxfId="825" priority="101"/>
  </conditionalFormatting>
  <conditionalFormatting sqref="EI56">
    <cfRule type="duplicateValues" dxfId="824" priority="156"/>
  </conditionalFormatting>
  <conditionalFormatting sqref="EI57:EQ57 ES57:FA57">
    <cfRule type="duplicateValues" dxfId="823" priority="137"/>
  </conditionalFormatting>
  <conditionalFormatting sqref="EI58:EQ58 ES58:FB58">
    <cfRule type="duplicateValues" dxfId="822" priority="112"/>
  </conditionalFormatting>
  <conditionalFormatting sqref="EJ56:EQ56">
    <cfRule type="duplicateValues" dxfId="821" priority="191"/>
  </conditionalFormatting>
  <conditionalFormatting sqref="ES56:FA56">
    <cfRule type="duplicateValues" dxfId="820" priority="118"/>
  </conditionalFormatting>
  <conditionalFormatting sqref="FB56">
    <cfRule type="duplicateValues" dxfId="819" priority="100"/>
  </conditionalFormatting>
  <conditionalFormatting sqref="FB57">
    <cfRule type="duplicateValues" dxfId="818" priority="99"/>
  </conditionalFormatting>
  <conditionalFormatting sqref="FD56">
    <cfRule type="duplicateValues" dxfId="817" priority="155"/>
  </conditionalFormatting>
  <conditionalFormatting sqref="FD57:FL57 FN57:FV57">
    <cfRule type="duplicateValues" dxfId="816" priority="136"/>
  </conditionalFormatting>
  <conditionalFormatting sqref="FE56:FL56">
    <cfRule type="duplicateValues" dxfId="815" priority="190"/>
  </conditionalFormatting>
  <conditionalFormatting sqref="FN56:FV56">
    <cfRule type="duplicateValues" dxfId="814" priority="189"/>
  </conditionalFormatting>
  <conditionalFormatting sqref="FW56">
    <cfRule type="duplicateValues" dxfId="813" priority="98"/>
  </conditionalFormatting>
  <conditionalFormatting sqref="FW57">
    <cfRule type="duplicateValues" dxfId="812" priority="97"/>
  </conditionalFormatting>
  <conditionalFormatting sqref="FY56">
    <cfRule type="duplicateValues" dxfId="811" priority="154"/>
  </conditionalFormatting>
  <conditionalFormatting sqref="FY57:GG57 GI57:GQ57">
    <cfRule type="duplicateValues" dxfId="810" priority="135"/>
  </conditionalFormatting>
  <conditionalFormatting sqref="FZ56:GG56">
    <cfRule type="duplicateValues" dxfId="809" priority="188"/>
  </conditionalFormatting>
  <conditionalFormatting sqref="GI56:GQ56">
    <cfRule type="duplicateValues" dxfId="808" priority="187"/>
  </conditionalFormatting>
  <conditionalFormatting sqref="GR56">
    <cfRule type="duplicateValues" dxfId="807" priority="96"/>
  </conditionalFormatting>
  <conditionalFormatting sqref="GR57">
    <cfRule type="duplicateValues" dxfId="806" priority="95"/>
  </conditionalFormatting>
  <conditionalFormatting sqref="GT56">
    <cfRule type="duplicateValues" dxfId="805" priority="153"/>
  </conditionalFormatting>
  <conditionalFormatting sqref="GU56:HB56">
    <cfRule type="duplicateValues" dxfId="804" priority="186"/>
  </conditionalFormatting>
  <conditionalFormatting sqref="HD56:HL56">
    <cfRule type="duplicateValues" dxfId="803" priority="185"/>
  </conditionalFormatting>
  <conditionalFormatting sqref="HM56">
    <cfRule type="duplicateValues" dxfId="802" priority="83"/>
  </conditionalFormatting>
  <conditionalFormatting sqref="HO56">
    <cfRule type="duplicateValues" dxfId="801" priority="152"/>
  </conditionalFormatting>
  <conditionalFormatting sqref="HP56:HW56">
    <cfRule type="duplicateValues" dxfId="800" priority="184"/>
  </conditionalFormatting>
  <conditionalFormatting sqref="HY56:IG56">
    <cfRule type="duplicateValues" dxfId="799" priority="183"/>
  </conditionalFormatting>
  <conditionalFormatting sqref="IH56">
    <cfRule type="duplicateValues" dxfId="798" priority="84"/>
  </conditionalFormatting>
  <conditionalFormatting sqref="IJ56">
    <cfRule type="duplicateValues" dxfId="797" priority="151"/>
  </conditionalFormatting>
  <conditionalFormatting sqref="IK56:IR56">
    <cfRule type="duplicateValues" dxfId="796" priority="182"/>
  </conditionalFormatting>
  <conditionalFormatting sqref="IT56:JB56">
    <cfRule type="duplicateValues" dxfId="795" priority="181"/>
  </conditionalFormatting>
  <conditionalFormatting sqref="JC56">
    <cfRule type="duplicateValues" dxfId="794" priority="85"/>
  </conditionalFormatting>
  <conditionalFormatting sqref="JE56">
    <cfRule type="duplicateValues" dxfId="793" priority="150"/>
  </conditionalFormatting>
  <conditionalFormatting sqref="JF56:JM56">
    <cfRule type="duplicateValues" dxfId="792" priority="180"/>
  </conditionalFormatting>
  <conditionalFormatting sqref="JO56:JW56">
    <cfRule type="duplicateValues" dxfId="791" priority="179"/>
  </conditionalFormatting>
  <conditionalFormatting sqref="JX56">
    <cfRule type="duplicateValues" dxfId="790" priority="86"/>
  </conditionalFormatting>
  <conditionalFormatting sqref="JZ56">
    <cfRule type="duplicateValues" dxfId="789" priority="149"/>
  </conditionalFormatting>
  <conditionalFormatting sqref="KA56:KH56">
    <cfRule type="duplicateValues" dxfId="788" priority="178"/>
  </conditionalFormatting>
  <conditionalFormatting sqref="KJ56:KR56">
    <cfRule type="duplicateValues" dxfId="787" priority="177"/>
  </conditionalFormatting>
  <conditionalFormatting sqref="KS56">
    <cfRule type="duplicateValues" dxfId="786" priority="87"/>
  </conditionalFormatting>
  <conditionalFormatting sqref="KU56">
    <cfRule type="duplicateValues" dxfId="785" priority="148"/>
  </conditionalFormatting>
  <conditionalFormatting sqref="KV56:LC56">
    <cfRule type="duplicateValues" dxfId="784" priority="176"/>
  </conditionalFormatting>
  <conditionalFormatting sqref="LE56:LM56">
    <cfRule type="duplicateValues" dxfId="783" priority="175"/>
  </conditionalFormatting>
  <conditionalFormatting sqref="LN56">
    <cfRule type="duplicateValues" dxfId="782" priority="88"/>
  </conditionalFormatting>
  <conditionalFormatting sqref="LP56">
    <cfRule type="duplicateValues" dxfId="781" priority="147"/>
  </conditionalFormatting>
  <conditionalFormatting sqref="LQ56:LX56">
    <cfRule type="duplicateValues" dxfId="780" priority="173"/>
  </conditionalFormatting>
  <conditionalFormatting sqref="LZ56:MH56">
    <cfRule type="duplicateValues" dxfId="779" priority="174"/>
  </conditionalFormatting>
  <conditionalFormatting sqref="MI56">
    <cfRule type="duplicateValues" dxfId="778" priority="89"/>
  </conditionalFormatting>
  <conditionalFormatting sqref="MK56">
    <cfRule type="duplicateValues" dxfId="777" priority="146"/>
  </conditionalFormatting>
  <conditionalFormatting sqref="ML56:MS56">
    <cfRule type="duplicateValues" dxfId="776" priority="172"/>
  </conditionalFormatting>
  <conditionalFormatting sqref="MU56:NC56">
    <cfRule type="duplicateValues" dxfId="775" priority="171"/>
  </conditionalFormatting>
  <conditionalFormatting sqref="ND56">
    <cfRule type="duplicateValues" dxfId="774" priority="90"/>
  </conditionalFormatting>
  <conditionalFormatting sqref="NF56">
    <cfRule type="duplicateValues" dxfId="773" priority="145"/>
  </conditionalFormatting>
  <conditionalFormatting sqref="NG56:NN56">
    <cfRule type="duplicateValues" dxfId="772" priority="170"/>
  </conditionalFormatting>
  <conditionalFormatting sqref="NP56:NX56">
    <cfRule type="duplicateValues" dxfId="771" priority="169"/>
  </conditionalFormatting>
  <conditionalFormatting sqref="NY56">
    <cfRule type="duplicateValues" dxfId="770" priority="91"/>
  </conditionalFormatting>
  <conditionalFormatting sqref="OA56">
    <cfRule type="duplicateValues" dxfId="769" priority="144"/>
  </conditionalFormatting>
  <conditionalFormatting sqref="OB56:OI56">
    <cfRule type="duplicateValues" dxfId="768" priority="168"/>
  </conditionalFormatting>
  <conditionalFormatting sqref="OK56:OS56">
    <cfRule type="duplicateValues" dxfId="767" priority="167"/>
  </conditionalFormatting>
  <conditionalFormatting sqref="OT56">
    <cfRule type="duplicateValues" dxfId="766" priority="92"/>
  </conditionalFormatting>
  <conditionalFormatting sqref="OV56">
    <cfRule type="duplicateValues" dxfId="765" priority="143"/>
  </conditionalFormatting>
  <conditionalFormatting sqref="OW56:PD56">
    <cfRule type="duplicateValues" dxfId="764" priority="166"/>
  </conditionalFormatting>
  <conditionalFormatting sqref="PF56:PN56">
    <cfRule type="duplicateValues" dxfId="763" priority="165"/>
  </conditionalFormatting>
  <conditionalFormatting sqref="PO56">
    <cfRule type="duplicateValues" dxfId="762" priority="93"/>
  </conditionalFormatting>
  <conditionalFormatting sqref="PQ56">
    <cfRule type="duplicateValues" dxfId="761" priority="142"/>
  </conditionalFormatting>
  <conditionalFormatting sqref="PR56:PY56">
    <cfRule type="duplicateValues" dxfId="760" priority="164"/>
  </conditionalFormatting>
  <conditionalFormatting sqref="QA56:QI56">
    <cfRule type="duplicateValues" dxfId="759" priority="163"/>
  </conditionalFormatting>
  <conditionalFormatting sqref="QJ56">
    <cfRule type="duplicateValues" dxfId="758" priority="94"/>
  </conditionalFormatting>
  <conditionalFormatting sqref="QL56">
    <cfRule type="duplicateValues" dxfId="757" priority="141"/>
  </conditionalFormatting>
  <conditionalFormatting sqref="QM56:QT56">
    <cfRule type="duplicateValues" dxfId="756" priority="162"/>
  </conditionalFormatting>
  <conditionalFormatting sqref="QV56:RE56">
    <cfRule type="duplicateValues" dxfId="755" priority="161"/>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1" r:id="rId6" name="Group Box 3">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43017" r:id="rId7" name="Option Button 9">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43018" r:id="rId8" name="Option Button 10">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43019" r:id="rId9" name="Option Button 11">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43020" r:id="rId10" name="Option Button 12">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43021" r:id="rId11" name="Option Button 13">
              <controlPr defaultSize="0" autoFill="0" autoLine="0" autoPict="0" altText="">
                <anchor moveWithCells="1">
                  <from>
                    <xdr:col>8</xdr:col>
                    <xdr:colOff>762000</xdr:colOff>
                    <xdr:row>15</xdr:row>
                    <xdr:rowOff>30480</xdr:rowOff>
                  </from>
                  <to>
                    <xdr:col>10</xdr:col>
                    <xdr:colOff>312420</xdr:colOff>
                    <xdr:row>16</xdr:row>
                    <xdr:rowOff>0</xdr:rowOff>
                  </to>
                </anchor>
              </controlPr>
            </control>
          </mc:Choice>
        </mc:AlternateContent>
        <mc:AlternateContent xmlns:mc="http://schemas.openxmlformats.org/markup-compatibility/2006">
          <mc:Choice Requires="x14">
            <control shapeId="43022" r:id="rId12" name="Option Button 14">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43023" r:id="rId13" name="Option Button 15">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43024" r:id="rId14" name="Option Button 16">
              <controlPr defaultSize="0" autoFill="0" autoLine="0" autoPict="0" altText="">
                <anchor moveWithCells="1">
                  <from>
                    <xdr:col>8</xdr:col>
                    <xdr:colOff>762000</xdr:colOff>
                    <xdr:row>17</xdr:row>
                    <xdr:rowOff>0</xdr:rowOff>
                  </from>
                  <to>
                    <xdr:col>10</xdr:col>
                    <xdr:colOff>388620</xdr:colOff>
                    <xdr:row>18</xdr:row>
                    <xdr:rowOff>0</xdr:rowOff>
                  </to>
                </anchor>
              </controlPr>
            </control>
          </mc:Choice>
        </mc:AlternateContent>
        <mc:AlternateContent xmlns:mc="http://schemas.openxmlformats.org/markup-compatibility/2006">
          <mc:Choice Requires="x14">
            <control shapeId="43025" r:id="rId15" name="Option Button 17">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43026" r:id="rId1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43032" r:id="rId17"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5" r:id="rId19" name="Option Button 27">
              <controlPr defaultSize="0" autoFill="0" autoLine="0" autoPict="0" altText="">
                <anchor moveWithCells="1">
                  <from>
                    <xdr:col>12</xdr:col>
                    <xdr:colOff>106680</xdr:colOff>
                    <xdr:row>14</xdr:row>
                    <xdr:rowOff>114300</xdr:rowOff>
                  </from>
                  <to>
                    <xdr:col>12</xdr:col>
                    <xdr:colOff>144780</xdr:colOff>
                    <xdr:row>14</xdr:row>
                    <xdr:rowOff>152400</xdr:rowOff>
                  </to>
                </anchor>
              </controlPr>
            </control>
          </mc:Choice>
        </mc:AlternateContent>
        <mc:AlternateContent xmlns:mc="http://schemas.openxmlformats.org/markup-compatibility/2006">
          <mc:Choice Requires="x14">
            <control shapeId="43036" r:id="rId20" name="Option Button 28">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43037" r:id="rId21"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2"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3" name="Group Box 34">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43043" r:id="rId24"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5"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D732986-220D-4EF1-A23C-16789CBCBBCE}">
            <xm:f>Info!$V$7=2</xm:f>
            <x14:dxf>
              <font>
                <color theme="0" tint="-4.9989318521683403E-2"/>
              </font>
              <border>
                <vertical/>
                <horizontal/>
              </border>
            </x14:dxf>
          </x14:cfRule>
          <xm:sqref>B101:N101</xm:sqref>
        </x14:conditionalFormatting>
        <x14:conditionalFormatting xmlns:xm="http://schemas.microsoft.com/office/excel/2006/main">
          <x14:cfRule type="expression" priority="731" id="{95CB1E38-AD11-45EF-A335-1B12662BC724}">
            <xm:f>$H$36=Formeln!$A$1</xm:f>
            <x14:dxf>
              <fill>
                <patternFill>
                  <bgColor theme="0" tint="-0.14996795556505021"/>
                </patternFill>
              </fill>
            </x14:dxf>
          </x14:cfRule>
          <xm:sqref>H36:K36</xm:sqref>
        </x14:conditionalFormatting>
        <x14:conditionalFormatting xmlns:xm="http://schemas.microsoft.com/office/excel/2006/main">
          <x14:cfRule type="expression" priority="729" id="{73772E87-E23C-426C-BB28-E5F990997E35}">
            <xm:f>$H$39=Formeln!$A$1</xm:f>
            <x14:dxf>
              <fill>
                <patternFill>
                  <bgColor theme="0" tint="-0.14996795556505021"/>
                </patternFill>
              </fill>
            </x14:dxf>
          </x14:cfRule>
          <xm:sqref>H39:K39</xm:sqref>
        </x14:conditionalFormatting>
        <x14:conditionalFormatting xmlns:xm="http://schemas.microsoft.com/office/excel/2006/main">
          <x14:cfRule type="expression" priority="483" id="{BFC165A3-0F05-4A4D-84C1-B0036427318B}">
            <xm:f>$H$49=Formeln!$A$1</xm:f>
            <x14:dxf>
              <fill>
                <patternFill>
                  <bgColor theme="0" tint="-0.14996795556505021"/>
                </patternFill>
              </fill>
            </x14:dxf>
          </x14:cfRule>
          <xm:sqref>H49:K49</xm:sqref>
        </x14:conditionalFormatting>
        <x14:conditionalFormatting xmlns:xm="http://schemas.microsoft.com/office/excel/2006/main">
          <x14:cfRule type="expression" priority="482" id="{DF88B47E-44CD-41DA-8C90-BE5EB4D4A94F}">
            <xm:f>$H$50=Formeln!$A$1</xm:f>
            <x14:dxf>
              <fill>
                <patternFill>
                  <bgColor theme="0" tint="-0.14996795556505021"/>
                </patternFill>
              </fill>
            </x14:dxf>
          </x14:cfRule>
          <xm:sqref>H50:K50</xm:sqref>
        </x14:conditionalFormatting>
        <x14:conditionalFormatting xmlns:xm="http://schemas.microsoft.com/office/excel/2006/main">
          <x14:cfRule type="expression" priority="721" id="{64FD6D0C-1AED-4835-94D1-1FD4838DEAA2}">
            <xm:f>$I$104=Formeln!$A$1</xm:f>
            <x14:dxf>
              <fill>
                <patternFill>
                  <bgColor theme="0" tint="-0.14996795556505021"/>
                </patternFill>
              </fill>
            </x14:dxf>
          </x14:cfRule>
          <xm:sqref>I104</xm:sqref>
        </x14:conditionalFormatting>
        <x14:conditionalFormatting xmlns:xm="http://schemas.microsoft.com/office/excel/2006/main">
          <x14:cfRule type="expression" priority="722" id="{D9936DED-693B-4573-8515-4E667D8BBD0A}">
            <xm:f>$I$103=Formeln!$A$1</xm:f>
            <x14:dxf>
              <fill>
                <patternFill>
                  <bgColor theme="0" tint="-0.14996795556505021"/>
                </patternFill>
              </fill>
            </x14:dxf>
          </x14:cfRule>
          <xm:sqref>I103:K103</xm:sqref>
        </x14:conditionalFormatting>
        <x14:conditionalFormatting xmlns:xm="http://schemas.microsoft.com/office/excel/2006/main">
          <x14:cfRule type="expression" priority="259" id="{1CBD7FD3-483D-40E0-A399-13CE1E72331D}">
            <xm:f>$J56=Formeln!$A$1</xm:f>
            <x14:dxf>
              <fill>
                <patternFill>
                  <bgColor theme="0" tint="-0.14996795556505021"/>
                </patternFill>
              </fill>
            </x14:dxf>
          </x14:cfRule>
          <xm:sqref>J56:K58</xm:sqref>
        </x14:conditionalFormatting>
        <x14:conditionalFormatting xmlns:xm="http://schemas.microsoft.com/office/excel/2006/main">
          <x14:cfRule type="expression" priority="719" id="{D2225997-6DDF-46CA-BCA7-D227C8F75BC5}">
            <xm:f>$K$104=Formeln!$A$1</xm:f>
            <x14:dxf>
              <fill>
                <patternFill>
                  <bgColor theme="0" tint="-0.14996795556505021"/>
                </patternFill>
              </fill>
            </x14:dxf>
          </x14:cfRule>
          <xm:sqref>K104</xm:sqref>
        </x14:conditionalFormatting>
        <x14:conditionalFormatting xmlns:xm="http://schemas.microsoft.com/office/excel/2006/main">
          <x14:cfRule type="expression" priority="18" id="{B9D83D1D-713C-433A-9618-20FB7ED379AA}">
            <xm:f>Info!$V$7=8</xm:f>
            <x14:dxf>
              <font>
                <color theme="1"/>
              </font>
              <border>
                <left style="thin">
                  <color auto="1"/>
                </left>
                <right style="thin">
                  <color auto="1"/>
                </right>
                <top style="thin">
                  <color auto="1"/>
                </top>
                <bottom style="thin">
                  <color auto="1"/>
                </bottom>
                <vertical/>
                <horizontal/>
              </border>
            </x14:dxf>
          </x14:cfRule>
          <xm:sqref>O30:O104</xm:sqref>
        </x14:conditionalFormatting>
        <x14:conditionalFormatting xmlns:xm="http://schemas.microsoft.com/office/excel/2006/main">
          <x14:cfRule type="expression" priority="21" id="{01395D4B-4B97-483B-A325-54B716139D1E}">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600-000000000000}">
          <x14:formula1>
            <xm:f>Formeln!$A$30:$A$51</xm:f>
          </x14:formula1>
          <xm:sqref>J56:K56</xm:sqref>
        </x14:dataValidation>
        <x14:dataValidation type="list" allowBlank="1" showInputMessage="1" showErrorMessage="1" xr:uid="{00000000-0002-0000-0600-000001000000}">
          <x14:formula1>
            <xm:f>Formeln!$A$23:$A$25</xm:f>
          </x14:formula1>
          <xm:sqref>I104</xm:sqref>
        </x14:dataValidation>
        <x14:dataValidation type="list" allowBlank="1" showInputMessage="1" showErrorMessage="1" xr:uid="{00000000-0002-0000-0600-000002000000}">
          <x14:formula1>
            <xm:f>Formeln!$A$20:$A$22</xm:f>
          </x14:formula1>
          <xm:sqref>H50:K50</xm:sqref>
        </x14:dataValidation>
        <x14:dataValidation type="list" allowBlank="1" showInputMessage="1" showErrorMessage="1" xr:uid="{00000000-0002-0000-0600-000003000000}">
          <x14:formula1>
            <xm:f>Formeln!$A$17:$A$19</xm:f>
          </x14:formula1>
          <xm:sqref>H49:K49</xm:sqref>
        </x14:dataValidation>
        <x14:dataValidation type="list" allowBlank="1" showInputMessage="1" showErrorMessage="1" xr:uid="{00000000-0002-0000-0600-000004000000}">
          <x14:formula1>
            <xm:f>Formeln!$A$9:$A$15</xm:f>
          </x14:formula1>
          <xm:sqref>H39:K39</xm:sqref>
        </x14:dataValidation>
        <x14:dataValidation type="list" allowBlank="1" showInputMessage="1" showErrorMessage="1" xr:uid="{00000000-0002-0000-0600-000005000000}">
          <x14:formula1>
            <xm:f>Formeln!$A$5:$A$8</xm:f>
          </x14:formula1>
          <xm:sqref>H37:K37</xm:sqref>
        </x14:dataValidation>
        <x14:dataValidation type="list" allowBlank="1" showInputMessage="1" showErrorMessage="1" xr:uid="{00000000-0002-0000-0600-000006000000}">
          <x14:formula1>
            <xm:f>Formeln!$A$1:$A$4</xm:f>
          </x14:formula1>
          <xm:sqref>H36:K36</xm:sqref>
        </x14:dataValidation>
        <x14:dataValidation type="list" allowBlank="1" showInputMessage="1" showErrorMessage="1" xr:uid="{00000000-0002-0000-0600-000007000000}">
          <x14:formula1>
            <xm:f>Formeln!$A$106:$A$111</xm:f>
          </x14:formula1>
          <xm:sqref>I103:K103</xm:sqref>
        </x14:dataValidation>
        <x14:dataValidation type="list" allowBlank="1" showInputMessage="1" showErrorMessage="1" xr:uid="{00000000-0002-0000-0600-000008000000}">
          <x14:formula1>
            <xm:f>Formeln!$A$52:$A$103</xm:f>
          </x14:formula1>
          <xm:sqref>J57:K57</xm:sqref>
        </x14:dataValidation>
        <x14:dataValidation type="list" allowBlank="1" showInputMessage="1" showErrorMessage="1" xr:uid="{00000000-0002-0000-0600-000009000000}">
          <x14:formula1>
            <xm:f>Formeln!$C$52:$C$111</xm:f>
          </x14:formula1>
          <xm:sqref>J58:K58</xm:sqref>
        </x14:dataValidation>
        <x14:dataValidation type="list" allowBlank="1" showInputMessage="1" showErrorMessage="1" xr:uid="{00000000-0002-0000-0600-00000A000000}">
          <x14:formula1>
            <xm:f>Formeln!$A$127:$A$138</xm:f>
          </x14:formula1>
          <xm:sqref>K104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RF126"/>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25" width="9.6640625" style="1" hidden="1" customWidth="1"/>
    <col min="26" max="27" width="8.6640625" style="5" hidden="1" customWidth="1"/>
    <col min="28" max="28" width="2.6640625" style="5" hidden="1" customWidth="1"/>
    <col min="29" max="29" width="30.6640625" style="9" hidden="1" customWidth="1"/>
    <col min="30" max="30" width="26" style="9" hidden="1" customWidth="1"/>
    <col min="31" max="31" width="26" style="1" hidden="1" customWidth="1"/>
    <col min="32" max="32" width="5.6640625" style="1" hidden="1" customWidth="1"/>
    <col min="33" max="33" width="1.33203125" style="1" hidden="1" customWidth="1"/>
    <col min="34" max="34" width="18.88671875" style="1" hidden="1" customWidth="1"/>
    <col min="35" max="474" width="0" style="1" hidden="1" customWidth="1"/>
    <col min="475" max="16384" width="8.6640625" style="1" hidden="1"/>
  </cols>
  <sheetData>
    <row r="1" spans="1:31" ht="28.2">
      <c r="N1" s="2" t="str">
        <f>VLOOKUP(279,Sprachindex!$A:$Z,Info!$O$7,FALSE)</f>
        <v>Dachsysteme</v>
      </c>
      <c r="O1" s="2"/>
      <c r="P1" s="2"/>
      <c r="Q1" s="2"/>
      <c r="R1" s="2"/>
      <c r="S1" s="2"/>
      <c r="T1" s="2"/>
      <c r="U1" s="2"/>
      <c r="V1" s="2"/>
      <c r="W1" s="2"/>
      <c r="X1" s="2"/>
      <c r="Y1" s="2"/>
    </row>
    <row r="2" spans="1:31" ht="28.2">
      <c r="D2" s="18"/>
      <c r="N2" s="2" t="str">
        <f>VLOOKUP(260,Sprachindex!$A:$Z,Info!$O$7,FALSE)</f>
        <v>Dachpaneel FX.12</v>
      </c>
      <c r="O2" s="2"/>
      <c r="P2" s="2"/>
      <c r="Q2" s="2"/>
      <c r="R2" s="2"/>
      <c r="S2" s="2"/>
      <c r="T2" s="2"/>
      <c r="U2" s="2"/>
      <c r="V2" s="2"/>
      <c r="W2" s="2"/>
      <c r="X2" s="2"/>
      <c r="Y2" s="2"/>
    </row>
    <row r="3" spans="1:31" ht="15" customHeight="1"/>
    <row r="4" spans="1:31" ht="17.25" customHeight="1">
      <c r="N4" s="204"/>
      <c r="O4" s="204"/>
      <c r="P4" s="204"/>
      <c r="Q4" s="204"/>
      <c r="R4" s="204"/>
      <c r="S4" s="204"/>
      <c r="T4" s="204"/>
      <c r="U4" s="204"/>
      <c r="V4" s="204"/>
      <c r="W4" s="204"/>
      <c r="X4" s="204"/>
      <c r="Y4" s="204"/>
      <c r="AE4" s="3"/>
    </row>
    <row r="5" spans="1:31" ht="17.25" customHeight="1">
      <c r="N5" s="204"/>
      <c r="O5" s="204"/>
      <c r="P5" s="204"/>
      <c r="Q5" s="204"/>
      <c r="R5" s="204"/>
      <c r="S5" s="204"/>
      <c r="T5" s="204"/>
      <c r="U5" s="204"/>
      <c r="V5" s="204"/>
      <c r="W5" s="204"/>
      <c r="X5" s="204"/>
      <c r="Y5" s="204"/>
      <c r="AE5" s="3"/>
    </row>
    <row r="6" spans="1:31" ht="17.25" customHeight="1">
      <c r="N6" s="204"/>
      <c r="O6" s="204"/>
      <c r="P6" s="204"/>
      <c r="Q6" s="204"/>
      <c r="R6" s="204"/>
      <c r="S6" s="204"/>
      <c r="T6" s="204"/>
      <c r="U6" s="204"/>
      <c r="V6" s="204"/>
      <c r="W6" s="204"/>
      <c r="X6" s="204"/>
      <c r="Y6" s="204"/>
      <c r="Z6" s="52">
        <v>0</v>
      </c>
      <c r="AA6" s="52"/>
      <c r="AB6" s="52"/>
      <c r="AE6" s="3"/>
    </row>
    <row r="7" spans="1:31" ht="17.25" customHeight="1">
      <c r="N7" s="204"/>
      <c r="O7" s="204"/>
      <c r="P7" s="204"/>
      <c r="Q7" s="204"/>
      <c r="R7" s="204"/>
      <c r="S7" s="204"/>
      <c r="T7" s="204"/>
      <c r="U7" s="204"/>
      <c r="V7" s="204"/>
      <c r="W7" s="204"/>
      <c r="X7" s="204"/>
      <c r="Y7" s="204"/>
      <c r="Z7" s="52"/>
      <c r="AA7" s="52"/>
      <c r="AB7" s="52"/>
      <c r="AE7" s="3"/>
    </row>
    <row r="8" spans="1:31" ht="17.25" customHeight="1">
      <c r="A8" s="88" t="str">
        <f>VLOOKUP(393,Sprachindex!$A:$Z,Info!$O$7,FALSE)</f>
        <v>Firma / Besteller:</v>
      </c>
      <c r="B8" s="70"/>
      <c r="C8" s="70"/>
      <c r="D8" s="70"/>
      <c r="E8" s="70"/>
      <c r="F8" s="70"/>
      <c r="G8" s="70"/>
      <c r="H8" s="70"/>
      <c r="I8" s="70"/>
      <c r="J8" s="70"/>
      <c r="K8" s="70"/>
      <c r="L8" s="70"/>
      <c r="M8" s="70"/>
      <c r="N8" s="70"/>
      <c r="O8" s="70"/>
      <c r="P8" s="70"/>
      <c r="Q8" s="70"/>
      <c r="R8" s="70"/>
      <c r="S8" s="70"/>
      <c r="T8" s="70"/>
      <c r="U8" s="70"/>
      <c r="V8" s="70"/>
      <c r="W8" s="70"/>
      <c r="X8" s="70"/>
      <c r="Y8" s="70"/>
      <c r="AD8" s="10"/>
    </row>
    <row r="9" spans="1:31" ht="15" customHeight="1">
      <c r="A9" s="70"/>
      <c r="B9" s="74" t="str">
        <f>VLOOKUP(622,Sprachindex!$A:$Z,Info!$O$7,FALSE)</f>
        <v>Name:</v>
      </c>
      <c r="C9" s="585"/>
      <c r="D9" s="586"/>
      <c r="E9" s="587"/>
      <c r="F9" s="70"/>
      <c r="G9" s="87" t="str">
        <f>VLOOKUP(638,Sprachindex!$A:$Z,Info!$O$7,FALSE)</f>
        <v>Oberfläche:</v>
      </c>
      <c r="H9" s="70"/>
      <c r="I9" s="93"/>
      <c r="J9" s="69"/>
      <c r="K9" s="70"/>
      <c r="L9" s="69" t="str">
        <f>VLOOKUP(433,Sprachindex!$A:$Z,Info!$O$7,FALSE)</f>
        <v>glatt</v>
      </c>
      <c r="M9" s="70"/>
      <c r="N9" s="70"/>
      <c r="O9" s="70"/>
      <c r="P9" s="70"/>
      <c r="Q9" s="70"/>
      <c r="R9" s="70"/>
      <c r="S9" s="70"/>
      <c r="T9" s="70"/>
      <c r="U9" s="70"/>
      <c r="V9" s="70"/>
      <c r="W9" s="70"/>
      <c r="X9" s="70"/>
      <c r="Y9" s="70"/>
      <c r="Z9" s="53">
        <v>1</v>
      </c>
      <c r="AA9" s="53"/>
      <c r="AB9" s="53"/>
      <c r="AC9" s="11"/>
      <c r="AE9" s="4"/>
    </row>
    <row r="10" spans="1:31" ht="15" customHeight="1">
      <c r="A10" s="70"/>
      <c r="B10" s="74" t="str">
        <f>VLOOKUP(884,Sprachindex!$A:$Z,Info!$O$7,FALSE)</f>
        <v>Straße:</v>
      </c>
      <c r="C10" s="585"/>
      <c r="D10" s="586"/>
      <c r="E10" s="587"/>
      <c r="F10" s="70"/>
      <c r="G10" s="70"/>
      <c r="H10" s="70"/>
      <c r="I10" s="70"/>
      <c r="J10" s="71">
        <v>1</v>
      </c>
      <c r="K10" s="70"/>
      <c r="L10" s="70"/>
      <c r="M10" s="70"/>
      <c r="N10" s="70"/>
      <c r="O10" s="70"/>
      <c r="P10" s="70"/>
      <c r="Q10" s="70"/>
      <c r="R10" s="70"/>
      <c r="S10" s="70"/>
      <c r="T10" s="70"/>
      <c r="U10" s="70"/>
      <c r="V10" s="70"/>
      <c r="W10" s="70"/>
      <c r="X10" s="70"/>
      <c r="Y10" s="70"/>
      <c r="AE10" s="4"/>
    </row>
    <row r="11" spans="1:31"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70"/>
      <c r="P11" s="70"/>
      <c r="Q11" s="70"/>
      <c r="R11" s="70"/>
      <c r="S11" s="70"/>
      <c r="T11" s="70"/>
      <c r="U11" s="70"/>
      <c r="V11" s="70"/>
      <c r="W11" s="70"/>
      <c r="X11" s="70"/>
      <c r="Y11" s="70"/>
      <c r="Z11" s="53">
        <v>0</v>
      </c>
      <c r="AA11" s="53"/>
      <c r="AB11" s="53"/>
      <c r="AC11" s="11"/>
      <c r="AE11" s="4"/>
    </row>
    <row r="12" spans="1:31" ht="15" customHeight="1">
      <c r="A12" s="70"/>
      <c r="B12" s="70"/>
      <c r="C12" s="70"/>
      <c r="D12" s="70"/>
      <c r="E12" s="70"/>
      <c r="F12" s="70"/>
      <c r="G12" s="70"/>
      <c r="H12" s="70"/>
      <c r="I12" s="74"/>
      <c r="J12" s="71">
        <v>1</v>
      </c>
      <c r="K12" s="70"/>
      <c r="L12" s="70"/>
      <c r="M12" s="70"/>
      <c r="N12" s="70"/>
      <c r="O12" s="70"/>
      <c r="P12" s="70"/>
      <c r="Q12" s="70"/>
      <c r="R12" s="70"/>
      <c r="S12" s="70"/>
      <c r="T12" s="70"/>
      <c r="U12" s="70"/>
      <c r="V12" s="70"/>
      <c r="W12" s="70"/>
      <c r="X12" s="70"/>
      <c r="Y12" s="70"/>
    </row>
    <row r="13" spans="1:31"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70"/>
      <c r="P13" s="70"/>
      <c r="Q13" s="70"/>
      <c r="R13" s="70"/>
      <c r="S13" s="70"/>
      <c r="T13" s="70"/>
      <c r="U13" s="70"/>
      <c r="V13" s="70"/>
      <c r="W13" s="70"/>
      <c r="X13" s="70"/>
      <c r="Y13" s="70"/>
      <c r="Z13" s="52"/>
      <c r="AA13" s="52"/>
      <c r="AB13" s="52"/>
      <c r="AC13" s="12"/>
      <c r="AE13" s="4"/>
    </row>
    <row r="14" spans="1:31" ht="15" customHeight="1">
      <c r="A14" s="70"/>
      <c r="B14" s="74" t="str">
        <f>VLOOKUP(901,Sprachindex!$A:$Z,Info!$O$7,FALSE)</f>
        <v>Telefon:</v>
      </c>
      <c r="C14" s="585"/>
      <c r="D14" s="586"/>
      <c r="E14" s="587"/>
      <c r="F14" s="70"/>
      <c r="G14" s="70"/>
      <c r="H14" s="70"/>
      <c r="I14" s="70"/>
      <c r="J14" s="70"/>
      <c r="K14" s="70"/>
      <c r="L14" s="70"/>
      <c r="M14" s="70"/>
      <c r="N14" s="70"/>
      <c r="O14" s="70"/>
      <c r="P14" s="70"/>
      <c r="Q14" s="70"/>
      <c r="R14" s="70"/>
      <c r="S14" s="70"/>
      <c r="T14" s="70"/>
      <c r="U14" s="70"/>
      <c r="V14" s="70"/>
      <c r="W14" s="70"/>
      <c r="X14" s="70"/>
      <c r="Y14" s="70"/>
      <c r="AE14" s="4"/>
    </row>
    <row r="15" spans="1:31"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0"/>
      <c r="P15" s="70"/>
      <c r="Q15" s="70"/>
      <c r="R15" s="70"/>
      <c r="S15" s="70"/>
      <c r="T15" s="70"/>
      <c r="U15" s="70"/>
      <c r="V15" s="70"/>
      <c r="W15" s="70"/>
      <c r="X15" s="70"/>
      <c r="Y15" s="70"/>
      <c r="AE15" s="4"/>
    </row>
    <row r="16" spans="1:31" ht="15" customHeight="1">
      <c r="A16" s="70"/>
      <c r="B16" s="70"/>
      <c r="C16" s="70"/>
      <c r="D16" s="70"/>
      <c r="E16" s="70"/>
      <c r="F16" s="70"/>
      <c r="G16" s="70" t="str">
        <f>VLOOKUP(25,Sprachindex!$A:$Z,Info!$O$7,FALSE)</f>
        <v>01 P.10 Braun</v>
      </c>
      <c r="H16" s="70"/>
      <c r="I16" s="70"/>
      <c r="J16" s="69" t="str">
        <f>VLOOKUP(37,Sprachindex!$A:$Z,Info!$O$7,FALSE)</f>
        <v>07 P.10 Hellgrau</v>
      </c>
      <c r="K16" s="70"/>
      <c r="L16" s="70"/>
      <c r="M16" s="70"/>
      <c r="N16" s="70"/>
      <c r="O16" s="70"/>
      <c r="P16" s="70"/>
      <c r="Q16" s="70"/>
      <c r="R16" s="70"/>
      <c r="S16" s="70"/>
      <c r="T16" s="70"/>
      <c r="U16" s="70"/>
      <c r="V16" s="70"/>
      <c r="W16" s="70"/>
      <c r="X16" s="70"/>
      <c r="Y16" s="70"/>
    </row>
    <row r="17" spans="1:53" ht="15" customHeight="1">
      <c r="A17" s="88" t="str">
        <f>VLOOKUP(580,Sprachindex!$A:$Z,Info!$O$7,FALSE)</f>
        <v>Lieferadresse:</v>
      </c>
      <c r="B17" s="70"/>
      <c r="C17" s="70"/>
      <c r="D17" s="70"/>
      <c r="E17" s="70"/>
      <c r="F17" s="70"/>
      <c r="G17" s="70" t="str">
        <f>VLOOKUP(27,Sprachindex!$A:$Z,Info!$O$7,FALSE)</f>
        <v>02 P.10 Anthrazit</v>
      </c>
      <c r="H17" s="70"/>
      <c r="I17" s="70"/>
      <c r="J17" s="72" t="str">
        <f>VLOOKUP(51,Sprachindex!$A:$Z,Info!$O$7,FALSE)</f>
        <v>11 P.10 Nussbraun</v>
      </c>
      <c r="K17" s="70"/>
      <c r="L17" s="70"/>
      <c r="M17" s="70"/>
      <c r="N17" s="70"/>
      <c r="O17" s="70"/>
      <c r="P17" s="70"/>
      <c r="Q17" s="70"/>
      <c r="R17" s="70"/>
      <c r="S17" s="70"/>
      <c r="T17" s="70"/>
      <c r="U17" s="70"/>
      <c r="V17" s="70"/>
      <c r="W17" s="70"/>
      <c r="X17" s="70"/>
      <c r="Y17" s="70"/>
      <c r="AD17" s="10"/>
    </row>
    <row r="18" spans="1:53" ht="15" customHeight="1">
      <c r="A18" s="70"/>
      <c r="B18" s="74" t="str">
        <f>VLOOKUP(622,Sprachindex!$A:$Z,Info!$O$7,FALSE)</f>
        <v>Name:</v>
      </c>
      <c r="C18" s="585"/>
      <c r="D18" s="586"/>
      <c r="E18" s="587"/>
      <c r="F18" s="70"/>
      <c r="G18" s="70" t="str">
        <f>VLOOKUP(28,Sprachindex!$A:$Z,Info!$O$7,FALSE)</f>
        <v>03 P.10 Schwarz</v>
      </c>
      <c r="H18" s="70"/>
      <c r="I18" s="70"/>
      <c r="J18" s="72" t="str">
        <f>VLOOKUP(63,Sprachindex!$A:$Z,Info!$O$7,FALSE)</f>
        <v>19 P.10 Dunkelgrau</v>
      </c>
      <c r="K18" s="70"/>
      <c r="L18" s="70"/>
      <c r="M18" s="70"/>
      <c r="N18" s="70"/>
      <c r="O18" s="70"/>
      <c r="P18" s="70"/>
      <c r="Q18" s="70"/>
      <c r="R18" s="70"/>
      <c r="S18" s="70"/>
      <c r="T18" s="70"/>
      <c r="U18" s="70"/>
      <c r="V18" s="70"/>
      <c r="W18" s="70"/>
      <c r="X18" s="70"/>
      <c r="Y18" s="70"/>
      <c r="Z18" s="14"/>
      <c r="AA18" s="14"/>
      <c r="AB18" s="14"/>
      <c r="AE18" s="4"/>
    </row>
    <row r="19" spans="1:53" ht="15" customHeight="1">
      <c r="A19" s="70"/>
      <c r="B19" s="74" t="str">
        <f>VLOOKUP(540,Sprachindex!$A:$Z,Info!$O$7,FALSE)</f>
        <v>Kommission:</v>
      </c>
      <c r="C19" s="585"/>
      <c r="D19" s="586"/>
      <c r="E19" s="587"/>
      <c r="F19" s="70"/>
      <c r="G19" s="70" t="str">
        <f>VLOOKUP(30,Sprachindex!$A:$Z,Info!$O$7,FALSE)</f>
        <v>04 P.10 Ziegelrot</v>
      </c>
      <c r="H19" s="70"/>
      <c r="I19" s="70"/>
      <c r="J19" s="72" t="str">
        <f>VLOOKUP(110,Sprachindex!$A:$Z,Info!$O$7,FALSE)</f>
        <v>43 P.10 Steingrau</v>
      </c>
      <c r="K19" s="70"/>
      <c r="L19" s="70"/>
      <c r="M19" s="70"/>
      <c r="N19" s="70"/>
      <c r="O19" s="70"/>
      <c r="P19" s="70"/>
      <c r="Q19" s="70"/>
      <c r="R19" s="70"/>
      <c r="S19" s="70"/>
      <c r="T19" s="70"/>
      <c r="U19" s="70"/>
      <c r="V19" s="70"/>
      <c r="W19" s="70"/>
      <c r="X19" s="70"/>
      <c r="Y19" s="70"/>
      <c r="AE19" s="4"/>
    </row>
    <row r="20" spans="1:53" ht="15" customHeight="1">
      <c r="A20" s="70"/>
      <c r="B20" s="74" t="str">
        <f>VLOOKUP(884,Sprachindex!$A:$Z,Info!$O$7,FALSE)</f>
        <v>Straße:</v>
      </c>
      <c r="C20" s="585"/>
      <c r="D20" s="586"/>
      <c r="E20" s="587"/>
      <c r="F20" s="70"/>
      <c r="G20" s="70" t="str">
        <f>VLOOKUP(33,Sprachindex!$A:$Z,Info!$O$7,FALSE)</f>
        <v>05 P.10 Oxydrot</v>
      </c>
      <c r="H20" s="70"/>
      <c r="I20" s="70"/>
      <c r="J20" s="72"/>
      <c r="K20" s="70"/>
      <c r="L20" s="71"/>
      <c r="M20" s="70"/>
      <c r="N20" s="70"/>
      <c r="O20" s="70"/>
      <c r="P20" s="70"/>
      <c r="Q20" s="70"/>
      <c r="R20" s="70"/>
      <c r="S20" s="70"/>
      <c r="T20" s="70"/>
      <c r="U20" s="70"/>
      <c r="V20" s="70"/>
      <c r="W20" s="70"/>
      <c r="X20" s="70"/>
      <c r="Y20" s="70"/>
      <c r="AE20" s="4"/>
      <c r="AG20" s="35"/>
      <c r="AH20" s="35"/>
    </row>
    <row r="21" spans="1:53" ht="15" customHeight="1">
      <c r="A21" s="70"/>
      <c r="B21" s="74" t="str">
        <f>VLOOKUP(641,Sprachindex!$A:$Z,Info!$O$7,FALSE)</f>
        <v>Ort:</v>
      </c>
      <c r="C21" s="585"/>
      <c r="D21" s="586"/>
      <c r="E21" s="587"/>
      <c r="F21" s="70"/>
      <c r="G21" s="70" t="str">
        <f>VLOOKUP(35,Sprachindex!$A:$Z,Info!$O$7,FALSE)</f>
        <v>06 P.10 Moosgrün</v>
      </c>
      <c r="H21" s="70"/>
      <c r="I21" s="95"/>
      <c r="J21" s="96"/>
      <c r="K21" s="96"/>
      <c r="L21" s="70"/>
      <c r="M21" s="70"/>
      <c r="N21" s="70"/>
      <c r="O21" s="54">
        <f>Z21</f>
        <v>0</v>
      </c>
      <c r="P21" s="9"/>
      <c r="Q21" s="9"/>
      <c r="R21" s="9"/>
      <c r="S21" s="9"/>
      <c r="T21" s="9"/>
      <c r="U21" s="70"/>
      <c r="V21" s="70"/>
      <c r="W21" s="70"/>
      <c r="X21" s="70"/>
      <c r="Y21" s="70"/>
      <c r="Z21" s="52">
        <v>0</v>
      </c>
      <c r="AA21" s="52"/>
      <c r="AB21" s="52"/>
      <c r="AE21" s="4"/>
    </row>
    <row r="22" spans="1:53" ht="15" customHeight="1">
      <c r="A22" s="70"/>
      <c r="B22" s="74"/>
      <c r="C22" s="70"/>
      <c r="D22" s="70"/>
      <c r="E22" s="70"/>
      <c r="F22" s="70"/>
      <c r="G22" s="70"/>
      <c r="H22" s="70"/>
      <c r="I22" s="95"/>
      <c r="J22" s="96"/>
      <c r="K22" s="96"/>
      <c r="L22" s="70"/>
      <c r="M22" s="70"/>
      <c r="N22" s="70"/>
      <c r="O22" s="70"/>
      <c r="P22" s="70"/>
      <c r="Q22" s="70"/>
      <c r="R22" s="70"/>
      <c r="S22" s="70"/>
      <c r="T22" s="70"/>
      <c r="U22" s="70"/>
      <c r="V22" s="70"/>
      <c r="W22" s="70"/>
      <c r="X22" s="70"/>
      <c r="Y22" s="70"/>
      <c r="Z22" s="52"/>
      <c r="AA22" s="52"/>
      <c r="AB22" s="52"/>
      <c r="AD22" s="152"/>
      <c r="AE22" s="186"/>
    </row>
    <row r="23" spans="1:53" s="5" customFormat="1" ht="15" customHeight="1">
      <c r="A23" s="88" t="str">
        <f>VLOOKUP(1427,Sprachindex!$A:$Z,Info!$O$7,FALSE)</f>
        <v>Projektdaten:</v>
      </c>
      <c r="B23" s="74"/>
      <c r="C23" s="70"/>
      <c r="D23" s="70"/>
      <c r="E23" s="70"/>
      <c r="F23" s="70"/>
      <c r="G23" s="88" t="str">
        <f>VLOOKUP(1428,Sprachindex!$A:$Z,Info!$O$7,FALSE)</f>
        <v>techn. Ausarbeitung PREFA:</v>
      </c>
      <c r="H23" s="74"/>
      <c r="I23" s="70"/>
      <c r="J23" s="70"/>
      <c r="K23" s="70"/>
      <c r="L23" s="70"/>
      <c r="M23" s="70"/>
      <c r="N23" s="70"/>
      <c r="O23" s="70"/>
      <c r="P23" s="70"/>
      <c r="Q23" s="70"/>
      <c r="R23" s="70"/>
      <c r="S23" s="70"/>
      <c r="T23" s="70"/>
      <c r="U23" s="70"/>
      <c r="V23" s="70"/>
      <c r="W23" s="70"/>
      <c r="X23" s="70"/>
      <c r="Y23" s="70"/>
      <c r="Z23" s="71"/>
      <c r="AA23" s="71"/>
      <c r="AB23" s="71"/>
      <c r="AC23" s="54"/>
      <c r="AD23" s="152"/>
      <c r="AE23" s="186"/>
    </row>
    <row r="24" spans="1:53" s="5" customFormat="1" ht="15" customHeight="1">
      <c r="A24" s="1"/>
      <c r="B24" s="584" t="str">
        <f>VLOOKUP(1430,Sprachindex!$A:$Z,Info!$O$7,FALSE)</f>
        <v>Beschreibung</v>
      </c>
      <c r="C24" s="585"/>
      <c r="D24" s="586"/>
      <c r="E24" s="587"/>
      <c r="F24" s="70"/>
      <c r="G24" s="88"/>
      <c r="H24" s="74" t="str">
        <f>VLOOKUP(1429,Sprachindex!$A:$Z,Info!$O$7,FALSE)</f>
        <v>Bearbeiter:</v>
      </c>
      <c r="I24" s="450"/>
      <c r="J24" s="70"/>
      <c r="K24" s="70"/>
      <c r="L24" s="70"/>
      <c r="M24" s="70"/>
      <c r="N24" s="70"/>
      <c r="O24" s="70"/>
      <c r="P24" s="70"/>
      <c r="Q24" s="70"/>
      <c r="R24" s="70"/>
      <c r="S24" s="70"/>
      <c r="T24" s="70"/>
      <c r="U24" s="70"/>
      <c r="V24" s="70"/>
      <c r="W24" s="70"/>
      <c r="X24" s="70"/>
      <c r="Y24" s="70"/>
      <c r="Z24" s="71"/>
      <c r="AA24" s="71"/>
      <c r="AB24" s="71"/>
      <c r="AC24" s="54"/>
      <c r="AD24" s="54"/>
      <c r="AE24" s="14"/>
    </row>
    <row r="25" spans="1:53" s="5" customFormat="1" ht="15" customHeight="1">
      <c r="A25" s="1"/>
      <c r="B25" s="584"/>
      <c r="C25" s="585"/>
      <c r="D25" s="586"/>
      <c r="E25" s="587"/>
      <c r="F25" s="70"/>
      <c r="G25" s="88"/>
      <c r="H25" s="74" t="str">
        <f>VLOOKUP(2243,Sprachindex!$A:$Z,Info!$O$7,FALSE)</f>
        <v>Projekt-ID:</v>
      </c>
      <c r="I25" s="450"/>
      <c r="J25" s="70"/>
      <c r="K25" s="70"/>
      <c r="L25" s="70"/>
      <c r="M25" s="70"/>
      <c r="N25" s="70"/>
      <c r="O25" s="70"/>
      <c r="P25" s="70"/>
      <c r="Q25" s="70"/>
      <c r="R25" s="70"/>
      <c r="S25" s="70"/>
      <c r="T25" s="70"/>
      <c r="U25" s="70"/>
      <c r="V25" s="70"/>
      <c r="W25" s="70"/>
      <c r="X25" s="70"/>
      <c r="Y25" s="70"/>
      <c r="Z25" s="71"/>
      <c r="AA25" s="71"/>
      <c r="AB25" s="71"/>
      <c r="AC25" s="54"/>
      <c r="AD25" s="54"/>
      <c r="AE25" s="184"/>
    </row>
    <row r="26" spans="1:53" s="5" customFormat="1" ht="15" customHeight="1">
      <c r="A26" s="1"/>
      <c r="B26" s="584"/>
      <c r="C26" s="585"/>
      <c r="D26" s="586"/>
      <c r="E26" s="587"/>
      <c r="F26" s="70"/>
      <c r="G26" s="88"/>
      <c r="H26" s="74" t="str">
        <f>VLOOKUP(286,Sprachindex!$A:$Z,Info!$O$7,FALSE)</f>
        <v>Datum:</v>
      </c>
      <c r="I26" s="550">
        <f ca="1">TODAY()</f>
        <v>45580</v>
      </c>
      <c r="J26" s="70"/>
      <c r="K26" s="70"/>
      <c r="L26" s="70"/>
      <c r="M26" s="70"/>
      <c r="N26" s="70"/>
      <c r="O26" s="70"/>
      <c r="P26" s="70"/>
      <c r="Q26" s="70"/>
      <c r="R26" s="70"/>
      <c r="S26" s="70"/>
      <c r="T26" s="70"/>
      <c r="U26" s="70"/>
      <c r="V26" s="70"/>
      <c r="W26" s="70"/>
      <c r="X26" s="70"/>
      <c r="Y26" s="70"/>
      <c r="Z26" s="71"/>
      <c r="AA26" s="71"/>
      <c r="AB26" s="71"/>
      <c r="AC26" s="54"/>
      <c r="AD26" s="54"/>
      <c r="AE26" s="14"/>
    </row>
    <row r="27" spans="1:53" s="5" customFormat="1" ht="15" customHeight="1">
      <c r="A27" s="1"/>
      <c r="B27" s="584"/>
      <c r="C27" s="585"/>
      <c r="D27" s="586"/>
      <c r="E27" s="587"/>
      <c r="F27" s="70"/>
      <c r="L27" s="70"/>
      <c r="M27" s="70"/>
      <c r="N27" s="70"/>
      <c r="O27" s="70"/>
      <c r="P27" s="70"/>
      <c r="Q27" s="70"/>
      <c r="R27" s="70"/>
      <c r="S27" s="70"/>
      <c r="T27" s="70"/>
      <c r="U27" s="70"/>
      <c r="V27" s="70"/>
      <c r="W27" s="70"/>
      <c r="X27" s="70"/>
      <c r="Y27" s="70"/>
      <c r="Z27" s="71"/>
      <c r="AA27" s="71"/>
      <c r="AB27" s="71"/>
      <c r="AC27" s="54"/>
      <c r="AD27" s="54"/>
      <c r="AE27" s="14"/>
    </row>
    <row r="28" spans="1:53" ht="15" customHeight="1">
      <c r="A28" s="70"/>
      <c r="B28" s="74"/>
      <c r="C28" s="70"/>
      <c r="D28" s="70"/>
      <c r="E28" s="70"/>
      <c r="F28" s="70"/>
      <c r="G28" s="70"/>
      <c r="H28" s="70"/>
      <c r="I28" s="95"/>
      <c r="J28" s="70"/>
      <c r="K28" s="70"/>
      <c r="L28" s="70"/>
      <c r="M28" s="70"/>
      <c r="N28" s="70"/>
      <c r="O28" s="70"/>
      <c r="P28" s="70"/>
      <c r="Q28" s="70"/>
      <c r="R28" s="70"/>
      <c r="S28" s="70"/>
      <c r="T28" s="70"/>
      <c r="U28" s="70"/>
      <c r="V28" s="70"/>
      <c r="W28" s="70"/>
      <c r="X28" s="70"/>
      <c r="Y28" s="70"/>
      <c r="AE28" s="4"/>
    </row>
    <row r="29" spans="1:53" ht="15" customHeight="1" thickBot="1">
      <c r="A29" s="100" t="str">
        <f>VLOOKUP(392,Sprachindex!$A:$Z,Info!$O$7,FALSE)</f>
        <v>Filter:</v>
      </c>
      <c r="B29" s="598"/>
      <c r="C29" s="598"/>
      <c r="D29" s="598"/>
      <c r="E29" s="598"/>
      <c r="F29" s="70"/>
      <c r="G29" s="70"/>
      <c r="H29" s="70"/>
      <c r="I29" s="70"/>
      <c r="J29" s="70"/>
      <c r="K29" s="70"/>
      <c r="L29" s="70"/>
      <c r="M29" s="70"/>
      <c r="N29" s="70"/>
      <c r="O29" s="70"/>
      <c r="P29" s="70"/>
      <c r="Q29" s="70"/>
      <c r="R29" s="70"/>
      <c r="S29" s="70"/>
      <c r="T29" s="70"/>
      <c r="U29" s="70"/>
      <c r="V29" s="70"/>
      <c r="W29" s="70"/>
      <c r="X29" s="70"/>
      <c r="Y29" s="70"/>
      <c r="AD29" s="591" t="s">
        <v>25</v>
      </c>
      <c r="AE29" s="591"/>
    </row>
    <row r="30" spans="1:53"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442" t="str">
        <f>VLOOKUP(332,Sprachindex!$A:$Z,Info!$O$7,FALSE)</f>
        <v>Einheit</v>
      </c>
      <c r="N30" s="75" t="str">
        <f>VLOOKUP(377,Sprachindex!$A:$Z,Info!$O$7,FALSE)</f>
        <v>Eventual</v>
      </c>
      <c r="O30" s="201" t="str">
        <f>VLOOKUP(1786,Sprachindex!$A:$Z,Info!$O$7,FALSE)</f>
        <v>Preis</v>
      </c>
      <c r="P30" s="5"/>
      <c r="Q30" s="5"/>
      <c r="R30" s="78" t="str">
        <f>VLOOKUP(1786,Sprachindex!$A:$Z,Info!$O$7,FALSE)</f>
        <v>Preis</v>
      </c>
      <c r="S30" s="78" t="str">
        <f>VLOOKUP(1786,Sprachindex!$A:$Z,Info!$O$7,FALSE)</f>
        <v>Preis</v>
      </c>
      <c r="T30" s="71"/>
      <c r="U30" s="71"/>
      <c r="V30" s="71"/>
      <c r="W30" s="71"/>
      <c r="X30" s="71"/>
      <c r="Y30" s="71"/>
      <c r="Z30" s="71"/>
      <c r="AA30" s="71"/>
      <c r="AB30" s="71"/>
      <c r="AC30" s="1"/>
      <c r="AD30" s="163" t="s">
        <v>31</v>
      </c>
      <c r="AE30" s="168" t="s">
        <v>32</v>
      </c>
      <c r="AH30" s="47" t="s">
        <v>33</v>
      </c>
      <c r="AI30" s="47" t="s">
        <v>34</v>
      </c>
      <c r="AJ30" s="47" t="s">
        <v>35</v>
      </c>
      <c r="AK30" s="47" t="s">
        <v>36</v>
      </c>
      <c r="AL30" s="47" t="s">
        <v>37</v>
      </c>
      <c r="AM30" s="47" t="s">
        <v>38</v>
      </c>
      <c r="AN30" s="47" t="s">
        <v>39</v>
      </c>
      <c r="AO30" s="47" t="s">
        <v>40</v>
      </c>
      <c r="AP30" s="47" t="s">
        <v>41</v>
      </c>
      <c r="AQ30" s="101" t="s">
        <v>42</v>
      </c>
      <c r="AR30" s="47" t="s">
        <v>33</v>
      </c>
      <c r="AS30" s="47" t="s">
        <v>34</v>
      </c>
      <c r="AT30" s="47" t="s">
        <v>35</v>
      </c>
      <c r="AU30" s="47" t="s">
        <v>36</v>
      </c>
      <c r="AV30" s="47" t="s">
        <v>37</v>
      </c>
      <c r="AW30" s="47" t="s">
        <v>38</v>
      </c>
      <c r="AX30" s="47" t="s">
        <v>39</v>
      </c>
      <c r="AY30" s="47" t="s">
        <v>40</v>
      </c>
      <c r="AZ30" s="47" t="s">
        <v>41</v>
      </c>
      <c r="BA30" s="101" t="s">
        <v>42</v>
      </c>
    </row>
    <row r="31" spans="1:53" ht="32.1" customHeight="1">
      <c r="A31" s="102"/>
      <c r="B31" s="77" t="str">
        <f>VLOOKUP(588,Sprachindex!$A:$Z,Info!$O$7,FALSE)</f>
        <v>m²</v>
      </c>
      <c r="C31" s="103"/>
      <c r="D31" s="78">
        <f>IF($Z$21=1,AH31,IF($Z$21=4,AI31,IF($Z$21=5,AJ31,IF($Z$21=11,AK31,IF($Z$21=7,AL31,IF($Z$21=3,AM31,IF($Z$21=6,AN31,IF($Z$21=9,AO31,IF($Z$21=2,AP31,IF($Z$21=8,AQ31,0))))))))))</f>
        <v>0</v>
      </c>
      <c r="E31" s="600" t="str">
        <f>VLOOKUP(423,Sprachindex!$A:$Z,Info!$O$7,FALSE)</f>
        <v>Dachpaneel FX.12 groß (1.400 × 420 mm)</v>
      </c>
      <c r="F31" s="601"/>
      <c r="G31" s="601"/>
      <c r="H31" s="601"/>
      <c r="I31" s="601"/>
      <c r="J31" s="601"/>
      <c r="K31" s="602"/>
      <c r="L31" s="77" t="str">
        <f>IF(A31=0,"",IF($Z$11=1,AD31,AE31))</f>
        <v/>
      </c>
      <c r="M31" s="432" t="str">
        <f>B31</f>
        <v>m²</v>
      </c>
      <c r="N31" s="437"/>
      <c r="O31" s="202" t="str">
        <f>IF(ISNUMBER(A31), IF(O21=7, $L31*S31, $L31*R31), "")</f>
        <v/>
      </c>
      <c r="P31" s="5"/>
      <c r="Q31" s="5"/>
      <c r="R31" s="200">
        <v>58.37</v>
      </c>
      <c r="S31" s="200">
        <v>60.5</v>
      </c>
      <c r="T31" s="5"/>
      <c r="U31" s="5"/>
      <c r="V31" s="5"/>
      <c r="W31" s="5"/>
      <c r="X31" s="5"/>
      <c r="Y31" s="5"/>
      <c r="AC31" s="1"/>
      <c r="AD31" s="147">
        <f>ROUNDUP(A31/11.76,0)*11.76</f>
        <v>0</v>
      </c>
      <c r="AE31" s="185">
        <f>ROUNDUP(A31,0)</f>
        <v>0</v>
      </c>
      <c r="AH31" s="44">
        <v>120600</v>
      </c>
      <c r="AI31" s="44">
        <v>120601</v>
      </c>
      <c r="AJ31" s="44">
        <v>120602</v>
      </c>
      <c r="AK31" s="44">
        <v>120603</v>
      </c>
      <c r="AL31" s="44">
        <v>120604</v>
      </c>
      <c r="AM31" s="44">
        <v>120607</v>
      </c>
      <c r="AN31" s="44">
        <v>120608</v>
      </c>
      <c r="AO31" s="44">
        <v>120609</v>
      </c>
      <c r="AP31" s="44">
        <v>120610</v>
      </c>
      <c r="AQ31" s="44">
        <v>120611</v>
      </c>
    </row>
    <row r="32" spans="1:53" ht="32.1" customHeight="1">
      <c r="A32" s="98"/>
      <c r="B32" s="79" t="str">
        <f>VLOOKUP(588,Sprachindex!$A:$Z,Info!$O$7,FALSE)</f>
        <v>m²</v>
      </c>
      <c r="C32" s="78"/>
      <c r="D32" s="78">
        <f>IF($Z$21=1,AH32,IF($Z$21=4,AI32,IF($Z$21=5,AJ32,IF($Z$21=11,AK32,IF($Z$21=7,AL32,IF($Z$21=3,AM32,IF($Z$21=6,AN32,IF($Z$21=9,AO32,IF($Z$21=2,AP32,IF($Z$21=8,AQ32,0))))))))))</f>
        <v>0</v>
      </c>
      <c r="E32" s="561" t="str">
        <f>VLOOKUP(422,Sprachindex!$A:$Z,Info!$O$7,FALSE)</f>
        <v>Dachpaneel FX.12 klein (700 × 420 mm)</v>
      </c>
      <c r="F32" s="562"/>
      <c r="G32" s="562"/>
      <c r="H32" s="562"/>
      <c r="I32" s="562"/>
      <c r="J32" s="562"/>
      <c r="K32" s="563"/>
      <c r="L32" s="79" t="str">
        <f>IF(A32=0,"",IF($Z$11=1,AD32,AE32))</f>
        <v/>
      </c>
      <c r="M32" s="433" t="str">
        <f t="shared" ref="M32:M95" si="0">B32</f>
        <v>m²</v>
      </c>
      <c r="N32" s="80"/>
      <c r="O32" s="202" t="str">
        <f>IF(ISNUMBER(A32), IF(O21=7, $L32*S32, $L32*R32), "")</f>
        <v/>
      </c>
      <c r="P32" s="5"/>
      <c r="Q32" s="5"/>
      <c r="R32" s="200">
        <v>58.37</v>
      </c>
      <c r="S32" s="200">
        <v>60.5</v>
      </c>
      <c r="T32" s="5"/>
      <c r="U32" s="5"/>
      <c r="V32" s="5"/>
      <c r="W32" s="5"/>
      <c r="X32" s="5"/>
      <c r="Y32" s="5"/>
      <c r="AC32" s="1"/>
      <c r="AD32" s="147">
        <f>ROUNDUP(A32/8.24,0)*8.24</f>
        <v>0</v>
      </c>
      <c r="AE32" s="185">
        <f>ROUNDUP(A32,0)</f>
        <v>0</v>
      </c>
      <c r="AH32" s="44">
        <v>120620</v>
      </c>
      <c r="AI32" s="44">
        <v>120621</v>
      </c>
      <c r="AJ32" s="44">
        <v>120622</v>
      </c>
      <c r="AK32" s="44">
        <v>120623</v>
      </c>
      <c r="AL32" s="44">
        <v>120624</v>
      </c>
      <c r="AM32" s="44">
        <v>120627</v>
      </c>
      <c r="AN32" s="44">
        <v>120628</v>
      </c>
      <c r="AO32" s="44">
        <v>120629</v>
      </c>
      <c r="AP32" s="44">
        <v>120619</v>
      </c>
      <c r="AQ32" s="44">
        <v>120618</v>
      </c>
    </row>
    <row r="33" spans="1:53" ht="32.1" customHeight="1">
      <c r="A33" s="98"/>
      <c r="B33" s="79" t="str">
        <f>VLOOKUP(1512,Sprachindex!$A:$Z,Info!$O$7,FALSE)</f>
        <v>lfm</v>
      </c>
      <c r="C33" s="78"/>
      <c r="D33" s="82">
        <v>562005</v>
      </c>
      <c r="E33" s="561" t="str">
        <f>VLOOKUP(768,Sprachindex!$A:$Z,Info!$O$7,FALSE)</f>
        <v>Saumstreifen (1.800 × 158 × 1,00 mm)</v>
      </c>
      <c r="F33" s="562"/>
      <c r="G33" s="562"/>
      <c r="H33" s="562"/>
      <c r="I33" s="562"/>
      <c r="J33" s="562"/>
      <c r="K33" s="563"/>
      <c r="L33" s="79" t="str">
        <f>IF(A33=0,"",IF($Z$11=1,AD33,AE33))</f>
        <v/>
      </c>
      <c r="M33" s="433" t="str">
        <f t="shared" si="0"/>
        <v>lfm</v>
      </c>
      <c r="N33" s="80"/>
      <c r="O33" s="202" t="str">
        <f>IF(ISNUMBER(A33),$L33*R33, "")</f>
        <v/>
      </c>
      <c r="P33" s="5"/>
      <c r="Q33" s="5"/>
      <c r="R33" s="200">
        <v>6.54</v>
      </c>
      <c r="S33" s="195"/>
      <c r="T33" s="5"/>
      <c r="U33" s="5"/>
      <c r="V33" s="5"/>
      <c r="W33" s="5"/>
      <c r="X33" s="5"/>
      <c r="Y33" s="5"/>
      <c r="AC33" s="1"/>
      <c r="AD33" s="147">
        <f>ROUNDUP($A33/1.8,0)*1.8</f>
        <v>0</v>
      </c>
      <c r="AE33" s="147">
        <f>ROUNDUP($A33/1.8,0)*1.8</f>
        <v>0</v>
      </c>
    </row>
    <row r="34" spans="1:53" ht="32.1" customHeight="1">
      <c r="A34" s="98"/>
      <c r="B34" s="79" t="str">
        <f>VLOOKUP(531,Sprachindex!$A:$Z,Info!$O$7,FALSE)</f>
        <v>kg</v>
      </c>
      <c r="C34" s="78"/>
      <c r="D34" s="78" t="str">
        <f>IF(H34=Formeln!A2,340392,IF(H34=Formeln!A3,340394,IF(H34=Formeln!A4,341392,"")))</f>
        <v/>
      </c>
      <c r="E34" s="561" t="str">
        <f>VLOOKUP(707,Sprachindex!$A:$Z,Info!$O$7,FALSE)</f>
        <v>Rillennagel (verzinkt)</v>
      </c>
      <c r="F34" s="562"/>
      <c r="G34" s="562"/>
      <c r="H34" s="572"/>
      <c r="I34" s="573"/>
      <c r="J34" s="573"/>
      <c r="K34" s="574"/>
      <c r="L34" s="79" t="str">
        <f>IF(A34=0,"",IF(H34=Formeln!$A$1,"",IF($Z$11=1,AD34,AE34)))</f>
        <v/>
      </c>
      <c r="M34" s="433" t="str">
        <f t="shared" si="0"/>
        <v>kg</v>
      </c>
      <c r="N34" s="80"/>
      <c r="O34" s="202" t="str">
        <f t="shared" ref="O34" si="1">IF(ISNUMBER(A34),$L34*R34, "")</f>
        <v/>
      </c>
      <c r="P34" s="5"/>
      <c r="Q34" s="5"/>
      <c r="R34" s="200">
        <v>9.35</v>
      </c>
      <c r="S34" s="195"/>
      <c r="T34" s="5"/>
      <c r="U34" s="5"/>
      <c r="V34" s="5"/>
      <c r="W34" s="5"/>
      <c r="X34" s="5"/>
      <c r="Y34" s="5"/>
      <c r="AC34" s="1"/>
      <c r="AD34" s="148">
        <f>IF(OR($H34=Formeln!$A$2,$H34=Formeln!$A$3),ROUNDUP($A34/2.5,0)*2.5,ROUNDUP($A34/2,0)*2)</f>
        <v>0</v>
      </c>
      <c r="AE34" s="148">
        <f>ROUNDUP($A34,2)</f>
        <v>0</v>
      </c>
      <c r="AF34" s="6">
        <f>IF(H34=Formeln!A2,570,IF(H34=Formeln!A3,480,IF(H34=Formeln!A4,380,0)))</f>
        <v>0</v>
      </c>
    </row>
    <row r="35" spans="1:53" ht="32.1" customHeight="1">
      <c r="A35" s="98"/>
      <c r="B35" s="79" t="str">
        <f>VLOOKUP(878,Sprachindex!$A:$Z,Info!$O$7,FALSE)</f>
        <v>Stk.</v>
      </c>
      <c r="C35" s="78"/>
      <c r="D35" s="81" t="str">
        <f>IF(H35=Formeln!A6,341395,IF(H35=Formeln!A7,341396,IF(H35=Formeln!A8,341398,"")))</f>
        <v/>
      </c>
      <c r="E35" s="561" t="str">
        <f>VLOOKUP(2186,Sprachindex!$A:$Z,Info!$O$7,FALSE)</f>
        <v>Rillennägel gebunden</v>
      </c>
      <c r="F35" s="562"/>
      <c r="G35" s="562"/>
      <c r="H35" s="572"/>
      <c r="I35" s="573"/>
      <c r="J35" s="573"/>
      <c r="K35" s="574"/>
      <c r="L35" s="141" t="str">
        <f>IF($A35=0,"",IF($H35=Formeln!$A$5,"",IF($Z$11=1,AD35,AE35)))</f>
        <v/>
      </c>
      <c r="M35" s="433" t="str">
        <f t="shared" si="0"/>
        <v>Stk.</v>
      </c>
      <c r="N35" s="80"/>
      <c r="O35" s="202" t="str">
        <f>IF(ISNUMBER(A35),IF(H35=Formeln!A7,$L35*S35/1000,IF(H35=Formeln!A6,$L35*R35/1000,L35*T35/1000)),"")</f>
        <v/>
      </c>
      <c r="P35" s="5"/>
      <c r="Q35" s="5"/>
      <c r="R35" s="200">
        <v>34.4</v>
      </c>
      <c r="S35" s="195">
        <v>51.6</v>
      </c>
      <c r="T35" s="135">
        <v>64.400000000000006</v>
      </c>
      <c r="U35" s="5"/>
      <c r="V35" s="5"/>
      <c r="W35" s="5"/>
      <c r="X35" s="5"/>
      <c r="Y35" s="5"/>
      <c r="AC35" s="135"/>
      <c r="AD35" s="148">
        <f>ROUNDUP($A35/$AF35,0)*$AF35</f>
        <v>0</v>
      </c>
      <c r="AE35" s="149">
        <f>ROUNDUP($A35/1000,0)*1000</f>
        <v>0</v>
      </c>
      <c r="AF35" s="150">
        <f>IF($H35=Formeln!$A$7,2400,3200)</f>
        <v>3200</v>
      </c>
    </row>
    <row r="36" spans="1:53" ht="32.1" customHeight="1">
      <c r="A36" s="98"/>
      <c r="B36" s="79" t="str">
        <f>VLOOKUP(1512,Sprachindex!$A:$Z,Info!$O$7,FALSE)</f>
        <v>lfm</v>
      </c>
      <c r="C36" s="78"/>
      <c r="D36" s="78">
        <f>IF($Z$21=1,AH36,IF($Z$21=4,AI36,IF($Z$21=5,AJ36,IF($Z$21=11,AK36,IF($Z$21=7,AL36,IF($Z$21=3,AM36,IF($Z$21=6,AN36,IF($Z$21=9,AO36,IF($Z$21=2,AP36,IF($Z$21=8,AQ36,0))))))))))</f>
        <v>0</v>
      </c>
      <c r="E36" s="561" t="str">
        <f>VLOOKUP(333,Sprachindex!$A:$Z,Info!$O$7,FALSE)</f>
        <v>Einlaufblech</v>
      </c>
      <c r="F36" s="562"/>
      <c r="G36" s="562"/>
      <c r="H36" s="562"/>
      <c r="I36" s="562"/>
      <c r="J36" s="562"/>
      <c r="K36" s="563"/>
      <c r="L36" s="79" t="str">
        <f>IF(A36=0,"",IF($Z$11=1,AD36,AE36))</f>
        <v/>
      </c>
      <c r="M36" s="433" t="str">
        <f t="shared" si="0"/>
        <v>lfm</v>
      </c>
      <c r="N36" s="80"/>
      <c r="O36" s="202" t="str">
        <f>IF(ISNUMBER(A36),$L36*R36, "")</f>
        <v/>
      </c>
      <c r="P36" s="5"/>
      <c r="Q36" s="5"/>
      <c r="R36" s="200">
        <v>8.65</v>
      </c>
      <c r="U36" s="5"/>
      <c r="V36" s="5"/>
      <c r="W36" s="5"/>
      <c r="X36" s="5"/>
      <c r="Y36" s="5"/>
      <c r="AC36" s="135"/>
      <c r="AD36" s="149">
        <f>ROUNDUP($A36/2,0)*2</f>
        <v>0</v>
      </c>
      <c r="AE36" s="149">
        <f>ROUNDUP($A36/2,0)*2</f>
        <v>0</v>
      </c>
      <c r="AF36" s="145"/>
      <c r="AH36" s="181">
        <v>212100</v>
      </c>
      <c r="AI36" s="181"/>
      <c r="AJ36" s="181">
        <v>212102</v>
      </c>
      <c r="AK36" s="181">
        <v>212101</v>
      </c>
      <c r="AL36" s="187"/>
      <c r="AM36" s="181"/>
      <c r="AN36" s="181">
        <v>212106</v>
      </c>
      <c r="AO36" s="181"/>
      <c r="AP36" s="181">
        <v>212104</v>
      </c>
      <c r="AQ36" s="181">
        <v>212103</v>
      </c>
    </row>
    <row r="37" spans="1:53" ht="32.1" customHeight="1">
      <c r="A37" s="98"/>
      <c r="B37" s="79" t="str">
        <f>VLOOKUP(1512,Sprachindex!$A:$Z,Info!$O$7,FALSE)</f>
        <v>lfm</v>
      </c>
      <c r="C37" s="82"/>
      <c r="D37" s="82" t="str">
        <f>IF(H37=Formeln!A10,507403,IF(H37=Formeln!A11,507404,IF(H37=Formeln!A12,507402,IF(H37=Formeln!A13,507405,IF(H37=Formeln!A14,507412,IF(H37=Formeln!A15,507413,""))))))</f>
        <v/>
      </c>
      <c r="E37" s="561" t="str">
        <f>VLOOKUP(586,Sprachindex!$A:$Z,Info!$O$7,FALSE)</f>
        <v>Lüftungsband</v>
      </c>
      <c r="F37" s="562"/>
      <c r="G37" s="562"/>
      <c r="H37" s="572"/>
      <c r="I37" s="573"/>
      <c r="J37" s="573"/>
      <c r="K37" s="574"/>
      <c r="L37" s="79" t="str">
        <f>IF($H37=Formeln!$A$9," ",IF(A37=0,"",IF($Z$11=1,AD37,AE37)))</f>
        <v xml:space="preserve"> </v>
      </c>
      <c r="M37" s="433" t="str">
        <f t="shared" si="0"/>
        <v>lfm</v>
      </c>
      <c r="N37" s="80"/>
      <c r="O37" s="202" t="str">
        <f>IF(ISNUMBER(A37), IF(H37=Formeln!A12, $L37*S37, $L37*R37), "")</f>
        <v/>
      </c>
      <c r="P37" s="5"/>
      <c r="Q37" s="5"/>
      <c r="R37" s="200">
        <v>13.23</v>
      </c>
      <c r="S37" s="200">
        <v>21.27</v>
      </c>
      <c r="T37" s="5"/>
      <c r="U37" s="5"/>
      <c r="V37" s="5"/>
      <c r="W37" s="5"/>
      <c r="X37" s="5"/>
      <c r="Y37" s="5"/>
      <c r="AC37" s="1"/>
      <c r="AD37" s="149">
        <f>ROUNDUP($A37/40,0)*40</f>
        <v>0</v>
      </c>
      <c r="AE37" s="149">
        <f>$A37</f>
        <v>0</v>
      </c>
      <c r="AH37" s="45" t="s">
        <v>26</v>
      </c>
      <c r="AI37" s="13"/>
      <c r="AJ37" s="13"/>
      <c r="AK37" s="13"/>
      <c r="AL37" s="13"/>
      <c r="AM37" s="13"/>
      <c r="AN37" s="13"/>
      <c r="AO37" s="13"/>
      <c r="AP37" s="13"/>
      <c r="AQ37" s="13"/>
      <c r="AR37" s="45" t="s">
        <v>27</v>
      </c>
      <c r="AS37" s="13"/>
      <c r="AT37" s="13"/>
      <c r="AU37" s="13"/>
      <c r="AV37" s="13"/>
      <c r="AW37" s="13"/>
      <c r="AX37" s="13"/>
      <c r="AY37" s="13"/>
      <c r="AZ37" s="13"/>
      <c r="BA37" s="46"/>
    </row>
    <row r="38" spans="1:53" ht="32.1" customHeight="1">
      <c r="A38" s="98"/>
      <c r="B38" s="79" t="str">
        <f>VLOOKUP(1512,Sprachindex!$A:$Z,Info!$O$7,FALSE)</f>
        <v>lfm</v>
      </c>
      <c r="C38" s="78"/>
      <c r="D38" s="78">
        <v>507300</v>
      </c>
      <c r="E38" s="561" t="str">
        <f>VLOOKUP(986,Sprachindex!$A:$Z,Info!$O$7,FALSE)</f>
        <v>Vogelschutzgitter (Braun/Anthrazit; 125 × 2.000 × 0,7 mm)</v>
      </c>
      <c r="F38" s="562"/>
      <c r="G38" s="562"/>
      <c r="H38" s="562"/>
      <c r="I38" s="562"/>
      <c r="J38" s="562"/>
      <c r="K38" s="563"/>
      <c r="L38" s="79" t="str">
        <f>IF(A38=0,"",IF($Z$11=1,AD38,AE38))</f>
        <v/>
      </c>
      <c r="M38" s="433" t="str">
        <f t="shared" si="0"/>
        <v>lfm</v>
      </c>
      <c r="N38" s="80"/>
      <c r="O38" s="202" t="str">
        <f t="shared" ref="O38:O46" si="2">IF(ISNUMBER(A38),$L38*R38, "")</f>
        <v/>
      </c>
      <c r="P38" s="5"/>
      <c r="Q38" s="5"/>
      <c r="R38" s="200">
        <v>4.01</v>
      </c>
      <c r="S38" s="195"/>
      <c r="T38" s="5"/>
      <c r="U38" s="5"/>
      <c r="V38" s="5"/>
      <c r="W38" s="5"/>
      <c r="X38" s="5"/>
      <c r="Y38" s="5"/>
      <c r="AC38" s="1"/>
      <c r="AD38" s="149">
        <f>ROUNDUP($A38/2,0)*2</f>
        <v>0</v>
      </c>
      <c r="AE38" s="149">
        <f>ROUNDUP($A38/2,0)*2</f>
        <v>0</v>
      </c>
      <c r="AH38" s="47" t="s">
        <v>33</v>
      </c>
      <c r="AI38" s="47" t="s">
        <v>34</v>
      </c>
      <c r="AJ38" s="47" t="s">
        <v>35</v>
      </c>
      <c r="AK38" s="47" t="s">
        <v>36</v>
      </c>
      <c r="AL38" s="47" t="s">
        <v>37</v>
      </c>
      <c r="AM38" s="47" t="s">
        <v>38</v>
      </c>
      <c r="AN38" s="47" t="s">
        <v>39</v>
      </c>
      <c r="AO38" s="47" t="s">
        <v>40</v>
      </c>
      <c r="AP38" s="47" t="s">
        <v>41</v>
      </c>
      <c r="AQ38" s="47" t="s">
        <v>42</v>
      </c>
      <c r="AR38" s="47" t="s">
        <v>33</v>
      </c>
      <c r="AS38" s="47" t="s">
        <v>34</v>
      </c>
      <c r="AT38" s="47" t="s">
        <v>35</v>
      </c>
      <c r="AU38" s="47" t="s">
        <v>36</v>
      </c>
      <c r="AV38" s="47" t="s">
        <v>37</v>
      </c>
      <c r="AW38" s="47" t="s">
        <v>38</v>
      </c>
      <c r="AX38" s="47" t="s">
        <v>39</v>
      </c>
      <c r="AY38" s="47" t="s">
        <v>40</v>
      </c>
      <c r="AZ38" s="47" t="s">
        <v>41</v>
      </c>
      <c r="BA38" s="47" t="s">
        <v>42</v>
      </c>
    </row>
    <row r="39" spans="1:53" ht="32.1" customHeight="1">
      <c r="A39" s="98"/>
      <c r="B39" s="79" t="str">
        <f>VLOOKUP(1512,Sprachindex!$A:$Z,Info!$O$7,FALSE)</f>
        <v>lfm</v>
      </c>
      <c r="C39" s="78"/>
      <c r="D39" s="78">
        <f>IF(AND($Z$9=2,$Z$21=1),AH39,IF(AND($Z$9=2,$Z$21=4),AI39,IF(AND($Z$9=2,$Z$21=5),AJ39,IF(AND($Z$9=2,$Z$21=11),AK39,IF(AND($Z$9=2,$Z$21=7),AL39,IF(AND($Z$9=2,$Z$21=3),AM39,IF(AND($Z$9=2,$Z$21=6),AN39,IF(AND($Z$9=2,$Z$21=9),AO39,IF(AND($Z$9=2,$Z$21=2),AP39,IF(AND($Z$9=2,$Z$21=8),AQ39,IF(AND($Z$9=1,$Z$21=1),AR39,IF(AND($Z$9=1,$Z$21=1),AR39,IF(AND($Z$9=1,$Z$21=4),AS39,IF(AND($Z$9=1,$Z$21=5),AT39,IF(AND($Z$9=1,$Z$21=11),AU39,IF(AND($Z$9=1,$Z$21=7),AV39,IF(AND($Z$9=1,$Z$21=3),AW39,IF(AND($Z$9=1,$Z$21=6),AX39,IF(AND($Z$9=1,$Z$21=9),AY39,IF(AND($Z$9=1,$Z$21=2),AZ39,IF(AND($Z$9=1,$Z$21=8),BA39,0)))))))))))))))))))))</f>
        <v>0</v>
      </c>
      <c r="E39" s="561" t="str">
        <f>VLOOKUP(647,Sprachindex!$A:$Z,Info!$O$7,FALSE)</f>
        <v>Ortgangstreifen (95 × 2.000 × 0,70 mm)</v>
      </c>
      <c r="F39" s="562"/>
      <c r="G39" s="562"/>
      <c r="H39" s="562"/>
      <c r="I39" s="562"/>
      <c r="J39" s="562"/>
      <c r="K39" s="563"/>
      <c r="L39" s="79" t="str">
        <f>IF(A39=0,"",IF($Z$11=1,AD39,AE39))</f>
        <v/>
      </c>
      <c r="M39" s="433" t="str">
        <f t="shared" si="0"/>
        <v>lfm</v>
      </c>
      <c r="N39" s="80"/>
      <c r="O39" s="202" t="str">
        <f t="shared" si="2"/>
        <v/>
      </c>
      <c r="P39" s="5"/>
      <c r="Q39" s="5"/>
      <c r="R39" s="200">
        <v>9.57</v>
      </c>
      <c r="S39" s="200"/>
      <c r="T39" s="5"/>
      <c r="U39" s="5"/>
      <c r="V39" s="5"/>
      <c r="W39" s="5"/>
      <c r="X39" s="5"/>
      <c r="Y39" s="5"/>
      <c r="AC39" s="1"/>
      <c r="AD39" s="149">
        <f>ROUNDUP($A39/2,0)*2</f>
        <v>0</v>
      </c>
      <c r="AE39" s="149">
        <f>ROUNDUP($A39/2,0)*2</f>
        <v>0</v>
      </c>
      <c r="AH39" s="44">
        <v>110500</v>
      </c>
      <c r="AI39" s="44">
        <v>110501</v>
      </c>
      <c r="AJ39" s="44">
        <v>110502</v>
      </c>
      <c r="AK39" s="44">
        <v>110503</v>
      </c>
      <c r="AL39" s="44">
        <v>110504</v>
      </c>
      <c r="AM39" s="44">
        <v>110505</v>
      </c>
      <c r="AN39" s="44">
        <v>110506</v>
      </c>
      <c r="AO39" s="44">
        <v>110507</v>
      </c>
      <c r="AP39" s="44">
        <v>110508</v>
      </c>
      <c r="AQ39" s="44"/>
      <c r="AR39" s="44">
        <v>110510</v>
      </c>
      <c r="AS39" s="44">
        <v>110511</v>
      </c>
      <c r="AT39" s="44">
        <v>110512</v>
      </c>
      <c r="AU39" s="44">
        <v>110513</v>
      </c>
      <c r="AV39" s="44">
        <v>110514</v>
      </c>
      <c r="AW39" s="44">
        <v>110515</v>
      </c>
      <c r="AX39" s="44">
        <v>110516</v>
      </c>
      <c r="AY39" s="44">
        <v>110517</v>
      </c>
      <c r="AZ39" s="44">
        <v>110518</v>
      </c>
      <c r="BA39" s="1">
        <v>110519</v>
      </c>
    </row>
    <row r="40" spans="1:53" ht="32.1" customHeight="1">
      <c r="A40" s="98"/>
      <c r="B40" s="79" t="str">
        <f>VLOOKUP(1512,Sprachindex!$A:$Z,Info!$O$7,FALSE)</f>
        <v>lfm</v>
      </c>
      <c r="C40" s="78"/>
      <c r="D40" s="78">
        <f t="shared" ref="D40:D45" si="3">IF(AND($Z$9=2,$Z$21=1),AH40,IF(AND($Z$9=2,$Z$21=4),AI40,IF(AND($Z$9=2,$Z$21=5),AJ40,IF(AND($Z$9=2,$Z$21=11),AK40,IF(AND($Z$9=2,$Z$21=7),AL40,IF(AND($Z$9=2,$Z$21=3),AM40,IF(AND($Z$9=2,$Z$21=6),AN40,IF(AND($Z$9=2,$Z$21=9),AO40,IF(AND($Z$9=2,$Z$21=2),AP40,IF(AND($Z$9=2,$Z$21=8),AQ40,IF(AND($Z$9=1,$Z$21=1),AR40,IF(AND($Z$9=1,$Z$21=1),AR40,IF(AND($Z$9=1,$Z$21=4),AS40,IF(AND($Z$9=1,$Z$21=5),AT40,IF(AND($Z$9=1,$Z$21=11),AU40,IF(AND($Z$9=1,$Z$21=7),AV40,IF(AND($Z$9=1,$Z$21=3),AW40,IF(AND($Z$9=1,$Z$21=6),AX40,IF(AND($Z$9=1,$Z$21=9),AY40,IF(AND($Z$9=1,$Z$21=2),AZ40,IF(AND($Z$9=1,$Z$21=8),BA40,0)))))))))))))))))))))</f>
        <v>0</v>
      </c>
      <c r="E40" s="561" t="str">
        <f>VLOOKUP(825,Sprachindex!$A:$Z,Info!$O$7,FALSE)</f>
        <v>Sicherheitskehle (stucco; Länge: 3.000 mm)</v>
      </c>
      <c r="F40" s="562"/>
      <c r="G40" s="562"/>
      <c r="H40" s="562"/>
      <c r="I40" s="562"/>
      <c r="J40" s="562"/>
      <c r="K40" s="563"/>
      <c r="L40" s="79" t="str">
        <f t="shared" ref="L40:L46" si="4">IF(A40=0,"",IF($Z$11=1,AD40,AE40))</f>
        <v/>
      </c>
      <c r="M40" s="433" t="str">
        <f t="shared" si="0"/>
        <v>lfm</v>
      </c>
      <c r="N40" s="80"/>
      <c r="O40" s="202" t="str">
        <f t="shared" si="2"/>
        <v/>
      </c>
      <c r="P40" s="5"/>
      <c r="Q40" s="5"/>
      <c r="R40" s="200">
        <v>32.14</v>
      </c>
      <c r="S40" s="195"/>
      <c r="T40" s="5"/>
      <c r="U40" s="5"/>
      <c r="V40" s="5"/>
      <c r="W40" s="5"/>
      <c r="X40" s="5"/>
      <c r="Y40" s="5"/>
      <c r="AC40" s="1"/>
      <c r="AD40" s="149">
        <f>ROUNDUP($A40/3,0)*3</f>
        <v>0</v>
      </c>
      <c r="AE40" s="149">
        <f>ROUNDUP($A40/3,0)*3</f>
        <v>0</v>
      </c>
      <c r="AH40" s="44">
        <v>110520</v>
      </c>
      <c r="AI40" s="44">
        <v>110521</v>
      </c>
      <c r="AJ40" s="44">
        <v>110522</v>
      </c>
      <c r="AK40" s="44">
        <v>110523</v>
      </c>
      <c r="AL40" s="44">
        <v>110524</v>
      </c>
      <c r="AM40" s="44">
        <v>110525</v>
      </c>
      <c r="AN40" s="44">
        <v>110526</v>
      </c>
      <c r="AO40" s="44">
        <v>110527</v>
      </c>
      <c r="AP40" s="44">
        <v>110528</v>
      </c>
      <c r="AR40" s="44">
        <v>110530</v>
      </c>
      <c r="AS40" s="44">
        <v>110531</v>
      </c>
      <c r="AT40" s="44">
        <v>110532</v>
      </c>
      <c r="AU40" s="44">
        <v>110533</v>
      </c>
      <c r="AV40" s="44">
        <v>110534</v>
      </c>
      <c r="AW40" s="44">
        <v>110535</v>
      </c>
      <c r="AX40" s="44">
        <v>110536</v>
      </c>
      <c r="AY40" s="44">
        <v>110537</v>
      </c>
      <c r="AZ40" s="44">
        <v>110538</v>
      </c>
      <c r="BA40" s="1">
        <v>110539</v>
      </c>
    </row>
    <row r="41" spans="1:53" ht="32.1" customHeight="1">
      <c r="A41" s="98"/>
      <c r="B41" s="79" t="str">
        <f>VLOOKUP(1512,Sprachindex!$A:$Z,Info!$O$7,FALSE)</f>
        <v>lfm</v>
      </c>
      <c r="C41" s="78"/>
      <c r="D41" s="78">
        <f t="shared" si="3"/>
        <v>0</v>
      </c>
      <c r="E41" s="561" t="str">
        <f>VLOOKUP(440,Sprachindex!$A:$Z,Info!$O$7,FALSE)</f>
        <v>Grat- und Firstreiter (500 × 1,00 mm; stucco) inkl. Niro-Schraube 4,5 × 45 mm und Dichtscheibe</v>
      </c>
      <c r="F41" s="562"/>
      <c r="G41" s="562"/>
      <c r="H41" s="562"/>
      <c r="I41" s="562"/>
      <c r="J41" s="562"/>
      <c r="K41" s="563"/>
      <c r="L41" s="79" t="str">
        <f t="shared" si="4"/>
        <v/>
      </c>
      <c r="M41" s="433" t="str">
        <f t="shared" si="0"/>
        <v>lfm</v>
      </c>
      <c r="N41" s="80"/>
      <c r="O41" s="202" t="str">
        <f t="shared" si="2"/>
        <v/>
      </c>
      <c r="P41" s="5"/>
      <c r="Q41" s="5"/>
      <c r="R41" s="200">
        <v>14.77</v>
      </c>
      <c r="S41" s="195"/>
      <c r="T41" s="5"/>
      <c r="U41" s="5"/>
      <c r="V41" s="5"/>
      <c r="W41" s="5"/>
      <c r="X41" s="5"/>
      <c r="Y41" s="5"/>
      <c r="AC41" s="1"/>
      <c r="AD41" s="149">
        <f>ROUNDUP($A41/10,0)*10</f>
        <v>0</v>
      </c>
      <c r="AE41" s="149">
        <f>ROUNDUP($A41/0.5,0)*0.5</f>
        <v>0</v>
      </c>
      <c r="AH41" s="44">
        <v>110340</v>
      </c>
      <c r="AI41" s="44">
        <v>110341</v>
      </c>
      <c r="AJ41" s="44">
        <v>110342</v>
      </c>
      <c r="AK41" s="44">
        <v>110343</v>
      </c>
      <c r="AL41" s="44">
        <v>110344</v>
      </c>
      <c r="AM41" s="44">
        <v>110345</v>
      </c>
      <c r="AN41" s="44">
        <v>110346</v>
      </c>
      <c r="AO41" s="44">
        <v>110347</v>
      </c>
      <c r="AP41" s="44">
        <v>110348</v>
      </c>
      <c r="AQ41" s="44"/>
      <c r="AR41" s="44">
        <v>110350</v>
      </c>
      <c r="AS41" s="44">
        <v>110351</v>
      </c>
      <c r="AT41" s="44">
        <v>110352</v>
      </c>
      <c r="AU41" s="44">
        <v>110353</v>
      </c>
      <c r="AV41" s="44">
        <v>110354</v>
      </c>
      <c r="AW41" s="44">
        <v>110355</v>
      </c>
      <c r="AX41" s="44">
        <v>110356</v>
      </c>
      <c r="AY41" s="44">
        <v>110357</v>
      </c>
      <c r="AZ41" s="44">
        <v>110358</v>
      </c>
      <c r="BA41" s="1">
        <v>110359</v>
      </c>
    </row>
    <row r="42" spans="1:53" ht="32.1" customHeight="1">
      <c r="A42" s="98"/>
      <c r="B42" s="79" t="str">
        <f>VLOOKUP(878,Sprachindex!$A:$Z,Info!$O$7,FALSE)</f>
        <v>Stk.</v>
      </c>
      <c r="C42" s="78"/>
      <c r="D42" s="78">
        <f t="shared" si="3"/>
        <v>0</v>
      </c>
      <c r="E42" s="561" t="str">
        <f>VLOOKUP(441,Sprachindex!$A:$Z,Info!$O$7,FALSE)</f>
        <v>Gratreitervorkopf (stucco)</v>
      </c>
      <c r="F42" s="562"/>
      <c r="G42" s="562"/>
      <c r="H42" s="562"/>
      <c r="I42" s="562"/>
      <c r="J42" s="562"/>
      <c r="K42" s="563"/>
      <c r="L42" s="79" t="str">
        <f t="shared" si="4"/>
        <v/>
      </c>
      <c r="M42" s="433" t="str">
        <f t="shared" si="0"/>
        <v>Stk.</v>
      </c>
      <c r="N42" s="80"/>
      <c r="O42" s="202" t="str">
        <f t="shared" si="2"/>
        <v/>
      </c>
      <c r="P42" s="5"/>
      <c r="Q42" s="5"/>
      <c r="R42" s="200">
        <v>8.02</v>
      </c>
      <c r="S42" s="195"/>
      <c r="T42" s="5"/>
      <c r="U42" s="5"/>
      <c r="V42" s="5"/>
      <c r="W42" s="5"/>
      <c r="X42" s="5"/>
      <c r="Y42" s="5"/>
      <c r="AC42" s="1"/>
      <c r="AD42" s="149">
        <f>ROUNDUP($A42/10,0)*10</f>
        <v>0</v>
      </c>
      <c r="AE42" s="149">
        <f>ROUNDUP($A42/1,0)*1</f>
        <v>0</v>
      </c>
      <c r="AH42" s="44">
        <v>110320</v>
      </c>
      <c r="AI42" s="44">
        <v>110321</v>
      </c>
      <c r="AJ42" s="44">
        <v>110322</v>
      </c>
      <c r="AK42" s="44">
        <v>110323</v>
      </c>
      <c r="AL42" s="44">
        <v>110324</v>
      </c>
      <c r="AM42" s="44">
        <v>110325</v>
      </c>
      <c r="AN42" s="44">
        <v>110326</v>
      </c>
      <c r="AO42" s="44">
        <v>110327</v>
      </c>
      <c r="AP42" s="44">
        <v>110328</v>
      </c>
      <c r="AQ42" s="44"/>
      <c r="AR42" s="44">
        <v>110330</v>
      </c>
      <c r="AS42" s="44">
        <v>110331</v>
      </c>
      <c r="AT42" s="44">
        <v>110332</v>
      </c>
      <c r="AU42" s="44">
        <v>110333</v>
      </c>
      <c r="AV42" s="44">
        <v>110334</v>
      </c>
      <c r="AW42" s="44">
        <v>110335</v>
      </c>
      <c r="AX42" s="44">
        <v>110336</v>
      </c>
      <c r="AY42" s="44">
        <v>110337</v>
      </c>
      <c r="AZ42" s="44">
        <v>110338</v>
      </c>
      <c r="BA42" s="44">
        <v>110339</v>
      </c>
    </row>
    <row r="43" spans="1:53" ht="32.1" customHeight="1">
      <c r="A43" s="98"/>
      <c r="B43" s="79" t="str">
        <f>VLOOKUP(1512,Sprachindex!$A:$Z,Info!$O$7,FALSE)</f>
        <v>lfm</v>
      </c>
      <c r="C43" s="78"/>
      <c r="D43" s="78">
        <f t="shared" si="3"/>
        <v>0</v>
      </c>
      <c r="E43" s="561" t="str">
        <f>VLOOKUP(501,Sprachindex!$A:$Z,Info!$O$7,FALSE)</f>
        <v>Jet-Lüfter (stucco; 1.200 mm); inkl. Niro-Schraube und Dichtscheibe</v>
      </c>
      <c r="F43" s="562"/>
      <c r="G43" s="562"/>
      <c r="H43" s="562"/>
      <c r="I43" s="562"/>
      <c r="J43" s="562"/>
      <c r="K43" s="563"/>
      <c r="L43" s="79" t="str">
        <f t="shared" si="4"/>
        <v/>
      </c>
      <c r="M43" s="433" t="str">
        <f t="shared" si="0"/>
        <v>lfm</v>
      </c>
      <c r="N43" s="80"/>
      <c r="O43" s="202" t="str">
        <f t="shared" si="2"/>
        <v/>
      </c>
      <c r="P43" s="5"/>
      <c r="Q43" s="5"/>
      <c r="R43" s="200">
        <v>67.2</v>
      </c>
      <c r="S43" s="195"/>
      <c r="T43" s="5"/>
      <c r="U43" s="5"/>
      <c r="V43" s="5"/>
      <c r="W43" s="5"/>
      <c r="X43" s="5"/>
      <c r="Y43" s="5"/>
      <c r="AC43" s="1"/>
      <c r="AD43" s="149">
        <f>ROUNDUP($A43/1.2,0)*1.2</f>
        <v>0</v>
      </c>
      <c r="AE43" s="149">
        <f>ROUNDUP($A43/1.2,0)*1.2</f>
        <v>0</v>
      </c>
      <c r="AH43" s="44">
        <v>110640</v>
      </c>
      <c r="AI43" s="44">
        <v>110641</v>
      </c>
      <c r="AJ43" s="44">
        <v>110642</v>
      </c>
      <c r="AK43" s="44">
        <v>110643</v>
      </c>
      <c r="AL43" s="44">
        <v>110644</v>
      </c>
      <c r="AM43" s="44">
        <v>110645</v>
      </c>
      <c r="AN43" s="44">
        <v>110646</v>
      </c>
      <c r="AO43" s="44">
        <v>110647</v>
      </c>
      <c r="AP43" s="44">
        <v>110648</v>
      </c>
      <c r="AQ43" s="44"/>
      <c r="AR43" s="44">
        <v>110650</v>
      </c>
      <c r="AS43" s="44">
        <v>110651</v>
      </c>
      <c r="AT43" s="44">
        <v>110652</v>
      </c>
      <c r="AU43" s="44">
        <v>110653</v>
      </c>
      <c r="AV43" s="44">
        <v>110654</v>
      </c>
      <c r="AW43" s="44">
        <v>110655</v>
      </c>
      <c r="AX43" s="44">
        <v>110656</v>
      </c>
      <c r="AY43" s="44">
        <v>110657</v>
      </c>
      <c r="AZ43" s="44">
        <v>110658</v>
      </c>
      <c r="BA43" s="44">
        <v>110659</v>
      </c>
    </row>
    <row r="44" spans="1:53" ht="32.1" customHeight="1">
      <c r="A44" s="98"/>
      <c r="B44" s="79" t="str">
        <f>VLOOKUP(1512,Sprachindex!$A:$Z,Info!$O$7,FALSE)</f>
        <v>lfm</v>
      </c>
      <c r="C44" s="78"/>
      <c r="D44" s="78">
        <f t="shared" si="3"/>
        <v>0</v>
      </c>
      <c r="E44" s="561" t="str">
        <f>VLOOKUP(502,Sprachindex!$A:$Z,Info!$O$7,FALSE)</f>
        <v>Jet-Lüfter (stucco; 3.000 mm); inkl. Niro-Schraube und Dichtscheibe</v>
      </c>
      <c r="F44" s="562"/>
      <c r="G44" s="562"/>
      <c r="H44" s="562"/>
      <c r="I44" s="562"/>
      <c r="J44" s="562"/>
      <c r="K44" s="563"/>
      <c r="L44" s="79" t="str">
        <f t="shared" si="4"/>
        <v/>
      </c>
      <c r="M44" s="433" t="str">
        <f t="shared" si="0"/>
        <v>lfm</v>
      </c>
      <c r="N44" s="80"/>
      <c r="O44" s="202" t="str">
        <f t="shared" si="2"/>
        <v/>
      </c>
      <c r="P44" s="5"/>
      <c r="Q44" s="5"/>
      <c r="R44" s="200">
        <v>60.69</v>
      </c>
      <c r="S44" s="195"/>
      <c r="T44" s="5"/>
      <c r="U44" s="5"/>
      <c r="V44" s="5"/>
      <c r="W44" s="5"/>
      <c r="X44" s="5"/>
      <c r="Y44" s="5"/>
      <c r="AC44" s="1"/>
      <c r="AD44" s="149">
        <f>ROUNDUP($A44/9,0)*9</f>
        <v>0</v>
      </c>
      <c r="AE44" s="149">
        <f>ROUNDUP($A44/3,0)*3</f>
        <v>0</v>
      </c>
      <c r="AH44" s="44">
        <v>110620</v>
      </c>
      <c r="AI44" s="44">
        <v>110621</v>
      </c>
      <c r="AJ44" s="44">
        <v>110622</v>
      </c>
      <c r="AK44" s="44">
        <v>110623</v>
      </c>
      <c r="AL44" s="44">
        <v>110624</v>
      </c>
      <c r="AM44" s="44">
        <v>110625</v>
      </c>
      <c r="AN44" s="44">
        <v>110626</v>
      </c>
      <c r="AO44" s="44">
        <v>110627</v>
      </c>
      <c r="AP44" s="44">
        <v>110628</v>
      </c>
      <c r="AQ44" s="44"/>
      <c r="AR44" s="44">
        <v>110630</v>
      </c>
      <c r="AS44" s="44">
        <v>110631</v>
      </c>
      <c r="AT44" s="44">
        <v>110632</v>
      </c>
      <c r="AU44" s="44">
        <v>110633</v>
      </c>
      <c r="AV44" s="44">
        <v>110634</v>
      </c>
      <c r="AW44" s="44">
        <v>110635</v>
      </c>
      <c r="AX44" s="44">
        <v>110636</v>
      </c>
      <c r="AY44" s="44">
        <v>110637</v>
      </c>
      <c r="AZ44" s="44">
        <v>110638</v>
      </c>
      <c r="BA44" s="44">
        <v>110639</v>
      </c>
    </row>
    <row r="45" spans="1:53" ht="32.1" customHeight="1">
      <c r="A45" s="98"/>
      <c r="B45" s="79" t="str">
        <f>VLOOKUP(878,Sprachindex!$A:$Z,Info!$O$7,FALSE)</f>
        <v>Stk.</v>
      </c>
      <c r="C45" s="78"/>
      <c r="D45" s="78">
        <f t="shared" si="3"/>
        <v>0</v>
      </c>
      <c r="E45" s="561" t="str">
        <f>VLOOKUP(503,Sprachindex!$A:$Z,Info!$O$7,FALSE)</f>
        <v>Jet-Lüfter-Vorkopf (stucco)</v>
      </c>
      <c r="F45" s="562"/>
      <c r="G45" s="562"/>
      <c r="H45" s="562"/>
      <c r="I45" s="562"/>
      <c r="J45" s="562"/>
      <c r="K45" s="563"/>
      <c r="L45" s="79" t="str">
        <f t="shared" si="4"/>
        <v/>
      </c>
      <c r="M45" s="433" t="str">
        <f t="shared" si="0"/>
        <v>Stk.</v>
      </c>
      <c r="N45" s="80"/>
      <c r="O45" s="202" t="str">
        <f t="shared" si="2"/>
        <v/>
      </c>
      <c r="P45" s="5"/>
      <c r="Q45" s="5"/>
      <c r="R45" s="200">
        <v>8.7100000000000009</v>
      </c>
      <c r="S45" s="195"/>
      <c r="T45" s="5"/>
      <c r="U45" s="5"/>
      <c r="V45" s="5"/>
      <c r="W45" s="5"/>
      <c r="X45" s="5"/>
      <c r="Y45" s="5"/>
      <c r="AC45" s="1"/>
      <c r="AD45" s="149">
        <f>ROUNDUP($A45/2,0)*2</f>
        <v>0</v>
      </c>
      <c r="AE45" s="149">
        <f>ROUNDUP($A45/1,0)*1</f>
        <v>0</v>
      </c>
      <c r="AH45" s="44">
        <v>110600</v>
      </c>
      <c r="AI45" s="44">
        <v>110601</v>
      </c>
      <c r="AJ45" s="44">
        <v>110602</v>
      </c>
      <c r="AK45" s="44">
        <v>110603</v>
      </c>
      <c r="AL45" s="44">
        <v>110604</v>
      </c>
      <c r="AM45" s="44">
        <v>110605</v>
      </c>
      <c r="AN45" s="44">
        <v>110606</v>
      </c>
      <c r="AO45" s="44">
        <v>110607</v>
      </c>
      <c r="AP45" s="44">
        <v>110608</v>
      </c>
      <c r="AQ45" s="44"/>
      <c r="AR45" s="44">
        <v>110610</v>
      </c>
      <c r="AS45" s="44">
        <v>110611</v>
      </c>
      <c r="AT45" s="44">
        <v>110612</v>
      </c>
      <c r="AU45" s="44">
        <v>110613</v>
      </c>
      <c r="AV45" s="44">
        <v>110614</v>
      </c>
      <c r="AW45" s="44">
        <v>110615</v>
      </c>
      <c r="AX45" s="44">
        <v>110616</v>
      </c>
      <c r="AY45" s="44">
        <v>110617</v>
      </c>
      <c r="AZ45" s="44">
        <v>110618</v>
      </c>
      <c r="BA45" s="44">
        <v>110619</v>
      </c>
    </row>
    <row r="46" spans="1:53" ht="32.1" customHeight="1">
      <c r="A46" s="98"/>
      <c r="B46" s="79" t="str">
        <f>VLOOKUP(878,Sprachindex!$A:$Z,Info!$O$7,FALSE)</f>
        <v>Stk.</v>
      </c>
      <c r="C46" s="78"/>
      <c r="D46" s="78">
        <f>IF($Z$21=1,AH46,IF($Z$21=4,AI46,IF($Z$21=5,AJ46,IF($Z$21=11,AK46,IF($Z$21=7,AL46,IF($Z$21=3,AM46,IF($Z$21=6,AN46,IF($Z$21=9,AO46,IF($Z$21=2,AP46,IF($Z$21=8,AQ46,0))))))))))</f>
        <v>0</v>
      </c>
      <c r="E46" s="561" t="str">
        <f>VLOOKUP(2187,Sprachindex!$A:$Z,Info!$O$7,FALSE)</f>
        <v>Dichtschraube NIRO, 4,5x25</v>
      </c>
      <c r="F46" s="562"/>
      <c r="G46" s="562"/>
      <c r="H46" s="562"/>
      <c r="I46" s="562"/>
      <c r="J46" s="562"/>
      <c r="K46" s="563"/>
      <c r="L46" s="79" t="str">
        <f t="shared" si="4"/>
        <v/>
      </c>
      <c r="M46" s="433" t="str">
        <f t="shared" si="0"/>
        <v>Stk.</v>
      </c>
      <c r="N46" s="80"/>
      <c r="O46" s="202" t="str">
        <f t="shared" si="2"/>
        <v/>
      </c>
      <c r="P46" s="5"/>
      <c r="Q46" s="5"/>
      <c r="R46" s="200">
        <v>0.46</v>
      </c>
      <c r="S46" s="195">
        <v>0.35</v>
      </c>
      <c r="T46" s="5"/>
      <c r="U46" s="5"/>
      <c r="V46" s="5"/>
      <c r="W46" s="5"/>
      <c r="X46" s="5"/>
      <c r="Y46" s="5"/>
      <c r="AC46" s="1"/>
      <c r="AD46" s="149">
        <f>ROUNDUP($A46/200,0)*200</f>
        <v>0</v>
      </c>
      <c r="AE46" s="149">
        <f t="shared" ref="AD46:AE53" si="5">ROUNDUP($A46,0)</f>
        <v>0</v>
      </c>
      <c r="AH46" s="44">
        <v>340041</v>
      </c>
      <c r="AI46" s="44">
        <v>340042</v>
      </c>
      <c r="AJ46" s="44">
        <v>340043</v>
      </c>
      <c r="AK46" s="44">
        <v>340044</v>
      </c>
      <c r="AL46" s="138"/>
      <c r="AM46" s="44">
        <v>340045</v>
      </c>
      <c r="AN46" s="44">
        <v>340046</v>
      </c>
      <c r="AO46" s="44">
        <v>340047</v>
      </c>
      <c r="AP46" s="44">
        <v>340048</v>
      </c>
      <c r="AQ46" s="44">
        <v>340049</v>
      </c>
      <c r="AR46" s="1" t="s">
        <v>95</v>
      </c>
    </row>
    <row r="47" spans="1:53" ht="32.1" customHeight="1">
      <c r="A47" s="98"/>
      <c r="B47" s="79" t="str">
        <f>VLOOKUP(878,Sprachindex!$A:$Z,Info!$O$7,FALSE)</f>
        <v>Stk.</v>
      </c>
      <c r="C47" s="78"/>
      <c r="D47" s="78" t="str">
        <f>IF(H47=Formeln!A18,IF($Z$21=1,AH47,IF($Z$21=4,AI47,IF($Z$21=5,AJ47,IF($Z$21=11,AK47,IF($Z$21=7,AL47,IF($Z$21=3,AM47,IF($Z$21=6,AN47,IF($Z$21=9,AO47,IF($Z$21=2,AP47,IF($Z$21=8,AQ47,0)))))))))),IF(H47=Formeln!A19,AR47,""))</f>
        <v/>
      </c>
      <c r="E47" s="561" t="str">
        <f>VLOOKUP(2188,Sprachindex!$A:$Z,Info!$O$7,FALSE)</f>
        <v>Dichtschraube NIRO 4,5 x 45 mm, für Grat- und Firstreiter</v>
      </c>
      <c r="F47" s="562"/>
      <c r="G47" s="562"/>
      <c r="H47" s="572"/>
      <c r="I47" s="573"/>
      <c r="J47" s="573"/>
      <c r="K47" s="574"/>
      <c r="L47" s="79" t="str">
        <f>IF(A47=0,"",IF(H47=Formeln!$A$17," ",IF($Z$11=1,AD47,AE47)))</f>
        <v/>
      </c>
      <c r="M47" s="433" t="str">
        <f t="shared" si="0"/>
        <v>Stk.</v>
      </c>
      <c r="N47" s="80"/>
      <c r="O47" s="202" t="str">
        <f>IF(ISNUMBER(A47),IF(H47=Formeln!A18,S47*L47,R47*L47),"")</f>
        <v/>
      </c>
      <c r="P47" s="5"/>
      <c r="Q47" s="5"/>
      <c r="R47" s="205">
        <v>0.68</v>
      </c>
      <c r="S47" s="206">
        <v>0.6</v>
      </c>
      <c r="T47" s="5"/>
      <c r="U47" s="5"/>
      <c r="V47" s="5"/>
      <c r="W47" s="5"/>
      <c r="X47" s="5"/>
      <c r="Y47" s="5"/>
      <c r="AC47" s="1"/>
      <c r="AD47" s="149">
        <f>ROUNDUP($A47/250,0)*250</f>
        <v>0</v>
      </c>
      <c r="AE47" s="149">
        <f t="shared" si="5"/>
        <v>0</v>
      </c>
      <c r="AH47" s="44">
        <v>340001</v>
      </c>
      <c r="AI47" s="44">
        <v>340004</v>
      </c>
      <c r="AJ47" s="44">
        <v>340003</v>
      </c>
      <c r="AK47" s="44">
        <v>340104</v>
      </c>
      <c r="AM47" s="44">
        <v>340002</v>
      </c>
      <c r="AN47" s="44">
        <v>340016</v>
      </c>
      <c r="AO47" s="44">
        <v>340011</v>
      </c>
      <c r="AP47" s="44">
        <v>340014</v>
      </c>
      <c r="AQ47" s="44">
        <v>340013</v>
      </c>
      <c r="AR47" s="1">
        <v>340103</v>
      </c>
    </row>
    <row r="48" spans="1:53" ht="32.1" customHeight="1">
      <c r="A48" s="98"/>
      <c r="B48" s="79" t="str">
        <f>VLOOKUP(878,Sprachindex!$A:$Z,Info!$O$7,FALSE)</f>
        <v>Stk.</v>
      </c>
      <c r="C48" s="78"/>
      <c r="D48" s="78" t="str">
        <f>IF(H48=Formeln!A21,IF($Z$21=1,AH48,IF($Z$21=4,AI48,IF($Z$21=5,AJ48,IF($Z$21=11,AK48,IF($Z$21=7,AL48,IF($Z$21=3,AM48,IF($Z$21=6,AN48,IF($Z$21=9,AO48,IF($Z$21=2,AP48,IF($Z$21=8,AQ48,0)))))))))),IF(H48=Formeln!A22,AR48,""))</f>
        <v/>
      </c>
      <c r="E48" s="561" t="str">
        <f>VLOOKUP(2189,Sprachindex!$A:$Z,Info!$O$7,FALSE)</f>
        <v>Dichtschraube NIRO 4,5 x 60 mm, für Jet-Lüfter</v>
      </c>
      <c r="F48" s="562"/>
      <c r="G48" s="562"/>
      <c r="H48" s="572"/>
      <c r="I48" s="573"/>
      <c r="J48" s="573"/>
      <c r="K48" s="574"/>
      <c r="L48" s="79" t="str">
        <f>IF(A48=0,"",IF(H48=Formeln!$A$17," ",IF($Z$11=1,AD48,AE48)))</f>
        <v/>
      </c>
      <c r="M48" s="433" t="str">
        <f t="shared" si="0"/>
        <v>Stk.</v>
      </c>
      <c r="N48" s="80"/>
      <c r="O48" s="202" t="str">
        <f>IF(ISNUMBER(A48),IF(H48=Formeln!A19,S48*L48,R48*L48),"")</f>
        <v/>
      </c>
      <c r="P48" s="5"/>
      <c r="Q48" s="5"/>
      <c r="R48" s="205">
        <v>0.86</v>
      </c>
      <c r="S48" s="206">
        <v>0.68</v>
      </c>
      <c r="T48" s="5"/>
      <c r="U48" s="5"/>
      <c r="V48" s="5"/>
      <c r="W48" s="5"/>
      <c r="X48" s="5"/>
      <c r="Y48" s="5"/>
      <c r="AC48" s="1"/>
      <c r="AD48" s="149">
        <f>ROUNDUP($A48/100,0)*100</f>
        <v>0</v>
      </c>
      <c r="AE48" s="149">
        <f t="shared" si="5"/>
        <v>0</v>
      </c>
      <c r="AH48" s="44">
        <v>340020</v>
      </c>
      <c r="AI48" s="44">
        <v>340024</v>
      </c>
      <c r="AJ48" s="44">
        <v>340022</v>
      </c>
      <c r="AK48" s="44">
        <v>340021</v>
      </c>
      <c r="AM48" s="44">
        <v>340025</v>
      </c>
      <c r="AN48" s="44">
        <v>340032</v>
      </c>
      <c r="AO48" s="44">
        <v>340027</v>
      </c>
      <c r="AP48" s="44">
        <v>340030</v>
      </c>
      <c r="AQ48" s="44">
        <v>340036</v>
      </c>
      <c r="AR48" s="1">
        <v>340106</v>
      </c>
    </row>
    <row r="49" spans="1:474" ht="32.1" customHeight="1">
      <c r="A49" s="98"/>
      <c r="B49" s="79" t="str">
        <f>VLOOKUP(878,Sprachindex!$A:$Z,Info!$O$7,FALSE)</f>
        <v>Stk.</v>
      </c>
      <c r="C49" s="78"/>
      <c r="D49" s="78">
        <f>IF($Z$21=1,AH49,IF($Z$21=4,AI49,IF($Z$21=5,AJ49,IF($Z$21=11,AK49,IF($Z$21=7,AL49,IF($Z$21=3,AM49,IF($Z$21=6,AN49,IF($Z$21=9,AO49,IF($Z$21=2,AP49,IF($Z$21=8,AQ49,0))))))))))</f>
        <v>0</v>
      </c>
      <c r="E49" s="561" t="str">
        <f>VLOOKUP(409,Sprachindex!$A:$Z,Info!$O$7,FALSE)</f>
        <v>Froschmaullukenhaube</v>
      </c>
      <c r="F49" s="562"/>
      <c r="G49" s="562"/>
      <c r="H49" s="562"/>
      <c r="I49" s="562"/>
      <c r="J49" s="562"/>
      <c r="K49" s="563"/>
      <c r="L49" s="79" t="str">
        <f>IF(A49=0,"",IF($Z$11=1,AD49,AE49))</f>
        <v/>
      </c>
      <c r="M49" s="433" t="str">
        <f t="shared" si="0"/>
        <v>Stk.</v>
      </c>
      <c r="N49" s="80"/>
      <c r="O49" s="202" t="str">
        <f t="shared" ref="O49:O54" si="6">IF(ISNUMBER(A49),$L49*R49, "")</f>
        <v/>
      </c>
      <c r="P49" s="5"/>
      <c r="Q49" s="5"/>
      <c r="R49" s="200">
        <v>24.65</v>
      </c>
      <c r="T49" s="5"/>
      <c r="U49" s="5"/>
      <c r="V49" s="5"/>
      <c r="W49" s="5"/>
      <c r="X49" s="5"/>
      <c r="Y49" s="5"/>
      <c r="AC49" s="1"/>
      <c r="AD49" s="149">
        <f>ROUNDUP($A49/20,0)*20</f>
        <v>0</v>
      </c>
      <c r="AE49" s="149">
        <f t="shared" si="5"/>
        <v>0</v>
      </c>
      <c r="AH49" s="44">
        <v>110100</v>
      </c>
      <c r="AI49" s="44">
        <v>110101</v>
      </c>
      <c r="AJ49" s="44">
        <v>110102</v>
      </c>
      <c r="AK49" s="44">
        <v>110103</v>
      </c>
      <c r="AL49" s="44">
        <v>110104</v>
      </c>
      <c r="AM49" s="44">
        <v>110105</v>
      </c>
      <c r="AN49" s="44">
        <v>110106</v>
      </c>
      <c r="AO49" s="44">
        <v>110107</v>
      </c>
      <c r="AP49" s="44">
        <v>110108</v>
      </c>
      <c r="AQ49" s="44">
        <v>121005</v>
      </c>
    </row>
    <row r="50" spans="1:474" ht="32.1" customHeight="1">
      <c r="A50" s="98"/>
      <c r="B50" s="79" t="str">
        <f>VLOOKUP(878,Sprachindex!$A:$Z,Info!$O$7,FALSE)</f>
        <v>Stk.</v>
      </c>
      <c r="C50" s="78"/>
      <c r="D50" s="78">
        <f>IF(AND($Z$9=2,$Z$21=1),AH50,IF(AND($Z$9=2,$Z$21=4),AI50,IF(AND($Z$9=2,$Z$21=5),AJ50,IF(AND($Z$9=2,$Z$21=11),AK50,IF(AND($Z$9=2,$Z$21=7),AL50,IF(AND($Z$9=2,$Z$21=3),AM50,IF(AND($Z$9=2,$Z$21=6),AN50,IF(AND($Z$9=2,$Z$21=9),AO50,IF(AND($Z$9=2,$Z$21=2),AP50,IF(AND($Z$9=2,$Z$21=8),AQ50,IF(AND($Z$9=1,$Z$21=1),AR50,IF(AND($Z$9=1,$Z$21=1),AR50,IF(AND($Z$9=1,$Z$21=4),AS50,IF(AND($Z$9=1,$Z$21=5),AT50,IF(AND($Z$9=1,$Z$21=11),AU50,IF(AND($Z$9=1,$Z$21=7),AV50,IF(AND($Z$9=1,$Z$21=3),AW50,IF(AND($Z$9=1,$Z$21=6),AX50,IF(AND($Z$9=1,$Z$21=9),AY50,IF(AND($Z$9=1,$Z$21=2),AZ50,IF(AND($Z$9=1,$Z$21=8),BA50,0)))))))))))))))))))))</f>
        <v>0</v>
      </c>
      <c r="E50" s="561" t="str">
        <f>VLOOKUP(2222,Sprachindex!$A:$Z,Info!$O$7,FALSE)</f>
        <v>Froschmaulluke stucco für FX.12 groß</v>
      </c>
      <c r="F50" s="562"/>
      <c r="G50" s="562"/>
      <c r="H50" s="562"/>
      <c r="I50" s="562"/>
      <c r="J50" s="562"/>
      <c r="K50" s="563"/>
      <c r="L50" s="79" t="str">
        <f>IF(A50=0,"",IF($Z$11=1,AD50,AE50))</f>
        <v/>
      </c>
      <c r="M50" s="433" t="str">
        <f t="shared" si="0"/>
        <v>Stk.</v>
      </c>
      <c r="N50" s="80"/>
      <c r="O50" s="202" t="str">
        <f t="shared" si="6"/>
        <v/>
      </c>
      <c r="P50" s="5"/>
      <c r="Q50" s="5"/>
      <c r="R50" s="200">
        <v>69</v>
      </c>
      <c r="S50" s="195"/>
      <c r="T50" s="5"/>
      <c r="U50" s="5"/>
      <c r="V50" s="5"/>
      <c r="W50" s="5"/>
      <c r="X50" s="5"/>
      <c r="Y50" s="5"/>
      <c r="AC50" s="1"/>
      <c r="AD50" s="149">
        <f>ROUNDUP($A50/5,0)*5</f>
        <v>0</v>
      </c>
      <c r="AE50" s="149">
        <f t="shared" si="5"/>
        <v>0</v>
      </c>
      <c r="AH50" s="44"/>
      <c r="AI50" s="44"/>
      <c r="AJ50" s="44"/>
      <c r="AK50" s="44"/>
      <c r="AL50" s="44"/>
      <c r="AM50" s="44"/>
      <c r="AN50" s="44"/>
      <c r="AO50" s="44"/>
      <c r="AP50" s="44"/>
      <c r="AR50" s="44">
        <v>120650</v>
      </c>
      <c r="AS50" s="44">
        <v>120651</v>
      </c>
      <c r="AT50" s="44">
        <v>120652</v>
      </c>
      <c r="AU50" s="44">
        <v>120653</v>
      </c>
      <c r="AV50" s="44">
        <v>120654</v>
      </c>
      <c r="AW50" s="44">
        <v>120655</v>
      </c>
      <c r="AX50" s="44">
        <v>120656</v>
      </c>
      <c r="AY50" s="44">
        <v>120657</v>
      </c>
      <c r="AZ50" s="44">
        <v>120658</v>
      </c>
      <c r="BA50" s="44">
        <v>120659</v>
      </c>
    </row>
    <row r="51" spans="1:474" ht="32.1" customHeight="1">
      <c r="A51" s="98"/>
      <c r="B51" s="79" t="str">
        <f>VLOOKUP(878,Sprachindex!$A:$Z,Info!$O$7,FALSE)</f>
        <v>Stk.</v>
      </c>
      <c r="C51" s="78"/>
      <c r="D51" s="78">
        <f>IF(AND($Z$9=2,$Z$21=1),AH51,IF(AND($Z$9=2,$Z$21=4),AI51,IF(AND($Z$9=2,$Z$21=5),AJ51,IF(AND($Z$9=2,$Z$21=11),AK51,IF(AND($Z$9=2,$Z$21=7),AL51,IF(AND($Z$9=2,$Z$21=3),AM51,IF(AND($Z$9=2,$Z$21=6),AN51,IF(AND($Z$9=2,$Z$21=9),AO51,IF(AND($Z$9=2,$Z$21=2),AP51,IF(AND($Z$9=2,$Z$21=8),AQ51,IF(AND($Z$9=1,$Z$21=1),AR51,IF(AND($Z$9=1,$Z$21=1),AR51,IF(AND($Z$9=1,$Z$21=4),AS51,IF(AND($Z$9=1,$Z$21=5),AT51,IF(AND($Z$9=1,$Z$21=11),AU51,IF(AND($Z$9=1,$Z$21=7),AV51,IF(AND($Z$9=1,$Z$21=3),AW51,IF(AND($Z$9=1,$Z$21=6),AX51,IF(AND($Z$9=1,$Z$21=9),AY51,IF(AND($Z$9=1,$Z$21=2),AZ51,IF(AND($Z$9=1,$Z$21=8),BA51,0)))))))))))))))))))))</f>
        <v>0</v>
      </c>
      <c r="E51" s="561" t="str">
        <f>VLOOKUP(2223,Sprachindex!$A:$Z,Info!$O$7,FALSE)</f>
        <v>Froschmaulluke stucco für FX.12 klein</v>
      </c>
      <c r="F51" s="562"/>
      <c r="G51" s="562"/>
      <c r="H51" s="562"/>
      <c r="I51" s="562"/>
      <c r="J51" s="562"/>
      <c r="K51" s="563"/>
      <c r="L51" s="79" t="str">
        <f>IF(A51=0,"",IF($Z$11=1,AD51,AE51))</f>
        <v/>
      </c>
      <c r="M51" s="433" t="str">
        <f t="shared" si="0"/>
        <v>Stk.</v>
      </c>
      <c r="N51" s="80"/>
      <c r="O51" s="202" t="str">
        <f t="shared" si="6"/>
        <v/>
      </c>
      <c r="P51" s="5"/>
      <c r="Q51" s="5"/>
      <c r="R51" s="200">
        <v>56.8</v>
      </c>
      <c r="S51" s="195"/>
      <c r="T51" s="5"/>
      <c r="U51" s="5"/>
      <c r="V51" s="5"/>
      <c r="W51" s="5"/>
      <c r="X51" s="5"/>
      <c r="Y51" s="5"/>
      <c r="AC51" s="1"/>
      <c r="AD51" s="149">
        <f>ROUNDUP($A51/5,0)*5</f>
        <v>0</v>
      </c>
      <c r="AE51" s="149">
        <f t="shared" si="5"/>
        <v>0</v>
      </c>
      <c r="AH51" s="44"/>
      <c r="AI51" s="44"/>
      <c r="AJ51" s="44"/>
      <c r="AK51" s="44"/>
      <c r="AL51" s="44"/>
      <c r="AM51" s="44"/>
      <c r="AN51" s="44"/>
      <c r="AO51" s="44"/>
      <c r="AP51" s="44"/>
      <c r="AR51" s="44">
        <v>120660</v>
      </c>
      <c r="AS51" s="44">
        <v>120661</v>
      </c>
      <c r="AT51" s="44">
        <v>120662</v>
      </c>
      <c r="AU51" s="44">
        <v>120663</v>
      </c>
      <c r="AV51" s="44">
        <v>120664</v>
      </c>
      <c r="AW51" s="44">
        <v>120665</v>
      </c>
      <c r="AX51" s="44">
        <v>120666</v>
      </c>
      <c r="AY51" s="44">
        <v>120667</v>
      </c>
      <c r="AZ51" s="44">
        <v>120668</v>
      </c>
      <c r="BA51" s="44">
        <v>120669</v>
      </c>
    </row>
    <row r="52" spans="1:474" ht="32.1" customHeight="1">
      <c r="A52" s="98"/>
      <c r="B52" s="79" t="str">
        <f>VLOOKUP(878,Sprachindex!$A:$Z,Info!$O$7,FALSE)</f>
        <v>Stk.</v>
      </c>
      <c r="C52" s="78"/>
      <c r="D52" s="78">
        <v>545106</v>
      </c>
      <c r="E52" s="588" t="str">
        <f>VLOOKUP(1874,Sprachindex!$A:$Z,Info!$O$7,FALSE)</f>
        <v>Einfassung Vario, 120-600 mm, stucco</v>
      </c>
      <c r="F52" s="589"/>
      <c r="G52" s="589"/>
      <c r="H52" s="589"/>
      <c r="I52" s="589"/>
      <c r="J52" s="589"/>
      <c r="K52" s="590"/>
      <c r="L52" s="79" t="str">
        <f t="shared" ref="L52" si="7">IF(A52=0,"",IF($Z$11=1,AD52,AE52))</f>
        <v/>
      </c>
      <c r="M52" s="433" t="str">
        <f t="shared" si="0"/>
        <v>Stk.</v>
      </c>
      <c r="N52" s="80"/>
      <c r="O52" s="202" t="str">
        <f t="shared" si="6"/>
        <v/>
      </c>
      <c r="P52" s="5"/>
      <c r="Q52" s="5"/>
      <c r="R52" s="200"/>
      <c r="S52" s="195"/>
      <c r="T52" s="5"/>
      <c r="U52" s="5"/>
      <c r="V52" s="5"/>
      <c r="W52" s="5"/>
      <c r="X52" s="5"/>
      <c r="Y52" s="5"/>
      <c r="AC52" s="1"/>
      <c r="AD52" s="149">
        <f t="shared" si="5"/>
        <v>0</v>
      </c>
      <c r="AE52" s="149">
        <f t="shared" si="5"/>
        <v>0</v>
      </c>
      <c r="AH52" s="44"/>
      <c r="AI52" s="44"/>
      <c r="AJ52" s="44"/>
      <c r="AK52" s="44"/>
      <c r="AL52" s="44"/>
      <c r="AM52" s="44"/>
      <c r="AN52" s="44"/>
      <c r="AO52" s="44"/>
      <c r="AP52" s="44"/>
      <c r="AQ52" s="44"/>
    </row>
    <row r="53" spans="1:474" ht="32.1" customHeight="1">
      <c r="A53" s="98"/>
      <c r="B53" s="79" t="str">
        <f>VLOOKUP(878,Sprachindex!$A:$Z,Info!$O$7,FALSE)</f>
        <v>Stk.</v>
      </c>
      <c r="C53" s="78"/>
      <c r="D53" s="78">
        <v>545106</v>
      </c>
      <c r="E53" s="588" t="str">
        <f>VLOOKUP(1875,Sprachindex!$A:$Z,Info!$O$7,FALSE)</f>
        <v>Einfassung Vario, 600-1.020 mm, stucco</v>
      </c>
      <c r="F53" s="589"/>
      <c r="G53" s="589"/>
      <c r="H53" s="589"/>
      <c r="I53" s="589"/>
      <c r="J53" s="589"/>
      <c r="K53" s="590"/>
      <c r="L53" s="79" t="str">
        <f>IF(A53=0,"",IF($Z$11=1,AD53,AE53))</f>
        <v/>
      </c>
      <c r="M53" s="433" t="str">
        <f t="shared" si="0"/>
        <v>Stk.</v>
      </c>
      <c r="N53" s="80"/>
      <c r="O53" s="202" t="str">
        <f t="shared" si="6"/>
        <v/>
      </c>
      <c r="P53" s="5"/>
      <c r="Q53" s="5"/>
      <c r="R53" s="200"/>
      <c r="S53" s="195"/>
      <c r="T53" s="5"/>
      <c r="U53" s="5"/>
      <c r="V53" s="5"/>
      <c r="W53" s="5"/>
      <c r="X53" s="5"/>
      <c r="Y53" s="5"/>
      <c r="AC53" s="1"/>
      <c r="AD53" s="149">
        <f t="shared" si="5"/>
        <v>0</v>
      </c>
      <c r="AE53" s="149">
        <f t="shared" si="5"/>
        <v>0</v>
      </c>
      <c r="AH53" s="44"/>
      <c r="AI53" s="44"/>
      <c r="AJ53" s="44"/>
      <c r="AK53" s="44"/>
      <c r="AL53" s="44"/>
      <c r="AM53" s="44"/>
      <c r="AN53" s="44"/>
      <c r="AO53" s="44"/>
      <c r="AP53" s="44"/>
      <c r="AQ53" s="44"/>
    </row>
    <row r="54" spans="1:474" ht="32.1" customHeight="1">
      <c r="A54" s="98"/>
      <c r="B54" s="79" t="str">
        <f>VLOOKUP(878,Sprachindex!$A:$Z,Info!$O$7,FALSE)</f>
        <v>Stk.</v>
      </c>
      <c r="C54" s="78"/>
      <c r="D54" s="78">
        <f>IF(AND($Z$9=2,$Z$21=1),AH54,IF(AND($Z$9=2,$Z$21=4),AI54,IF(AND($Z$9=2,$Z$21=5),AJ54,IF(AND($Z$9=2,$Z$21=11),AK54,IF(AND($Z$9=2,$Z$21=7),AL54,IF(AND($Z$9=2,$Z$21=3),AM54,IF(AND($Z$9=2,$Z$21=6),AN54,IF(AND($Z$9=2,$Z$21=9),AO54,IF(AND($Z$9=2,$Z$21=2),AP54,IF(AND($Z$9=2,$Z$21=8),AQ54,IF(AND($Z$9=1,$Z$21=1),AR54,IF(AND($Z$9=1,$Z$21=1),AR54,IF(AND($Z$9=1,$Z$21=4),AS54,IF(AND($Z$9=1,$Z$21=5),AT54,IF(AND($Z$9=1,$Z$21=11),AU54,IF(AND($Z$9=1,$Z$21=7),AV54,IF(AND($Z$9=1,$Z$21=3),AW54,IF(AND($Z$9=1,$Z$21=6),AX54,IF(AND($Z$9=1,$Z$21=9),AY54,IF(AND($Z$9=1,$Z$21=2),AZ54,IF(AND($Z$9=1,$Z$21=8),BA54,0)))))))))))))))))))))</f>
        <v>0</v>
      </c>
      <c r="E54" s="588" t="str">
        <f>VLOOKUP(254,Sprachindex!$A:$Z,Info!$O$7,FALSE)</f>
        <v>Dachluke (600 × 600 mm); komplett mit Holzrahmen</v>
      </c>
      <c r="F54" s="589"/>
      <c r="G54" s="589"/>
      <c r="H54" s="589"/>
      <c r="I54" s="589"/>
      <c r="J54" s="589"/>
      <c r="K54" s="590"/>
      <c r="L54" s="79" t="str">
        <f>IF(A54=0,"",IF($Z$11=1,AD54,AE54))</f>
        <v/>
      </c>
      <c r="M54" s="433" t="str">
        <f t="shared" si="0"/>
        <v>Stk.</v>
      </c>
      <c r="N54" s="80"/>
      <c r="O54" s="202" t="str">
        <f t="shared" si="6"/>
        <v/>
      </c>
      <c r="P54" s="5"/>
      <c r="Q54" s="5"/>
      <c r="R54" s="200">
        <v>247.5</v>
      </c>
      <c r="S54" s="195"/>
      <c r="T54" s="5"/>
      <c r="U54" s="5"/>
      <c r="V54" s="5"/>
      <c r="W54" s="5"/>
      <c r="X54" s="5"/>
      <c r="Y54" s="5"/>
      <c r="AC54" s="1"/>
      <c r="AD54" s="149">
        <f t="shared" ref="AD54:AE63" si="8">ROUNDUP($A54,0)</f>
        <v>0</v>
      </c>
      <c r="AE54" s="149">
        <f t="shared" si="8"/>
        <v>0</v>
      </c>
      <c r="AH54" s="44">
        <v>110020</v>
      </c>
      <c r="AI54" s="44">
        <v>110021</v>
      </c>
      <c r="AJ54" s="44">
        <v>110022</v>
      </c>
      <c r="AK54" s="44">
        <v>110023</v>
      </c>
      <c r="AL54" s="44">
        <v>110024</v>
      </c>
      <c r="AM54" s="44">
        <v>110025</v>
      </c>
      <c r="AN54" s="44">
        <v>110026</v>
      </c>
      <c r="AO54" s="44">
        <v>110027</v>
      </c>
      <c r="AP54" s="44">
        <v>110028</v>
      </c>
      <c r="AQ54" s="44"/>
      <c r="AR54" s="44">
        <v>110030</v>
      </c>
      <c r="AS54" s="44">
        <v>110031</v>
      </c>
      <c r="AT54" s="44">
        <v>110032</v>
      </c>
      <c r="AU54" s="44">
        <v>110033</v>
      </c>
      <c r="AV54" s="44">
        <v>110034</v>
      </c>
      <c r="AW54" s="44">
        <v>110035</v>
      </c>
      <c r="AX54" s="44">
        <v>110036</v>
      </c>
      <c r="AY54" s="44">
        <v>110037</v>
      </c>
      <c r="AZ54" s="44">
        <v>110038</v>
      </c>
      <c r="BA54" s="44">
        <v>110039</v>
      </c>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98"/>
      <c r="B55" s="79" t="str">
        <f>VLOOKUP(878,Sprachindex!$A:$Z,Info!$O$7,FALSE)</f>
        <v>Stk.</v>
      </c>
      <c r="C55" s="78"/>
      <c r="D55" s="78">
        <f>IF(Info!V7=2,'Velux DE Artikelnummern'!C34,Q55)</f>
        <v>0</v>
      </c>
      <c r="E55" s="561" t="str">
        <f>VLOOKUP(324,Sprachindex!$A:$Z,Info!$O$7,FALSE)</f>
        <v>Einfassung für Velux-Dachflächenfenster (stucco)</v>
      </c>
      <c r="F55" s="562"/>
      <c r="G55" s="562"/>
      <c r="H55" s="562"/>
      <c r="I55" s="84" t="str">
        <f>VLOOKUP(591,Sprachindex!$A:$Z,Info!$O$7,FALSE)</f>
        <v>Maße:</v>
      </c>
      <c r="J55" s="572"/>
      <c r="K55" s="574"/>
      <c r="L55" s="79" t="str">
        <f>IF($A55=0,"",IF($J55=Formeln!$A$30," ",IF($Z$11=1,AD55,AE55)))</f>
        <v/>
      </c>
      <c r="M55" s="433" t="str">
        <f t="shared" si="0"/>
        <v>Stk.</v>
      </c>
      <c r="N55" s="80"/>
      <c r="O55" s="202" t="str">
        <f>IF(ISNUMBER(L55),IF(OR(J55=Formeln!A30,J55=Formeln!A31,J55=Formeln!A32),R55,IF(OR(J55=Formeln!A33,J55=Formeln!A34,J55=Formeln!A35),S55,IF(OR(J55=Formeln!A36,J55=Formeln!A37,J55=Formeln!A38),T55,IF(OR(J55=Formeln!A39,J55=Formeln!A40),U55,IF(OR(J55=Formeln!A41,J55=Formeln!A42,J55=Formeln!A43),V55,IF(OR(J55=Formeln!A44),W55,IF(OR(J55=Formeln!A45,J55=Formeln!A46),X55,IF(OR(J55=Formeln!A47),Y55,IF(OR(J55=Formeln!A48,J55=Formeln!A49),Z55,IF(OR(J55=Formeln!A50),AA55,0)))))))))), "")</f>
        <v/>
      </c>
      <c r="P55" s="5"/>
      <c r="Q55" s="1">
        <f>IF(J55=Formeln!$A$31,BB55,IF(J55=Formeln!$A$32,BW55,IF(J55=Formeln!$A$33,CR55,IF(J55=Formeln!$A$34,DM55,IF(J55=Formeln!$A$35,EH55,IF(J55=Formeln!$A$36,FC55,IF(J55=Formeln!$A$37,FX55,IF(J55=Formeln!$A$38,GS55,IF(J55=Formeln!$A$39,HN55,IF(J55=Formeln!$A$40,II55,IF(J55=Formeln!$A$41,JD55,IF(J55=Formeln!$A$42,JY55,IF(J55=Formeln!$A$43,KT55,IF(J55=Formeln!$A$44,LO55,IF(J55=Formeln!$A$45,MJ55,IF(J55=Formeln!$A$46,NE55,IF(J55=Formeln!$A$47,NZ55,IF(J55=Formeln!$A$48,OU55,IF(J55=Formeln!$A$49,PP55,IF(J55=Formeln!$A$50,QK55,IF(J55=Formeln!$A$51,RF55,0)))))))))))))))))))))</f>
        <v>0</v>
      </c>
      <c r="R55" s="200">
        <v>264.7</v>
      </c>
      <c r="S55" s="200">
        <v>271.8</v>
      </c>
      <c r="T55" s="200">
        <v>272.3</v>
      </c>
      <c r="U55" s="200">
        <v>285.8</v>
      </c>
      <c r="V55" s="200">
        <v>328.1</v>
      </c>
      <c r="W55" s="200">
        <v>335.1</v>
      </c>
      <c r="X55" s="200">
        <v>335.1</v>
      </c>
      <c r="Y55" s="200">
        <v>335.1</v>
      </c>
      <c r="Z55" s="200">
        <v>337.4</v>
      </c>
      <c r="AA55" s="200">
        <v>337.4</v>
      </c>
      <c r="AC55" s="1"/>
      <c r="AD55" s="149">
        <f t="shared" si="8"/>
        <v>0</v>
      </c>
      <c r="AE55" s="149">
        <f t="shared" si="8"/>
        <v>0</v>
      </c>
      <c r="AH55" s="44"/>
      <c r="AI55" s="48"/>
      <c r="AJ55" s="48"/>
      <c r="AK55" s="48"/>
      <c r="AL55" s="48"/>
      <c r="AM55" s="48"/>
      <c r="AN55" s="48"/>
      <c r="AO55" s="48"/>
      <c r="AP55" s="48"/>
      <c r="AR55" s="48">
        <v>111100</v>
      </c>
      <c r="AS55" s="48">
        <v>111101</v>
      </c>
      <c r="AT55" s="48">
        <v>111102</v>
      </c>
      <c r="AU55" s="48">
        <v>111103</v>
      </c>
      <c r="AV55" s="48">
        <v>111104</v>
      </c>
      <c r="AW55" s="48">
        <v>111105</v>
      </c>
      <c r="AX55" s="48">
        <v>111106</v>
      </c>
      <c r="AY55" s="48">
        <v>111107</v>
      </c>
      <c r="AZ55" s="48">
        <v>111108</v>
      </c>
      <c r="BA55" s="174">
        <v>111109</v>
      </c>
      <c r="BB55" s="50">
        <f>IF(AND($Z$9=2,$Z$21=1),AH55,IF(AND($Z$9=2,$Z$21=4),AI55,IF(AND($Z$9=2,$Z$21=5),AJ55,IF(AND($Z$9=2,$Z$21=11),AK55,IF(AND($Z$9=2,$Z$21=7),AL55,IF(AND($Z$9=2,$Z$21=3),AM55,IF(AND($Z$9=2,$Z$21=6),AN55,IF(AND($Z$9=2,$Z$21=9),AO55,IF(AND($Z$9=2,$Z$21=2),AP55,IF(AND($Z$9=2,$Z$21=8),AQ55,IF(AND($Z$9=1,$Z$21=1),AR55,IF(AND($Z$9=1,$Z$21=1),AR55,IF(AND($Z$9=1,$Z$21=4),AS55,IF(AND($Z$9=1,$Z$21=5),AT55,IF(AND($Z$9=1,$Z$21=11),AU55,IF(AND($Z$9=1,$Z$21=7),AV55,IF(AND($Z$9=1,$Z$21=3),AW55,IF(AND($Z$9=1,$Z$21=6),AX55,IF(AND($Z$9=1,$Z$21=9),AY55,IF(AND($Z$9=1,$Z$21=2),AZ55,IF(AND($Z$9=1,$Z$21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74">
        <v>111109</v>
      </c>
      <c r="BW55" s="50">
        <f>IF(AND($Z$9=2,$Z$21=1),BC55,IF(AND($Z$9=2,$Z$21=4),BD55,IF(AND($Z$9=2,$Z$21=5),BE55,IF(AND($Z$9=2,$Z$21=11),BF55,IF(AND($Z$9=2,$Z$21=7),BG55,IF(AND($Z$9=2,$Z$21=3),BH55,IF(AND($Z$9=2,$Z$21=6),BI55,IF(AND($Z$9=2,$Z$21=9),BJ55,IF(AND($Z$9=2,$Z$21=2),BK55,IF(AND($Z$9=2,$Z$21=8),BL55,IF(AND($Z$9=1,$Z$21=1),BM55,IF(AND($Z$9=1,$Z$21=1),BM55,IF(AND($Z$9=1,$Z$21=4),BN55,IF(AND($Z$9=1,$Z$21=5),BO55,IF(AND($Z$9=1,$Z$21=11),BP55,IF(AND($Z$9=1,$Z$21=7),BQ55,IF(AND($Z$9=1,$Z$21=3),BR55,IF(AND($Z$9=1,$Z$21=6),BS55,IF(AND($Z$9=1,$Z$21=9),BT55,IF(AND($Z$9=1,$Z$21=2),BU55,IF(AND($Z$9=1,$Z$21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74">
        <v>111109</v>
      </c>
      <c r="CR55" s="50">
        <f>IF(AND($Z$9=2,$Z$21=1),BX55,IF(AND($Z$9=2,$Z$21=4),BY55,IF(AND($Z$9=2,$Z$21=5),BZ55,IF(AND($Z$9=2,$Z$21=11),CA55,IF(AND($Z$9=2,$Z$21=7),CB55,IF(AND($Z$9=2,$Z$21=3),CC55,IF(AND($Z$9=2,$Z$21=6),CD55,IF(AND($Z$9=2,$Z$21=9),CE55,IF(AND($Z$9=2,$Z$21=2),CF55,IF(AND($Z$9=2,$Z$21=8),CG55,IF(AND($Z$9=1,$Z$21=1),CH55,IF(AND($Z$9=1,$Z$21=1),CH55,IF(AND($Z$9=1,$Z$21=4),CI55,IF(AND($Z$9=1,$Z$21=5),CJ55,IF(AND($Z$9=1,$Z$21=11),CK55,IF(AND($Z$9=1,$Z$21=7),CL55,IF(AND($Z$9=1,$Z$21=3),CM55,IF(AND($Z$9=1,$Z$21=6),CN55,IF(AND($Z$9=1,$Z$21=9),CO55,IF(AND($Z$9=1,$Z$21=2),CP55,IF(AND($Z$9=1,$Z$21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74">
        <v>111129</v>
      </c>
      <c r="DM55" s="50">
        <f>IF(AND($Z$9=2,$Z$21=1),CS55,IF(AND($Z$9=2,$Z$21=4),CT55,IF(AND($Z$9=2,$Z$21=5),CU55,IF(AND($Z$9=2,$Z$21=11),CV55,IF(AND($Z$9=2,$Z$21=7),CW55,IF(AND($Z$9=2,$Z$21=3),CX55,IF(AND($Z$9=2,$Z$21=6),CY55,IF(AND($Z$9=2,$Z$21=9),CZ55,IF(AND($Z$9=2,$Z$21=2),DA55,IF(AND($Z$9=2,$Z$21=8),DB55,IF(AND($Z$9=1,$Z$21=1),DC55,IF(AND($Z$9=1,$Z$21=1),DC55,IF(AND($Z$9=1,$Z$21=4),DD55,IF(AND($Z$9=1,$Z$21=5),DE55,IF(AND($Z$9=1,$Z$21=11),DF55,IF(AND($Z$9=1,$Z$21=7),DG55,IF(AND($Z$9=1,$Z$21=3),DH55,IF(AND($Z$9=1,$Z$21=6),DI55,IF(AND($Z$9=1,$Z$21=9),DJ55,IF(AND($Z$9=1,$Z$21=2),DK55,IF(AND($Z$9=1,$Z$21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74">
        <v>111129</v>
      </c>
      <c r="EH55" s="50">
        <f>IF(AND($Z$9=2,$Z$21=1),DN55,IF(AND($Z$9=2,$Z$21=4),DO55,IF(AND($Z$9=2,$Z$21=5),DP55,IF(AND($Z$9=2,$Z$21=11),DQ55,IF(AND($Z$9=2,$Z$21=7),DR55,IF(AND($Z$9=2,$Z$21=3),DS55,IF(AND($Z$9=2,$Z$21=6),DT55,IF(AND($Z$9=2,$Z$21=9),DU55,IF(AND($Z$9=2,$Z$21=2),DV55,IF(AND($Z$9=2,$Z$21=8),DW55,IF(AND($Z$9=1,$Z$21=1),DX55,IF(AND($Z$9=1,$Z$21=1),DX55,IF(AND($Z$9=1,$Z$21=4),DY55,IF(AND($Z$9=1,$Z$21=5),DZ55,IF(AND($Z$9=1,$Z$21=11),EA55,IF(AND($Z$9=1,$Z$21=7),EB55,IF(AND($Z$9=1,$Z$21=3),EC55,IF(AND($Z$9=1,$Z$21=6),ED55,IF(AND($Z$9=1,$Z$21=9),EE55,IF(AND($Z$9=1,$Z$21=2),EF55,IF(AND($Z$9=1,$Z$21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74">
        <v>111129</v>
      </c>
      <c r="FC55" s="50">
        <f>IF(AND($Z$9=2,$Z$21=1),EI55,IF(AND($Z$9=2,$Z$21=4),EJ55,IF(AND($Z$9=2,$Z$21=5),EK55,IF(AND($Z$9=2,$Z$21=11),EL55,IF(AND($Z$9=2,$Z$21=7),EM55,IF(AND($Z$9=2,$Z$21=3),EN55,IF(AND($Z$9=2,$Z$21=6),EO55,IF(AND($Z$9=2,$Z$21=9),EP55,IF(AND($Z$9=2,$Z$21=2),EQ55,IF(AND($Z$9=2,$Z$21=8),ER55,IF(AND($Z$9=1,$Z$21=1),ES55,IF(AND($Z$9=1,$Z$21=1),ES55,IF(AND($Z$9=1,$Z$21=4),ET55,IF(AND($Z$9=1,$Z$21=5),EU55,IF(AND($Z$9=1,$Z$21=11),EV55,IF(AND($Z$9=1,$Z$21=7),EW55,IF(AND($Z$9=1,$Z$21=3),EX55,IF(AND($Z$9=1,$Z$21=6),EY55,IF(AND($Z$9=1,$Z$21=9),EZ55,IF(AND($Z$9=1,$Z$21=2),FA55,IF(AND($Z$9=1,$Z$21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74">
        <v>111169</v>
      </c>
      <c r="FX55" s="50">
        <f>IF(AND($Z$9=2,$Z$21=1),FD55,IF(AND($Z$9=2,$Z$21=4),FE55,IF(AND($Z$9=2,$Z$21=5),FF55,IF(AND($Z$9=2,$Z$21=11),FG55,IF(AND($Z$9=2,$Z$21=7),FH55,IF(AND($Z$9=2,$Z$21=3),FI55,IF(AND($Z$9=2,$Z$21=6),FJ55,IF(AND($Z$9=2,$Z$21=9),FK55,IF(AND($Z$9=2,$Z$21=2),FL55,IF(AND($Z$9=2,$Z$21=8),FM55,IF(AND($Z$9=1,$Z$21=1),FN55,IF(AND($Z$9=1,$Z$21=1),FN55,IF(AND($Z$9=1,$Z$21=4),FO55,IF(AND($Z$9=1,$Z$21=5),FP55,IF(AND($Z$9=1,$Z$21=11),FQ55,IF(AND($Z$9=1,$Z$21=7),FR55,IF(AND($Z$9=1,$Z$21=3),FS55,IF(AND($Z$9=1,$Z$21=6),FT55,IF(AND($Z$9=1,$Z$21=9),FU55,IF(AND($Z$9=1,$Z$21=2),FV55,IF(AND($Z$9=1,$Z$21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74">
        <v>111169</v>
      </c>
      <c r="GS55" s="50">
        <f>IF(AND($Z$9=2,$Z$21=1),FY55,IF(AND($Z$9=2,$Z$21=4),FZ55,IF(AND($Z$9=2,$Z$21=5),GA55,IF(AND($Z$9=2,$Z$21=11),GB55,IF(AND($Z$9=2,$Z$21=7),GC55,IF(AND($Z$9=2,$Z$21=3),GD55,IF(AND($Z$9=2,$Z$21=6),GE55,IF(AND($Z$9=2,$Z$21=9),GF55,IF(AND($Z$9=2,$Z$21=2),GG55,IF(AND($Z$9=2,$Z$21=8),GH55,IF(AND($Z$9=1,$Z$21=1),GI55,IF(AND($Z$9=1,$Z$21=1),GI55,IF(AND($Z$9=1,$Z$21=4),GJ55,IF(AND($Z$9=1,$Z$21=5),GK55,IF(AND($Z$9=1,$Z$21=11),GL55,IF(AND($Z$9=1,$Z$21=7),GM55,IF(AND($Z$9=1,$Z$21=3),GN55,IF(AND($Z$9=1,$Z$21=6),GO55,IF(AND($Z$9=1,$Z$21=9),GP55,IF(AND($Z$9=1,$Z$21=2),GQ55,IF(AND($Z$9=1,$Z$21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75">
        <v>111169</v>
      </c>
      <c r="HN55" s="50">
        <f>IF(AND($Z$9=2,$Z$21=1),GT55,IF(AND($Z$9=2,$Z$21=4),GU55,IF(AND($Z$9=2,$Z$21=5),GV55,IF(AND($Z$9=2,$Z$21=11),GW55,IF(AND($Z$9=2,$Z$21=7),GX55,IF(AND($Z$9=2,$Z$21=3),GY55,IF(AND($Z$9=2,$Z$21=6),GZ55,IF(AND($Z$9=2,$Z$21=9),HA55,IF(AND($Z$9=2,$Z$21=2),HB55,IF(AND($Z$9=2,$Z$21=8),HC55,IF(AND($Z$9=1,$Z$21=1),HD55,IF(AND($Z$9=1,$Z$21=1),HD55,IF(AND($Z$9=1,$Z$21=4),HE55,IF(AND($Z$9=1,$Z$21=5),HF55,IF(AND($Z$9=1,$Z$21=11),HG55,IF(AND($Z$9=1,$Z$21=7),HH55,IF(AND($Z$9=1,$Z$21=3),HI55,IF(AND($Z$9=1,$Z$21=6),HJ55,IF(AND($Z$9=1,$Z$21=9),HK55,IF(AND($Z$9=1,$Z$21=2),HL55,IF(AND($Z$9=1,$Z$21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75">
        <v>111289</v>
      </c>
      <c r="II55" s="50">
        <f>IF(AND($Z$9=2,$Z$21=1),HO55,IF(AND($Z$9=2,$Z$21=4),HP55,IF(AND($Z$9=2,$Z$21=5),HQ55,IF(AND($Z$9=2,$Z$21=11),HR55,IF(AND($Z$9=2,$Z$21=7),HS55,IF(AND($Z$9=2,$Z$21=3),HT55,IF(AND($Z$9=2,$Z$21=6),HU55,IF(AND($Z$9=2,$Z$21=9),HV55,IF(AND($Z$9=2,$Z$21=2),HW55,IF(AND($Z$9=2,$Z$21=8),HX55,IF(AND($Z$9=1,$Z$21=1),HY55,IF(AND($Z$9=1,$Z$21=1),HY55,IF(AND($Z$9=1,$Z$21=4),HZ55,IF(AND($Z$9=1,$Z$21=5),IA55,IF(AND($Z$9=1,$Z$21=11),IB55,IF(AND($Z$9=1,$Z$21=7),IC55,IF(AND($Z$9=1,$Z$21=3),ID55,IF(AND($Z$9=1,$Z$21=6),IE55,IF(AND($Z$9=1,$Z$21=9),IF55,IF(AND($Z$9=1,$Z$21=2),IG55,IF(AND($Z$9=1,$Z$21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75">
        <v>111289</v>
      </c>
      <c r="JD55" s="50">
        <f>IF(AND($Z$9=2,$Z$21=1),IJ55,IF(AND($Z$9=2,$Z$21=4),IK55,IF(AND($Z$9=2,$Z$21=5),IL55,IF(AND($Z$9=2,$Z$21=11),IM55,IF(AND($Z$9=2,$Z$21=7),IN55,IF(AND($Z$9=2,$Z$21=3),IO55,IF(AND($Z$9=2,$Z$21=6),IP55,IF(AND($Z$9=2,$Z$21=9),IQ55,IF(AND($Z$9=2,$Z$21=2),IR55,IF(AND($Z$9=2,$Z$21=8),IS55,IF(AND($Z$9=1,$Z$21=1),IT55,IF(AND($Z$9=1,$Z$21=1),IT55,IF(AND($Z$9=1,$Z$21=4),IU55,IF(AND($Z$9=1,$Z$21=5),IV55,IF(AND($Z$9=1,$Z$21=11),IW55,IF(AND($Z$9=1,$Z$21=7),IX55,IF(AND($Z$9=1,$Z$21=3),IY55,IF(AND($Z$9=1,$Z$21=6),IZ55,IF(AND($Z$9=1,$Z$21=9),JA55,IF(AND($Z$9=1,$Z$21=2),JB55,IF(AND($Z$9=1,$Z$21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75">
        <v>111189</v>
      </c>
      <c r="JY55" s="50">
        <f>IF(AND($Z$9=2,$Z$21=1),JE55,IF(AND($Z$9=2,$Z$21=4),JF55,IF(AND($Z$9=2,$Z$21=5),JG55,IF(AND($Z$9=2,$Z$21=11),JH55,IF(AND($Z$9=2,$Z$21=7),JI55,IF(AND($Z$9=2,$Z$21=3),JJ55,IF(AND($Z$9=2,$Z$21=6),JK55,IF(AND($Z$9=2,$Z$21=9),JL55,IF(AND($Z$9=2,$Z$21=2),JM55,IF(AND($Z$9=2,$Z$21=8),JN55,IF(AND($Z$9=1,$Z$21=1),JO55,IF(AND($Z$9=1,$Z$21=1),JO55,IF(AND($Z$9=1,$Z$21=4),JP55,IF(AND($Z$9=1,$Z$21=5),JQ55,IF(AND($Z$9=1,$Z$21=11),JR55,IF(AND($Z$9=1,$Z$21=7),JS55,IF(AND($Z$9=1,$Z$21=3),JT55,IF(AND($Z$9=1,$Z$21=6),JU55,IF(AND($Z$9=1,$Z$21=9),JV55,IF(AND($Z$9=1,$Z$21=2),JW55,IF(AND($Z$9=1,$Z$21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75">
        <v>111189</v>
      </c>
      <c r="KT55" s="50">
        <f>IF(AND($Z$9=2,$Z$21=1),JZ55,IF(AND($Z$9=2,$Z$21=4),KA55,IF(AND($Z$9=2,$Z$21=5),KB55,IF(AND($Z$9=2,$Z$21=11),KC55,IF(AND($Z$9=2,$Z$21=7),KD55,IF(AND($Z$9=2,$Z$21=3),KE55,IF(AND($Z$9=2,$Z$21=6),KF55,IF(AND($Z$9=2,$Z$21=9),KG55,IF(AND($Z$9=2,$Z$21=2),KH55,IF(AND($Z$9=2,$Z$21=8),KI55,IF(AND($Z$9=1,$Z$21=1),KJ55,IF(AND($Z$9=1,$Z$21=1),KJ55,IF(AND($Z$9=1,$Z$21=4),KK55,IF(AND($Z$9=1,$Z$21=5),KL55,IF(AND($Z$9=1,$Z$21=11),KM55,IF(AND($Z$9=1,$Z$21=7),KN55,IF(AND($Z$9=1,$Z$21=3),KO55,IF(AND($Z$9=1,$Z$21=6),KP55,IF(AND($Z$9=1,$Z$21=9),KQ55,IF(AND($Z$9=1,$Z$21=2),KR55,IF(AND($Z$9=1,$Z$21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75">
        <v>111189</v>
      </c>
      <c r="LO55" s="50">
        <f>IF(AND($Z$9=2,$Z$21=1),KU55,IF(AND($Z$9=2,$Z$21=4),KV55,IF(AND($Z$9=2,$Z$21=5),KW55,IF(AND($Z$9=2,$Z$21=11),KX55,IF(AND($Z$9=2,$Z$21=7),KY55,IF(AND($Z$9=2,$Z$21=3),KZ55,IF(AND($Z$9=2,$Z$21=6),LA55,IF(AND($Z$9=2,$Z$21=9),LB55,IF(AND($Z$9=2,$Z$21=2),LC55,IF(AND($Z$9=2,$Z$21=8),LD55,IF(AND($Z$9=1,$Z$21=1),LE55,IF(AND($Z$9=1,$Z$21=1),LE55,IF(AND($Z$9=1,$Z$21=4),LF55,IF(AND($Z$9=1,$Z$21=5),LG55,IF(AND($Z$9=1,$Z$21=11),LH55,IF(AND($Z$9=1,$Z$21=7),LI55,IF(AND($Z$9=1,$Z$21=3),LJ55,IF(AND($Z$9=1,$Z$21=6),LK55,IF(AND($Z$9=1,$Z$21=9),LL55,IF(AND($Z$9=1,$Z$21=2),LM55,IF(AND($Z$9=1,$Z$21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75">
        <v>111209</v>
      </c>
      <c r="MJ55" s="50">
        <f>IF(AND($Z$9=2,$Z$21=1),LP55,IF(AND($Z$9=2,$Z$21=4),LQ55,IF(AND($Z$9=2,$Z$21=5),LR55,IF(AND($Z$9=2,$Z$21=11),LS55,IF(AND($Z$9=2,$Z$21=7),LT55,IF(AND($Z$9=2,$Z$21=3),LU55,IF(AND($Z$9=2,$Z$21=6),LV55,IF(AND($Z$9=2,$Z$21=9),LW55,IF(AND($Z$9=2,$Z$21=2),LX55,IF(AND($Z$9=2,$Z$21=8),LY55,IF(AND($Z$9=1,$Z$21=1),LZ55,IF(AND($Z$9=1,$Z$21=1),LZ55,IF(AND($Z$9=1,$Z$21=4),MA55,IF(AND($Z$9=1,$Z$21=5),MB55,IF(AND($Z$9=1,$Z$21=11),MC55,IF(AND($Z$9=1,$Z$21=7),MD55,IF(AND($Z$9=1,$Z$21=3),ME55,IF(AND($Z$9=1,$Z$21=6),MF55,IF(AND($Z$9=1,$Z$21=9),MG55,IF(AND($Z$9=1,$Z$21=2),MH55,IF(AND($Z$9=1,$Z$21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75">
        <v>111229</v>
      </c>
      <c r="NE55" s="50">
        <f>IF(AND($Z$9=2,$Z$21=1),MK55,IF(AND($Z$9=2,$Z$21=4),ML55,IF(AND($Z$9=2,$Z$21=5),MM55,IF(AND($Z$9=2,$Z$21=11),MN55,IF(AND($Z$9=2,$Z$21=7),MO55,IF(AND($Z$9=2,$Z$21=3),MP55,IF(AND($Z$9=2,$Z$21=6),MQ55,IF(AND($Z$9=2,$Z$21=9),MR55,IF(AND($Z$9=2,$Z$21=2),MS55,IF(AND($Z$9=2,$Z$21=8),MT55,IF(AND($Z$9=1,$Z$21=1),MU55,IF(AND($Z$9=1,$Z$21=1),MU55,IF(AND($Z$9=1,$Z$21=4),MV55,IF(AND($Z$9=1,$Z$21=5),MW55,IF(AND($Z$9=1,$Z$21=11),MX55,IF(AND($Z$9=1,$Z$21=7),MY55,IF(AND($Z$9=1,$Z$21=3),MZ55,IF(AND($Z$9=1,$Z$21=6),NA55,IF(AND($Z$9=1,$Z$21=9),NB55,IF(AND($Z$9=1,$Z$21=2),NC55,IF(AND($Z$9=1,$Z$21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75">
        <v>111229</v>
      </c>
      <c r="NZ55" s="50">
        <f>IF(AND($Z$9=2,$Z$21=1),NF55,IF(AND($Z$9=2,$Z$21=4),NG55,IF(AND($Z$9=2,$Z$21=5),NH55,IF(AND($Z$9=2,$Z$21=11),NI55,IF(AND($Z$9=2,$Z$21=7),NJ55,IF(AND($Z$9=2,$Z$21=3),NK55,IF(AND($Z$9=2,$Z$21=6),NL55,IF(AND($Z$9=2,$Z$21=9),NM55,IF(AND($Z$9=2,$Z$21=2),NN55,IF(AND($Z$9=2,$Z$21=8),NO55,IF(AND($Z$9=1,$Z$21=1),NP55,IF(AND($Z$9=1,$Z$21=1),NP55,IF(AND($Z$9=1,$Z$21=4),NQ55,IF(AND($Z$9=1,$Z$21=5),NR55,IF(AND($Z$9=1,$Z$21=11),NS55,IF(AND($Z$9=1,$Z$21=7),NT55,IF(AND($Z$9=1,$Z$21=3),NU55,IF(AND($Z$9=1,$Z$21=6),NV55,IF(AND($Z$9=1,$Z$21=9),NW55,IF(AND($Z$9=1,$Z$21=2),NX55,IF(AND($Z$9=1,$Z$21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75">
        <v>111609</v>
      </c>
      <c r="OU55" s="50">
        <f>IF(AND($Z$9=2,$Z$21=1),OA55,IF(AND($Z$9=2,$Z$21=4),OB55,IF(AND($Z$9=2,$Z$21=5),OC55,IF(AND($Z$9=2,$Z$21=11),OD55,IF(AND($Z$9=2,$Z$21=7),OE55,IF(AND($Z$9=2,$Z$21=3),OF55,IF(AND($Z$9=2,$Z$21=6),OG55,IF(AND($Z$9=2,$Z$21=9),OH55,IF(AND($Z$9=2,$Z$21=2),OI55,IF(AND($Z$9=2,$Z$21=8),OJ55,IF(AND($Z$9=1,$Z$21=1),OK55,IF(AND($Z$9=1,$Z$21=1),OK55,IF(AND($Z$9=1,$Z$21=4),OL55,IF(AND($Z$9=1,$Z$21=5),OM55,IF(AND($Z$9=1,$Z$21=11),ON55,IF(AND($Z$9=1,$Z$21=7),OO55,IF(AND($Z$9=1,$Z$21=3),OP55,IF(AND($Z$9=1,$Z$21=6),OQ55,IF(AND($Z$9=1,$Z$21=9),OR55,IF(AND($Z$9=1,$Z$21=2),OS55,IF(AND($Z$9=1,$Z$21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75">
        <v>111249</v>
      </c>
      <c r="PP55" s="50">
        <f>IF(AND($Z$9=2,$Z$21=1),OV55,IF(AND($Z$9=2,$Z$21=4),OW55,IF(AND($Z$9=2,$Z$21=5),OX55,IF(AND($Z$9=2,$Z$21=11),OY55,IF(AND($Z$9=2,$Z$21=7),OZ55,IF(AND($Z$9=2,$Z$21=3),PA55,IF(AND($Z$9=2,$Z$21=6),PB55,IF(AND($Z$9=2,$Z$21=9),PC55,IF(AND($Z$9=2,$Z$21=2),PD55,IF(AND($Z$9=2,$Z$21=8),PE55,IF(AND($Z$9=1,$Z$21=1),PF55,IF(AND($Z$9=1,$Z$21=1),PF55,IF(AND($Z$9=1,$Z$21=4),PG55,IF(AND($Z$9=1,$Z$21=5),PH55,IF(AND($Z$9=1,$Z$21=11),PI55,IF(AND($Z$9=1,$Z$21=7),PJ55,IF(AND($Z$9=1,$Z$21=3),PK55,IF(AND($Z$9=1,$Z$21=6),PL55,IF(AND($Z$9=1,$Z$21=9),PM55,IF(AND($Z$9=1,$Z$21=2),PN55,IF(AND($Z$9=1,$Z$21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75">
        <v>111249</v>
      </c>
      <c r="QK55" s="50">
        <f>IF(AND($Z$9=2,$Z$21=1),PQ55,IF(AND($Z$9=2,$Z$21=4),PR55,IF(AND($Z$9=2,$Z$21=5),PS55,IF(AND($Z$9=2,$Z$21=11),PT55,IF(AND($Z$9=2,$Z$21=7),PU55,IF(AND($Z$9=2,$Z$21=3),PV55,IF(AND($Z$9=2,$Z$21=6),PW55,IF(AND($Z$9=2,$Z$21=9),PX55,IF(AND($Z$9=2,$Z$21=2),PY55,IF(AND($Z$9=2,$Z$21=8),PZ55,IF(AND($Z$9=1,$Z$21=1),QA55,IF(AND($Z$9=1,$Z$21=1),QA55,IF(AND($Z$9=1,$Z$21=4),QB55,IF(AND($Z$9=1,$Z$21=5),QC55,IF(AND($Z$9=1,$Z$21=11),QD55,IF(AND($Z$9=1,$Z$21=7),QE55,IF(AND($Z$9=1,$Z$21=3),QF55,IF(AND($Z$9=1,$Z$21=6),QG55,IF(AND($Z$9=1,$Z$21=9),QH55,IF(AND($Z$9=1,$Z$21=2),QI55,IF(AND($Z$9=1,$Z$21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75">
        <v>111629</v>
      </c>
      <c r="RF55" s="50">
        <f>IF(AND($Z$9=2,$Z$21=1),QL55,IF(AND($Z$9=2,$Z$21=4),QM55,IF(AND($Z$9=2,$Z$21=5),QN55,IF(AND($Z$9=2,$Z$21=11),QO55,IF(AND($Z$9=2,$Z$21=7),QP55,IF(AND($Z$9=2,$Z$21=3),QQ55,IF(AND($Z$9=2,$Z$21=6),QR55,IF(AND($Z$9=2,$Z$21=9),QS55,IF(AND($Z$9=2,$Z$21=2),QT55,IF(AND($Z$9=2,$Z$21=8),QU55,IF(AND($Z$9=1,$Z$21=1),QV55,IF(AND($Z$9=1,$Z$21=1),QV55,IF(AND($Z$9=1,$Z$21=4),QW55,IF(AND($Z$9=1,$Z$21=5),QX55,IF(AND($Z$9=1,$Z$21=11),QY55,IF(AND($Z$9=1,$Z$21=7),QZ55,IF(AND($Z$9=1,$Z$21=3),RA55,IF(AND($Z$9=1,$Z$21=6),RB55,IF(AND($Z$9=1,$Z$21=9),RC55,IF(AND($Z$9=1,$Z$21=2),RD55,IF(AND($Z$9=1,$Z$21=8),RE55,0)))))))))))))))))))))</f>
        <v>0</v>
      </c>
    </row>
    <row r="56" spans="1:474" ht="32.1" customHeight="1">
      <c r="A56" s="98"/>
      <c r="B56" s="79" t="str">
        <f>VLOOKUP(878,Sprachindex!$A:$Z,Info!$O$7,FALSE)</f>
        <v>Stk.</v>
      </c>
      <c r="C56" s="78"/>
      <c r="D56" s="78">
        <f>IF(OR(J56=Formeln!$A$54,J56=Formeln!$A$55,J56=Formeln!$A$56,J56=Formeln!$A$80,J56=Formeln!$A$81,J56=Formeln!$A$82),BB56,IF(OR(J56=Formeln!$A$57,J56=Formeln!$A$58,J56=Formeln!$A$59,J56=Formeln!$A$83,J56=Formeln!$A$84,J56=Formeln!$A$85),BW56,IF(OR(J56=Formeln!$A$60,J56=Formeln!$A$61,J56=Formeln!$A$62,J56=Formeln!$A$86,J56=Formeln!$A$87,J56=Formeln!$A$88),CR56,IF(OR(J56=Formeln!$A$63,J56=Formeln!$A$64,J56=Formeln!$A$89,J56=Formeln!$A$90),DM56,IF(OR(J56=Formeln!$A$65,J56=Formeln!$A$66,J56=Formeln!$A$67,J56=Formeln!$A$91,J56=Formeln!$A$92,J56=Formeln!$A$93),EH56,IF(OR(J56=Formeln!$A$68,J56=Formeln!$A$69,J56=Formeln!$A$94,J56=Formeln!$A$95),FC56,IF(OR(J56=Formeln!$A$70,J56=Formeln!$A$71,J56=Formeln!$A$72,J56=Formeln!$A$73,J56=Formeln!$A$74,J56=Formeln!$A$96,J56=Formeln!$A$97,J56=Formeln!$A$98,J56=Formeln!$A$99,J56=Formeln!$A$100),FX56,IF(OR(J56=Formeln!$A$75,J56=Formeln!$A$76,J56=Formeln!$A$77,J56=Formeln!$A$101,J56=Formeln!$A$102,J56=Formeln!$A$103),GS56,0))))))))</f>
        <v>0</v>
      </c>
      <c r="E56" s="561" t="str">
        <f>VLOOKUP(321,Sprachindex!$A:$Z,Info!$O$7,FALSE)</f>
        <v>Einfassung für Roto-Dachflächenfenster (stucco)</v>
      </c>
      <c r="F56" s="562"/>
      <c r="G56" s="562"/>
      <c r="H56" s="562"/>
      <c r="I56" s="84" t="str">
        <f>VLOOKUP(591,Sprachindex!$A:$Z,Info!$O$7,FALSE)</f>
        <v>Maße:</v>
      </c>
      <c r="J56" s="572"/>
      <c r="K56" s="574"/>
      <c r="L56" s="79" t="str">
        <f>IF($A56=0,"",IF($J56=Formeln!$A$52," ",IF($Z$11=1,AD56,AE56)))</f>
        <v/>
      </c>
      <c r="M56" s="433" t="str">
        <f t="shared" si="0"/>
        <v>Stk.</v>
      </c>
      <c r="N56" s="80"/>
      <c r="O56" s="202" t="str">
        <f>IF(ISNUMBER(L56),IF(OR(J56=Formeln!A53,J56=Formeln!A54,J56=Formeln!A55,J56=Formeln!A79,J56=Formeln!A80,J56=Formeln!A81),R56,IF(OR(J56=Formeln!A56,J56=Formeln!A57,J56=Formeln!A58,J56=Formeln!A82,J56=Formeln!A83,J56=Formeln!A84),S56,IF(OR(J56=Formeln!A59,J56=Formeln!A60,J56=Formeln!A61,J56=Formeln!A85,J56=Formeln!A86,J56=Formeln!A87),T56,IF(OR(J56=Formeln!A62,J56=Formeln!A63,J56=Formeln!A88,J56=Formeln!A89),U56,IF(OR(J56=Formeln!A64,J56=Formeln!A65,J56=Formeln!A66,J56=Formeln!A90,J56=Formeln!A91,J56=Formeln!A92),V56,IF(OR(J56=Formeln!A67,J56=Formeln!A68,J56=Formeln!A93,J56=Formeln!A94),W56,IF(OR(J56=Formeln!A69,J56=Formeln!A70,J56=Formeln!A71,J56=Formeln!A72,J56=Formeln!A73,J56=Formeln!A95,J56=Formeln!A96,J56=Formeln!A97,J56=Formeln!A98,J56=Formeln!A99),X56,IF(OR(J56=Formeln!A74,J56=Formeln!A75,J56=Formeln!A76,J56=Formeln!A100,J56=Formeln!A101,J56=Formeln!A102),Y56,0)))))))), "")</f>
        <v/>
      </c>
      <c r="P56" s="5"/>
      <c r="Q56" s="5"/>
      <c r="R56" s="200">
        <v>264.7</v>
      </c>
      <c r="S56" s="200">
        <v>271.8</v>
      </c>
      <c r="T56" s="200">
        <v>271.8</v>
      </c>
      <c r="U56" s="200">
        <v>285.8</v>
      </c>
      <c r="V56" s="200">
        <v>328.1</v>
      </c>
      <c r="W56" s="200">
        <v>335.1</v>
      </c>
      <c r="X56" s="200">
        <v>335.1</v>
      </c>
      <c r="Y56" s="200">
        <v>337.4</v>
      </c>
      <c r="Z56" s="195"/>
      <c r="AA56" s="195"/>
      <c r="AC56" s="1"/>
      <c r="AD56" s="149">
        <f t="shared" si="8"/>
        <v>0</v>
      </c>
      <c r="AE56" s="149">
        <f t="shared" si="8"/>
        <v>0</v>
      </c>
      <c r="AH56" s="44"/>
      <c r="AI56" s="44"/>
      <c r="AJ56" s="44"/>
      <c r="AK56" s="44"/>
      <c r="AL56" s="44"/>
      <c r="AM56" s="44"/>
      <c r="AN56" s="44"/>
      <c r="AO56" s="44"/>
      <c r="AP56" s="44"/>
      <c r="AR56" s="44">
        <v>111300</v>
      </c>
      <c r="AS56" s="44">
        <v>111301</v>
      </c>
      <c r="AT56" s="44">
        <v>111302</v>
      </c>
      <c r="AU56" s="44">
        <v>111303</v>
      </c>
      <c r="AV56" s="44">
        <v>111304</v>
      </c>
      <c r="AW56" s="44">
        <v>111305</v>
      </c>
      <c r="AX56" s="44">
        <v>111306</v>
      </c>
      <c r="AY56" s="44">
        <v>111307</v>
      </c>
      <c r="AZ56" s="44">
        <v>111308</v>
      </c>
      <c r="BA56" s="174">
        <v>111309</v>
      </c>
      <c r="BB56" s="50">
        <f>IF(AND($Z$9=2,$Z$21=1),AH56,IF(AND($Z$9=2,$Z$21=4),AI56,IF(AND($Z$9=2,$Z$21=5),AJ56,IF(AND($Z$9=2,$Z$21=11),AK56,IF(AND($Z$9=2,$Z$21=7),AL56,IF(AND($Z$9=2,$Z$21=3),AM56,IF(AND($Z$9=2,$Z$21=6),AN56,IF(AND($Z$9=2,$Z$21=9),AO56,IF(AND($Z$9=2,$Z$21=2),AP56,IF(AND($Z$9=2,$Z$21=8),AQ56,IF(AND($Z$9=1,$Z$21=1),AR56,IF(AND($Z$9=1,$Z$21=1),AR56,IF(AND($Z$9=1,$Z$21=4),AS56,IF(AND($Z$9=1,$Z$21=5),AT56,IF(AND($Z$9=1,$Z$21=11),AU56,IF(AND($Z$9=1,$Z$21=7),AV56,IF(AND($Z$9=1,$Z$21=3),AW56,IF(AND($Z$9=1,$Z$21=6),AX56,IF(AND($Z$9=1,$Z$21=9),AY56,IF(AND($Z$9=1,$Z$21=2),AZ56,IF(AND($Z$9=1,$Z$21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74">
        <v>111329</v>
      </c>
      <c r="BW56" s="50">
        <f>IF(AND($Z$9=2,$Z$21=1),BC56,IF(AND($Z$9=2,$Z$21=4),BD56,IF(AND($Z$9=2,$Z$21=5),BE56,IF(AND($Z$9=2,$Z$21=11),BF56,IF(AND($Z$9=2,$Z$21=7),BG56,IF(AND($Z$9=2,$Z$21=3),BH56,IF(AND($Z$9=2,$Z$21=6),BI56,IF(AND($Z$9=2,$Z$21=9),BJ56,IF(AND($Z$9=2,$Z$21=2),BK56,IF(AND($Z$9=2,$Z$21=8),BL56,IF(AND($Z$9=1,$Z$21=1),BM56,IF(AND($Z$9=1,$Z$21=1),BM56,IF(AND($Z$9=1,$Z$21=4),BN56,IF(AND($Z$9=1,$Z$21=5),BO56,IF(AND($Z$9=1,$Z$21=11),BP56,IF(AND($Z$9=1,$Z$21=7),BQ56,IF(AND($Z$9=1,$Z$21=3),BR56,IF(AND($Z$9=1,$Z$21=6),BS56,IF(AND($Z$9=1,$Z$21=9),BT56,IF(AND($Z$9=1,$Z$21=2),BU56,IF(AND($Z$9=1,$Z$21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74">
        <v>111349</v>
      </c>
      <c r="CR56" s="50">
        <f>IF(AND($Z$9=2,$Z$21=1),BX56,IF(AND($Z$9=2,$Z$21=4),BY56,IF(AND($Z$9=2,$Z$21=5),BZ56,IF(AND($Z$9=2,$Z$21=11),CA56,IF(AND($Z$9=2,$Z$21=7),CB56,IF(AND($Z$9=2,$Z$21=3),CC56,IF(AND($Z$9=2,$Z$21=6),CD56,IF(AND($Z$9=2,$Z$21=9),CE56,IF(AND($Z$9=2,$Z$21=2),CF56,IF(AND($Z$9=2,$Z$21=8),CG56,IF(AND($Z$9=1,$Z$21=1),CH56,IF(AND($Z$9=1,$Z$21=1),CH56,IF(AND($Z$9=1,$Z$21=4),CI56,IF(AND($Z$9=1,$Z$21=5),CJ56,IF(AND($Z$9=1,$Z$21=11),CK56,IF(AND($Z$9=1,$Z$21=7),CL56,IF(AND($Z$9=1,$Z$21=3),CM56,IF(AND($Z$9=1,$Z$21=6),CN56,IF(AND($Z$9=1,$Z$21=9),CO56,IF(AND($Z$9=1,$Z$21=2),CP56,IF(AND($Z$9=1,$Z$21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74">
        <v>111369</v>
      </c>
      <c r="DM56" s="50">
        <f>IF(AND($Z$9=2,$Z$21=1),BX56,IF(AND($Z$9=2,$Z$21=4),BY56,IF(AND($Z$9=2,$Z$21=5),BZ56,IF(AND($Z$9=2,$Z$21=11),CA56,IF(AND($Z$9=2,$Z$21=7),CB56,IF(AND($Z$9=2,$Z$21=3),CC56,IF(AND($Z$9=2,$Z$21=6),CD56,IF(AND($Z$9=2,$Z$21=9),CE56,IF(AND($Z$9=2,$Z$21=2),CF56,IF(AND($Z$9=2,$Z$21=8),CG56,IF(AND($Z$9=1,$Z$21=1),DC56,IF(AND($Z$9=1,$Z$21=1),DC56,IF(AND($Z$9=1,$Z$21=4),DD56,IF(AND($Z$9=1,$Z$21=5),DE56,IF(AND($Z$9=1,$Z$21=11),DF56,IF(AND($Z$9=1,$Z$21=7),DG56,IF(AND($Z$9=1,$Z$21=3),DH56,IF(AND($Z$9=1,$Z$21=6),DI56,IF(AND($Z$9=1,$Z$21=9),DJ56,IF(AND($Z$9=1,$Z$21=2),DK56,IF(AND($Z$9=1,$Z$21=8),DL56,0)))))))))))))))))))))</f>
        <v>0</v>
      </c>
      <c r="DX56" s="44">
        <v>111380</v>
      </c>
      <c r="DY56" s="44">
        <v>111381</v>
      </c>
      <c r="DZ56" s="44">
        <v>111382</v>
      </c>
      <c r="EA56" s="44">
        <v>111383</v>
      </c>
      <c r="EB56" s="44">
        <v>111384</v>
      </c>
      <c r="EC56" s="44">
        <v>111385</v>
      </c>
      <c r="ED56" s="44">
        <v>111386</v>
      </c>
      <c r="EE56" s="44">
        <v>111387</v>
      </c>
      <c r="EF56" s="44">
        <v>111388</v>
      </c>
      <c r="EG56" s="174">
        <v>111389</v>
      </c>
      <c r="EH56" s="50">
        <f>IF(AND($Z$9=2,$Z$21=1),CS56,IF(AND($Z$9=2,$Z$21=4),CT56,IF(AND($Z$9=2,$Z$21=5),CU56,IF(AND($Z$9=2,$Z$21=11),CV56,IF(AND($Z$9=2,$Z$21=7),CW56,IF(AND($Z$9=2,$Z$21=3),CX56,IF(AND($Z$9=2,$Z$21=6),CY56,IF(AND($Z$9=2,$Z$21=9),CZ56,IF(AND($Z$9=2,$Z$21=2),DA56,IF(AND($Z$9=2,$Z$21=8),DB56,IF(AND($Z$9=1,$Z$21=1),DX56,IF(AND($Z$9=1,$Z$21=1),DX56,IF(AND($Z$9=1,$Z$21=4),DY56,IF(AND($Z$9=1,$Z$21=5),DZ56,IF(AND($Z$9=1,$Z$21=11),EA56,IF(AND($Z$9=1,$Z$21=7),EB56,IF(AND($Z$9=1,$Z$21=3),EC56,IF(AND($Z$9=1,$Z$21=6),ED56,IF(AND($Z$9=1,$Z$21=9),EE56,IF(AND($Z$9=1,$Z$21=2),EF56,IF(AND($Z$9=1,$Z$21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74">
        <v>111409</v>
      </c>
      <c r="FC56" s="50">
        <f>IF(AND($Z$9=2,$Z$21=1),EI56,IF(AND($Z$9=2,$Z$21=4),EJ56,IF(AND($Z$9=2,$Z$21=5),EK56,IF(AND($Z$9=2,$Z$21=11),EL56,IF(AND($Z$9=2,$Z$21=7),EM56,IF(AND($Z$9=2,$Z$21=3),EN56,IF(AND($Z$9=2,$Z$21=6),EO56,IF(AND($Z$9=2,$Z$21=9),EP56,IF(AND($Z$9=2,$Z$21=2),EQ56,IF(AND($Z$9=2,$Z$21=8),ER56,IF(AND($Z$9=1,$Z$21=1),ES56,IF(AND($Z$9=1,$Z$21=1),ES56,IF(AND($Z$9=1,$Z$21=4),ET56,IF(AND($Z$9=1,$Z$21=5),EU56,IF(AND($Z$9=1,$Z$21=11),EV56,IF(AND($Z$9=1,$Z$21=7),EW56,IF(AND($Z$9=1,$Z$21=3),EX56,IF(AND($Z$9=1,$Z$21=6),EY56,IF(AND($Z$9=1,$Z$21=9),EZ56,IF(AND($Z$9=1,$Z$21=2),FA56,IF(AND($Z$9=1,$Z$21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74">
        <v>111429</v>
      </c>
      <c r="FX56" s="50">
        <f>IF(AND($Z$9=2,$Z$21=1),FD56,IF(AND($Z$9=2,$Z$21=4),FE56,IF(AND($Z$9=2,$Z$21=5),FF56,IF(AND($Z$9=2,$Z$21=11),FG56,IF(AND($Z$9=2,$Z$21=7),FH56,IF(AND($Z$9=2,$Z$21=3),FI56,IF(AND($Z$9=2,$Z$21=6),FJ56,IF(AND($Z$9=2,$Z$21=9),FK56,IF(AND($Z$9=2,$Z$21=2),FL56,IF(AND($Z$9=2,$Z$21=8),FM56,IF(AND($Z$9=1,$Z$21=1),FN56,IF(AND($Z$9=1,$Z$21=1),FN56,IF(AND($Z$9=1,$Z$21=4),FO56,IF(AND($Z$9=1,$Z$21=5),FP56,IF(AND($Z$9=1,$Z$21=11),FQ56,IF(AND($Z$9=1,$Z$21=7),FR56,IF(AND($Z$9=1,$Z$21=3),FS56,IF(AND($Z$9=1,$Z$21=6),FT56,IF(AND($Z$9=1,$Z$21=9),FU56,IF(AND($Z$9=1,$Z$21=2),FV56,IF(AND($Z$9=1,$Z$21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74">
        <v>111449</v>
      </c>
      <c r="GS56" s="50">
        <f>IF(AND($Z$9=2,$Z$21=1),FY56,IF(AND($Z$9=2,$Z$21=4),FZ56,IF(AND($Z$9=2,$Z$21=5),GA56,IF(AND($Z$9=2,$Z$21=11),GB56,IF(AND($Z$9=2,$Z$21=7),GC56,IF(AND($Z$9=2,$Z$21=3),GD56,IF(AND($Z$9=2,$Z$21=6),GE56,IF(AND($Z$9=2,$Z$21=9),GF56,IF(AND($Z$9=2,$Z$21=2),GG56,IF(AND($Z$9=2,$Z$21=8),GH56,IF(AND($Z$9=1,$Z$21=1),GI56,IF(AND($Z$9=1,$Z$21=1),GI56,IF(AND($Z$9=1,$Z$21=4),GJ56,IF(AND($Z$9=1,$Z$21=5),GK56,IF(AND($Z$9=1,$Z$21=11),GL56,IF(AND($Z$9=1,$Z$21=7),GM56,IF(AND($Z$9=1,$Z$21=3),GN56,IF(AND($Z$9=1,$Z$21=6),GO56,IF(AND($Z$9=1,$Z$21=9),GP56,IF(AND($Z$9=1,$Z$21=2),GQ56,IF(AND($Z$9=1,$Z$21=8),GR56,0)))))))))))))))))))))</f>
        <v>0</v>
      </c>
      <c r="HN56" s="50"/>
      <c r="II56" s="50"/>
      <c r="JD56" s="50"/>
      <c r="JY56" s="50"/>
      <c r="KT56" s="50"/>
      <c r="LO56" s="50"/>
      <c r="MJ56" s="50"/>
      <c r="NE56" s="50"/>
      <c r="NZ56" s="50"/>
      <c r="OU56" s="50"/>
      <c r="PP56" s="50"/>
      <c r="QK56" s="50"/>
      <c r="RF56" s="50"/>
    </row>
    <row r="57" spans="1:474" ht="32.1" customHeight="1">
      <c r="A57" s="98"/>
      <c r="B57" s="79" t="str">
        <f>VLOOKUP(878,Sprachindex!$A:$Z,Info!$O$7,FALSE)</f>
        <v>Stk.</v>
      </c>
      <c r="C57" s="78"/>
      <c r="D57" s="78">
        <v>111700</v>
      </c>
      <c r="E57" s="561" t="str">
        <f>VLOOKUP(322,Sprachindex!$A:$Z,Info!$O$7,FALSE)</f>
        <v>Einfassung für Roto-Q-Serie (stucco)</v>
      </c>
      <c r="F57" s="562"/>
      <c r="G57" s="562"/>
      <c r="H57" s="562"/>
      <c r="I57" s="84" t="str">
        <f>VLOOKUP(591,Sprachindex!$A:$Z,Info!$O$7,FALSE)</f>
        <v>Maße:</v>
      </c>
      <c r="J57" s="572"/>
      <c r="K57" s="574"/>
      <c r="L57" s="79" t="str">
        <f>IF($A57=0,"",IF($J57=Formeln!$A$52," ",IF($Z$11=1,AD57,AE57)))</f>
        <v/>
      </c>
      <c r="M57" s="433" t="str">
        <f t="shared" si="0"/>
        <v>Stk.</v>
      </c>
      <c r="N57" s="80"/>
      <c r="O57" s="202" t="str">
        <f>IF(ISNUMBER(L57),IF(OR(J57=Formeln!C53,J57=Formeln!C54,J57=Formeln!C55,J57=Formeln!C83,J57=Formeln!C84,J57=Formeln!C85),R57,IF(OR(J57=Formeln!C56,J57=Formeln!C57,J57=Formeln!C58,J57=Formeln!C86,J57=Formeln!C87,J57=Formeln!C88),S57,IF(OR(J57=Formeln!C59,J57=Formeln!C60,J57=Formeln!C61,J57=Formeln!C62,J57=Formeln!C63,J57=Formeln!C89,J57=Formeln!C90,J57=Formeln!C91,J57=Formeln!C92,J57=Formeln!C93),T57,IF(OR(J57=Formeln!C64,J57=Formeln!C65,J57=Formeln!C66,J57=Formeln!C67,J57=Formeln!C68,J57=Formeln!C69,J57=Formeln!C94,J57=Formeln!C95,J57=Formeln!C96,J57=Formeln!C97,J57=Formeln!C98,J57=Formeln!C99),U57,IF(OR(J57=Formeln!C70,J57=Formeln!C71,J57=Formeln!C72,J57=Formeln!C73,J57=Formeln!C74,J57=Formeln!C75,J57=Formeln!C100,J57=Formeln!C101,J57=Formeln!C102,J57=Formeln!C103,J57=Formeln!C104,J57=Formeln!C105),V57,IF(OR(J57=Formeln!C76,J57=Formeln!C77,J57=Formeln!C78,J57=Formeln!C79,J57=Formeln!C80,J57=Formeln!C106,J57=Formeln!C107,J57=Formeln!C108,J57=Formeln!C109,J57=Formeln!C110),W57,0)))))), "")</f>
        <v/>
      </c>
      <c r="P57" s="5"/>
      <c r="Q57" s="5"/>
      <c r="R57" s="200">
        <v>291.25</v>
      </c>
      <c r="S57" s="200">
        <v>298.98</v>
      </c>
      <c r="T57" s="200">
        <v>298.98</v>
      </c>
      <c r="U57" s="200">
        <v>360.78</v>
      </c>
      <c r="V57" s="200">
        <v>368.64</v>
      </c>
      <c r="W57" s="200">
        <v>371.17</v>
      </c>
      <c r="X57" s="195"/>
      <c r="Y57" s="195"/>
      <c r="Z57" s="195"/>
      <c r="AA57" s="195"/>
      <c r="AC57" s="1"/>
      <c r="AD57" s="149">
        <f t="shared" si="8"/>
        <v>0</v>
      </c>
      <c r="AE57" s="149">
        <f t="shared" si="8"/>
        <v>0</v>
      </c>
      <c r="AH57" s="44"/>
      <c r="AI57" s="44"/>
      <c r="AJ57" s="44"/>
      <c r="AK57" s="44"/>
      <c r="AL57" s="44"/>
      <c r="AM57" s="44"/>
      <c r="AN57" s="44"/>
      <c r="AO57" s="44"/>
      <c r="AP57" s="44"/>
      <c r="AR57" s="127"/>
      <c r="AS57" s="127"/>
      <c r="AT57" s="127"/>
      <c r="AU57" s="127"/>
      <c r="AV57" s="127"/>
      <c r="AW57" s="127"/>
      <c r="AX57" s="127"/>
      <c r="AY57" s="127"/>
      <c r="AZ57" s="127"/>
      <c r="BA57" s="176"/>
      <c r="BB57" s="50">
        <f>IF(AND($Z$9=2,$Z$21=1),AH57,IF(AND($Z$9=2,$Z$21=4),AI57,IF(AND($Z$9=2,$Z$21=5),AJ57,IF(AND($Z$9=2,$Z$21=11),AK57,IF(AND($Z$9=2,$Z$21=7),AL57,IF(AND($Z$9=2,$Z$21=3),AM57,IF(AND($Z$9=2,$Z$21=6),AN57,IF(AND($Z$9=2,$Z$21=9),AO57,IF(AND($Z$9=2,$Z$21=2),AP57,IF(AND($Z$9=2,$Z$21=8),AQ57,IF(AND($Z$9=1,$Z$21=1),AR57,IF(AND($Z$9=1,$Z$21=1),AR57,IF(AND($Z$9=1,$Z$21=4),AS57,IF(AND($Z$9=1,$Z$21=5),AT57,IF(AND($Z$9=1,$Z$21=11),AU57,IF(AND($Z$9=1,$Z$21=7),AV57,IF(AND($Z$9=1,$Z$21=3),AW57,IF(AND($Z$9=1,$Z$21=6),AX57,IF(AND($Z$9=1,$Z$21=9),AY57,IF(AND($Z$9=1,$Z$21=2),AZ57,0))))))))))))))))))))</f>
        <v>0</v>
      </c>
      <c r="BC57" s="44"/>
      <c r="BD57" s="44"/>
      <c r="BE57" s="44"/>
      <c r="BF57" s="44"/>
      <c r="BG57" s="44"/>
      <c r="BH57" s="44"/>
      <c r="BI57" s="44"/>
      <c r="BJ57" s="44"/>
      <c r="BK57" s="44"/>
      <c r="BM57" s="127"/>
      <c r="BN57" s="127"/>
      <c r="BO57" s="127"/>
      <c r="BP57" s="127"/>
      <c r="BQ57" s="127"/>
      <c r="BR57" s="127"/>
      <c r="BS57" s="127"/>
      <c r="BT57" s="127"/>
      <c r="BU57" s="127"/>
      <c r="BV57" s="176"/>
      <c r="BW57" s="50">
        <f>IF(AND($Z$9=2,$Z$21=1),BC57,IF(AND($Z$9=2,$Z$21=4),BD57,IF(AND($Z$9=2,$Z$21=5),BE57,IF(AND($Z$9=2,$Z$21=11),BF57,IF(AND($Z$9=2,$Z$21=7),BG57,IF(AND($Z$9=2,$Z$21=3),BH57,IF(AND($Z$9=2,$Z$21=6),BI57,IF(AND($Z$9=2,$Z$21=9),BJ57,IF(AND($Z$9=2,$Z$21=2),BK57,IF(AND($Z$9=2,$Z$21=8),BL57,IF(AND($Z$9=1,$Z$21=1),BM57,IF(AND($Z$9=1,$Z$21=1),BM57,IF(AND($Z$9=1,$Z$21=4),BN57,IF(AND($Z$9=1,$Z$21=5),BO57,IF(AND($Z$9=1,$Z$21=11),BP57,IF(AND($Z$9=1,$Z$21=7),BQ57,IF(AND($Z$9=1,$Z$21=3),BR57,IF(AND($Z$9=1,$Z$21=6),BS57,IF(AND($Z$9=1,$Z$21=9),BT57,IF(AND($Z$9=1,$Z$21=2),BU57,0))))))))))))))))))))</f>
        <v>0</v>
      </c>
      <c r="BX57" s="44"/>
      <c r="BY57" s="44"/>
      <c r="BZ57" s="44"/>
      <c r="CA57" s="44"/>
      <c r="CB57" s="44"/>
      <c r="CC57" s="44"/>
      <c r="CD57" s="44"/>
      <c r="CE57" s="44"/>
      <c r="CF57" s="44"/>
      <c r="CH57" s="127"/>
      <c r="CI57" s="127"/>
      <c r="CJ57" s="127"/>
      <c r="CK57" s="127"/>
      <c r="CL57" s="127"/>
      <c r="CM57" s="127"/>
      <c r="CN57" s="127"/>
      <c r="CO57" s="127"/>
      <c r="CP57" s="127"/>
      <c r="CQ57" s="176"/>
      <c r="CR57" s="50">
        <f>IF(AND($Z$9=2,$Z$21=1),BX57,IF(AND($Z$9=2,$Z$21=4),BY57,IF(AND($Z$9=2,$Z$21=5),BZ57,IF(AND($Z$9=2,$Z$21=11),CA57,IF(AND($Z$9=2,$Z$21=7),CB57,IF(AND($Z$9=2,$Z$21=3),CC57,IF(AND($Z$9=2,$Z$21=6),CD57,IF(AND($Z$9=2,$Z$21=9),CE57,IF(AND($Z$9=2,$Z$21=2),CF57,IF(AND($Z$9=2,$Z$21=8),CG57,IF(AND($Z$9=1,$Z$21=1),CH57,IF(AND($Z$9=1,$Z$21=1),CH57,IF(AND($Z$9=1,$Z$21=4),CI57,IF(AND($Z$9=1,$Z$21=5),CJ57,IF(AND($Z$9=1,$Z$21=11),CK57,IF(AND($Z$9=1,$Z$21=7),CL57,IF(AND($Z$9=1,$Z$21=3),CM57,IF(AND($Z$9=1,$Z$21=6),CN57,IF(AND($Z$9=1,$Z$21=9),CO57,IF(AND($Z$9=1,$Z$21=2),CP57,0))))))))))))))))))))</f>
        <v>0</v>
      </c>
      <c r="CS57" s="44"/>
      <c r="CT57" s="44"/>
      <c r="CU57" s="44"/>
      <c r="CV57" s="44"/>
      <c r="CW57" s="44"/>
      <c r="CX57" s="44"/>
      <c r="CY57" s="44"/>
      <c r="CZ57" s="44"/>
      <c r="DA57" s="44"/>
      <c r="DC57" s="127"/>
      <c r="DD57" s="127"/>
      <c r="DE57" s="127"/>
      <c r="DF57" s="127"/>
      <c r="DG57" s="127"/>
      <c r="DH57" s="127"/>
      <c r="DI57" s="127"/>
      <c r="DJ57" s="127"/>
      <c r="DK57" s="127"/>
      <c r="DL57" s="176"/>
      <c r="DM57" s="50">
        <f>IF(AND($Z$9=2,$Z$21=1),BX57,IF(AND($Z$9=2,$Z$21=4),BY57,IF(AND($Z$9=2,$Z$21=5),BZ57,IF(AND($Z$9=2,$Z$21=11),CA57,IF(AND($Z$9=2,$Z$21=7),CB57,IF(AND($Z$9=2,$Z$21=3),CC57,IF(AND($Z$9=2,$Z$21=6),CD57,IF(AND($Z$9=2,$Z$21=9),CE57,IF(AND($Z$9=2,$Z$21=2),CF57,IF(AND($Z$9=2,$Z$21=8),CG57,IF(AND($Z$9=1,$Z$21=1),DC57,IF(AND($Z$9=1,$Z$21=1),DC57,IF(AND($Z$9=1,$Z$21=4),DD57,IF(AND($Z$9=1,$Z$21=5),DE57,IF(AND($Z$9=1,$Z$21=11),DF57,IF(AND($Z$9=1,$Z$21=7),DG57,IF(AND($Z$9=1,$Z$21=3),DH57,IF(AND($Z$9=1,$Z$21=6),DI57,IF(AND($Z$9=1,$Z$21=9),DJ57,IF(AND($Z$9=1,$Z$21=2),DK57,0))))))))))))))))))))</f>
        <v>0</v>
      </c>
      <c r="DX57" s="127"/>
      <c r="DY57" s="127"/>
      <c r="DZ57" s="127"/>
      <c r="EA57" s="127"/>
      <c r="EB57" s="127"/>
      <c r="EC57" s="127"/>
      <c r="ED57" s="127"/>
      <c r="EE57" s="127"/>
      <c r="EF57" s="127"/>
      <c r="EG57" s="176"/>
      <c r="EH57" s="50">
        <f>IF(AND($Z$9=2,$Z$21=1),CS57,IF(AND($Z$9=2,$Z$21=4),CT57,IF(AND($Z$9=2,$Z$21=5),CU57,IF(AND($Z$9=2,$Z$21=11),CV57,IF(AND($Z$9=2,$Z$21=7),CW57,IF(AND($Z$9=2,$Z$21=3),CX57,IF(AND($Z$9=2,$Z$21=6),CY57,IF(AND($Z$9=2,$Z$21=9),CZ57,IF(AND($Z$9=2,$Z$21=2),DA57,IF(AND($Z$9=2,$Z$21=8),DB57,IF(AND($Z$9=1,$Z$21=1),DX57,IF(AND($Z$9=1,$Z$21=1),DX57,IF(AND($Z$9=1,$Z$21=4),DY57,IF(AND($Z$9=1,$Z$21=5),DZ57,IF(AND($Z$9=1,$Z$21=11),EA57,IF(AND($Z$9=1,$Z$21=7),EB57,IF(AND($Z$9=1,$Z$21=3),EC57,IF(AND($Z$9=1,$Z$21=6),ED57,IF(AND($Z$9=1,$Z$21=9),EE57,IF(AND($Z$9=1,$Z$21=2),EF57,0))))))))))))))))))))</f>
        <v>0</v>
      </c>
      <c r="EI57" s="44"/>
      <c r="EJ57" s="44"/>
      <c r="EK57" s="44"/>
      <c r="EL57" s="44"/>
      <c r="EM57" s="44"/>
      <c r="EN57" s="44"/>
      <c r="EO57" s="44"/>
      <c r="EP57" s="44"/>
      <c r="EQ57" s="44"/>
      <c r="ES57" s="127"/>
      <c r="ET57" s="127"/>
      <c r="EU57" s="127"/>
      <c r="EV57" s="127"/>
      <c r="EW57" s="127"/>
      <c r="EX57" s="127"/>
      <c r="EY57" s="127"/>
      <c r="EZ57" s="127"/>
      <c r="FA57" s="127"/>
      <c r="FB57" s="176"/>
      <c r="FC57" s="50">
        <f>IF(AND($Z$9=2,$Z$21=1),EI57,IF(AND($Z$9=2,$Z$21=4),EJ57,IF(AND($Z$9=2,$Z$21=5),EK57,IF(AND($Z$9=2,$Z$21=11),EL57,IF(AND($Z$9=2,$Z$21=7),EM57,IF(AND($Z$9=2,$Z$21=3),EN57,IF(AND($Z$9=2,$Z$21=6),EO57,IF(AND($Z$9=2,$Z$21=9),EP57,IF(AND($Z$9=2,$Z$21=2),EQ57,IF(AND($Z$9=2,$Z$21=8),ER57,IF(AND($Z$9=1,$Z$21=1),ES57,IF(AND($Z$9=1,$Z$21=1),ES57,IF(AND($Z$9=1,$Z$21=4),ET57,IF(AND($Z$9=1,$Z$21=5),EU57,IF(AND($Z$9=1,$Z$21=11),EV57,IF(AND($Z$9=1,$Z$21=7),EW57,IF(AND($Z$9=1,$Z$21=3),EX57,IF(AND($Z$9=1,$Z$21=6),EY57,IF(AND($Z$9=1,$Z$21=9),EZ57,IF(AND($Z$9=1,$Z$21=2),FA57,0))))))))))))))))))))</f>
        <v>0</v>
      </c>
      <c r="HK57" s="126"/>
      <c r="IF57" s="126"/>
      <c r="JA57" s="126"/>
      <c r="JV57" s="126"/>
      <c r="KQ57" s="126"/>
      <c r="LL57" s="126"/>
      <c r="MG57" s="126"/>
      <c r="NB57" s="126"/>
      <c r="NW57" s="126"/>
      <c r="OR57" s="126"/>
      <c r="PM57" s="126"/>
      <c r="QH57" s="126"/>
      <c r="RC57" s="126"/>
    </row>
    <row r="58" spans="1:474" ht="32.1" customHeight="1">
      <c r="A58" s="98"/>
      <c r="B58" s="79" t="str">
        <f>VLOOKUP(878,Sprachindex!$A:$Z,Info!$O$7,FALSE)</f>
        <v>Stk.</v>
      </c>
      <c r="C58" s="78"/>
      <c r="D58" s="78">
        <f t="shared" ref="D58:D64" si="9">IF($Z$21=1,AH58,IF($Z$21=4,AI58,IF($Z$21=5,AJ58,IF($Z$21=11,AK58,IF($Z$21=7,AL58,IF($Z$21=3,AM58,IF($Z$21=6,AN58,IF($Z$21=9,AO58,IF($Z$21=2,AP58,IF($Z$21=8,AQ58,0))))))))))</f>
        <v>0</v>
      </c>
      <c r="E58" s="561" t="str">
        <f>VLOOKUP(345,Sprachindex!$A:$Z,Info!$O$7,FALSE)</f>
        <v>Einzeltritt (inkl. zwei Fußteile)</v>
      </c>
      <c r="F58" s="562"/>
      <c r="G58" s="562"/>
      <c r="H58" s="562"/>
      <c r="I58" s="562"/>
      <c r="J58" s="562"/>
      <c r="K58" s="563"/>
      <c r="L58" s="79" t="str">
        <f t="shared" ref="L58:L97" si="10">IF(A58=0,"",IF($Z$11=1,AD58,AE58))</f>
        <v/>
      </c>
      <c r="M58" s="433" t="str">
        <f t="shared" si="0"/>
        <v>Stk.</v>
      </c>
      <c r="N58" s="80"/>
      <c r="O58" s="202" t="str">
        <f t="shared" ref="O58:O69" si="11">IF(ISNUMBER(A58),$L58*R58, "")</f>
        <v/>
      </c>
      <c r="P58" s="5"/>
      <c r="Q58" s="5"/>
      <c r="R58" s="200">
        <v>70.75</v>
      </c>
      <c r="S58" s="200"/>
      <c r="T58" s="5"/>
      <c r="U58" s="5"/>
      <c r="V58" s="5"/>
      <c r="W58" s="5"/>
      <c r="X58" s="5"/>
      <c r="Y58" s="5"/>
      <c r="AC58" s="1"/>
      <c r="AD58" s="149">
        <f t="shared" si="8"/>
        <v>0</v>
      </c>
      <c r="AE58" s="149">
        <f t="shared" si="8"/>
        <v>0</v>
      </c>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98"/>
      <c r="B59" s="79" t="str">
        <f>VLOOKUP(878,Sprachindex!$A:$Z,Info!$O$7,FALSE)</f>
        <v>Stk.</v>
      </c>
      <c r="C59" s="78"/>
      <c r="D59" s="78">
        <f>IF($Z$21=1,AH59,IF($Z$21=4,AI59,IF($Z$21=5,AJ59,IF($Z$21=11,AK59,IF($Z$21=7,AL59,IF($Z$21=3,AM59,IF($Z$21=6,AN59,IF($Z$21=9,AO59,IF($Z$21=2,AP59,IF($Z$21=8,AQ59,0))))))))))</f>
        <v>0</v>
      </c>
      <c r="E59" s="561" t="str">
        <f>VLOOKUP(567,Sprachindex!$A:$Z,Info!$O$7,FALSE)</f>
        <v>Laufstegstütze auf einem Fußteil</v>
      </c>
      <c r="F59" s="562"/>
      <c r="G59" s="562"/>
      <c r="H59" s="562"/>
      <c r="I59" s="562"/>
      <c r="J59" s="562"/>
      <c r="K59" s="563"/>
      <c r="L59" s="79" t="str">
        <f t="shared" si="10"/>
        <v/>
      </c>
      <c r="M59" s="433" t="str">
        <f t="shared" si="0"/>
        <v>Stk.</v>
      </c>
      <c r="N59" s="80"/>
      <c r="O59" s="202" t="str">
        <f t="shared" si="11"/>
        <v/>
      </c>
      <c r="P59" s="5"/>
      <c r="Q59" s="5"/>
      <c r="R59" s="200">
        <v>52.32</v>
      </c>
      <c r="S59" s="195"/>
      <c r="T59" s="5"/>
      <c r="U59" s="5"/>
      <c r="V59" s="5"/>
      <c r="W59" s="5"/>
      <c r="X59" s="5"/>
      <c r="Y59" s="5"/>
      <c r="AC59" s="1"/>
      <c r="AD59" s="149">
        <f t="shared" si="8"/>
        <v>0</v>
      </c>
      <c r="AE59" s="149">
        <f t="shared" si="8"/>
        <v>0</v>
      </c>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98"/>
      <c r="B60" s="79" t="str">
        <f>VLOOKUP(878,Sprachindex!$A:$Z,Info!$O$7,FALSE)</f>
        <v>Stk.</v>
      </c>
      <c r="C60" s="78"/>
      <c r="D60" s="78">
        <v>649304</v>
      </c>
      <c r="E60" s="561" t="str">
        <f>VLOOKUP(568,Sprachindex!$A:$Z,Info!$O$7,FALSE)</f>
        <v>Laufstegstütze auf zwei Fußteilen</v>
      </c>
      <c r="F60" s="562"/>
      <c r="G60" s="562"/>
      <c r="H60" s="562"/>
      <c r="I60" s="562"/>
      <c r="J60" s="562"/>
      <c r="K60" s="563"/>
      <c r="L60" s="79" t="str">
        <f t="shared" si="10"/>
        <v/>
      </c>
      <c r="M60" s="433" t="str">
        <f t="shared" si="0"/>
        <v>Stk.</v>
      </c>
      <c r="N60" s="80"/>
      <c r="O60" s="202" t="str">
        <f t="shared" si="11"/>
        <v/>
      </c>
      <c r="P60" s="5"/>
      <c r="Q60" s="5"/>
      <c r="R60" s="200">
        <v>74.13</v>
      </c>
      <c r="S60" s="195"/>
      <c r="T60" s="5"/>
      <c r="U60" s="5"/>
      <c r="V60" s="5"/>
      <c r="W60" s="5"/>
      <c r="X60" s="5"/>
      <c r="Y60" s="5"/>
      <c r="AC60" s="1"/>
      <c r="AD60" s="149">
        <f t="shared" si="8"/>
        <v>0</v>
      </c>
      <c r="AE60" s="149">
        <f t="shared" si="8"/>
        <v>0</v>
      </c>
      <c r="AH60" s="44"/>
      <c r="AI60" s="44"/>
      <c r="AJ60" s="44"/>
      <c r="AK60" s="44"/>
      <c r="AL60" s="44"/>
      <c r="AM60" s="44"/>
      <c r="AN60" s="44"/>
      <c r="AO60" s="44"/>
      <c r="AP60" s="44"/>
      <c r="AQ60" s="44"/>
    </row>
    <row r="61" spans="1:474" ht="32.1" customHeight="1">
      <c r="A61" s="98"/>
      <c r="B61" s="79" t="str">
        <f>VLOOKUP(878,Sprachindex!$A:$Z,Info!$O$7,FALSE)</f>
        <v>Stk.</v>
      </c>
      <c r="C61" s="78"/>
      <c r="D61" s="78">
        <f t="shared" si="9"/>
        <v>0</v>
      </c>
      <c r="E61" s="561" t="str">
        <f>VLOOKUP(560,Sprachindex!$A:$Z,Info!$O$7,FALSE)</f>
        <v>Laufsteg (250 × 1.200 mm)</v>
      </c>
      <c r="F61" s="562"/>
      <c r="G61" s="562"/>
      <c r="H61" s="562"/>
      <c r="I61" s="562"/>
      <c r="J61" s="562"/>
      <c r="K61" s="563"/>
      <c r="L61" s="79" t="str">
        <f t="shared" si="10"/>
        <v/>
      </c>
      <c r="M61" s="433" t="str">
        <f t="shared" si="0"/>
        <v>Stk.</v>
      </c>
      <c r="N61" s="80"/>
      <c r="O61" s="202" t="str">
        <f t="shared" si="11"/>
        <v/>
      </c>
      <c r="P61" s="5"/>
      <c r="Q61" s="5"/>
      <c r="R61" s="200">
        <v>74.430000000000007</v>
      </c>
      <c r="S61" s="195"/>
      <c r="T61" s="5"/>
      <c r="U61" s="5"/>
      <c r="V61" s="5"/>
      <c r="W61" s="5"/>
      <c r="X61" s="5"/>
      <c r="Y61" s="5"/>
      <c r="AC61" s="1"/>
      <c r="AD61" s="149">
        <f t="shared" si="8"/>
        <v>0</v>
      </c>
      <c r="AE61" s="149">
        <f t="shared" si="8"/>
        <v>0</v>
      </c>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98"/>
      <c r="B62" s="79" t="str">
        <f>VLOOKUP(878,Sprachindex!$A:$Z,Info!$O$7,FALSE)</f>
        <v>Stk.</v>
      </c>
      <c r="C62" s="78"/>
      <c r="D62" s="78">
        <f t="shared" si="9"/>
        <v>0</v>
      </c>
      <c r="E62" s="561" t="str">
        <f>VLOOKUP(563,Sprachindex!$A:$Z,Info!$O$7,FALSE)</f>
        <v>Laufsteg (250 × 800 mm)</v>
      </c>
      <c r="F62" s="562"/>
      <c r="G62" s="562"/>
      <c r="H62" s="562"/>
      <c r="I62" s="562"/>
      <c r="J62" s="562"/>
      <c r="K62" s="563"/>
      <c r="L62" s="79" t="str">
        <f t="shared" si="10"/>
        <v/>
      </c>
      <c r="M62" s="433" t="str">
        <f t="shared" si="0"/>
        <v>Stk.</v>
      </c>
      <c r="N62" s="80"/>
      <c r="O62" s="202" t="str">
        <f t="shared" si="11"/>
        <v/>
      </c>
      <c r="P62" s="5"/>
      <c r="Q62" s="5"/>
      <c r="R62" s="200">
        <v>54.95</v>
      </c>
      <c r="S62" s="195"/>
      <c r="T62" s="5"/>
      <c r="U62" s="5"/>
      <c r="V62" s="5"/>
      <c r="W62" s="5"/>
      <c r="X62" s="5"/>
      <c r="Y62" s="5"/>
      <c r="AC62" s="1"/>
      <c r="AD62" s="149">
        <f t="shared" si="8"/>
        <v>0</v>
      </c>
      <c r="AE62" s="149">
        <f t="shared" si="8"/>
        <v>0</v>
      </c>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98"/>
      <c r="B63" s="79" t="str">
        <f>VLOOKUP(878,Sprachindex!$A:$Z,Info!$O$7,FALSE)</f>
        <v>Stk.</v>
      </c>
      <c r="C63" s="78"/>
      <c r="D63" s="78">
        <f t="shared" si="9"/>
        <v>0</v>
      </c>
      <c r="E63" s="561" t="str">
        <f>VLOOKUP(562,Sprachindex!$A:$Z,Info!$O$7,FALSE)</f>
        <v>Laufsteg (250 × 600 mm)</v>
      </c>
      <c r="F63" s="562"/>
      <c r="G63" s="562"/>
      <c r="H63" s="562"/>
      <c r="I63" s="562"/>
      <c r="J63" s="562"/>
      <c r="K63" s="563"/>
      <c r="L63" s="79" t="str">
        <f t="shared" si="10"/>
        <v/>
      </c>
      <c r="M63" s="433" t="str">
        <f t="shared" si="0"/>
        <v>Stk.</v>
      </c>
      <c r="N63" s="80"/>
      <c r="O63" s="202" t="str">
        <f t="shared" si="11"/>
        <v/>
      </c>
      <c r="P63" s="5"/>
      <c r="Q63" s="5"/>
      <c r="R63" s="200">
        <v>52.52</v>
      </c>
      <c r="S63" s="195"/>
      <c r="T63" s="5"/>
      <c r="U63" s="5"/>
      <c r="V63" s="5"/>
      <c r="W63" s="5"/>
      <c r="X63" s="5"/>
      <c r="Y63" s="5"/>
      <c r="AC63" s="1"/>
      <c r="AD63" s="149">
        <f t="shared" si="8"/>
        <v>0</v>
      </c>
      <c r="AE63" s="149">
        <f t="shared" si="8"/>
        <v>0</v>
      </c>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98"/>
      <c r="B64" s="79" t="str">
        <f>VLOOKUP(878,Sprachindex!$A:$Z,Info!$O$7,FALSE)</f>
        <v>Stk.</v>
      </c>
      <c r="C64" s="78"/>
      <c r="D64" s="78">
        <f t="shared" si="9"/>
        <v>0</v>
      </c>
      <c r="E64" s="561" t="str">
        <f>VLOOKUP(561,Sprachindex!$A:$Z,Info!$O$7,FALSE)</f>
        <v>Laufsteg (250 × 420 mm)</v>
      </c>
      <c r="F64" s="562"/>
      <c r="G64" s="562"/>
      <c r="H64" s="562"/>
      <c r="I64" s="562"/>
      <c r="J64" s="562"/>
      <c r="K64" s="563"/>
      <c r="L64" s="79" t="str">
        <f t="shared" si="10"/>
        <v/>
      </c>
      <c r="M64" s="433" t="str">
        <f t="shared" si="0"/>
        <v>Stk.</v>
      </c>
      <c r="N64" s="80"/>
      <c r="O64" s="202" t="str">
        <f t="shared" si="11"/>
        <v/>
      </c>
      <c r="P64" s="5"/>
      <c r="Q64" s="5"/>
      <c r="R64" s="200">
        <v>38.97</v>
      </c>
      <c r="S64" s="195"/>
      <c r="T64" s="5"/>
      <c r="U64" s="5"/>
      <c r="V64" s="5"/>
      <c r="W64" s="5"/>
      <c r="X64" s="5"/>
      <c r="Y64" s="5"/>
      <c r="AC64" s="1"/>
      <c r="AD64" s="149">
        <f>ROUNDUP($A64/4,0)*4</f>
        <v>0</v>
      </c>
      <c r="AE64" s="149">
        <f t="shared" ref="AE64:AE81" si="12">ROUNDUP($A64,0)</f>
        <v>0</v>
      </c>
      <c r="AH64" s="44">
        <v>120010</v>
      </c>
      <c r="AI64" s="44">
        <v>120011</v>
      </c>
      <c r="AJ64" s="44">
        <v>120012</v>
      </c>
      <c r="AK64" s="44">
        <v>120013</v>
      </c>
      <c r="AL64" s="44">
        <v>120014</v>
      </c>
      <c r="AM64" s="44">
        <v>120015</v>
      </c>
      <c r="AN64" s="44">
        <v>120016</v>
      </c>
      <c r="AO64" s="44">
        <v>120017</v>
      </c>
      <c r="AP64" s="44">
        <v>120018</v>
      </c>
      <c r="AQ64" s="44">
        <v>120019</v>
      </c>
    </row>
    <row r="65" spans="1:53" ht="32.1" customHeight="1">
      <c r="A65" s="98"/>
      <c r="B65" s="79" t="str">
        <f>VLOOKUP(878,Sprachindex!$A:$Z,Info!$O$7,FALSE)</f>
        <v>Stk.</v>
      </c>
      <c r="C65" s="78"/>
      <c r="D65" s="78">
        <v>649305</v>
      </c>
      <c r="E65" s="561" t="str">
        <f>VLOOKUP(565,Sprachindex!$A:$Z,Info!$O$7,FALSE)</f>
        <v>Laufsteg (360 × 800 mm)</v>
      </c>
      <c r="F65" s="562"/>
      <c r="G65" s="562"/>
      <c r="H65" s="562"/>
      <c r="I65" s="562"/>
      <c r="J65" s="562"/>
      <c r="K65" s="563"/>
      <c r="L65" s="79" t="str">
        <f t="shared" si="10"/>
        <v/>
      </c>
      <c r="M65" s="433" t="str">
        <f t="shared" si="0"/>
        <v>Stk.</v>
      </c>
      <c r="N65" s="80"/>
      <c r="O65" s="202" t="str">
        <f t="shared" si="11"/>
        <v/>
      </c>
      <c r="P65" s="5"/>
      <c r="Q65" s="5"/>
      <c r="R65" s="200">
        <v>80.81</v>
      </c>
      <c r="S65" s="195"/>
      <c r="T65" s="5"/>
      <c r="U65" s="5"/>
      <c r="V65" s="5"/>
      <c r="W65" s="5"/>
      <c r="X65" s="5"/>
      <c r="Y65" s="5"/>
      <c r="AC65" s="1"/>
      <c r="AD65" s="149">
        <f>ROUNDUP($A65,0)</f>
        <v>0</v>
      </c>
      <c r="AE65" s="149">
        <f t="shared" si="12"/>
        <v>0</v>
      </c>
      <c r="AH65" s="44"/>
      <c r="AI65" s="44"/>
      <c r="AJ65" s="44"/>
      <c r="AK65" s="44"/>
      <c r="AL65" s="44"/>
      <c r="AM65" s="44"/>
      <c r="AN65" s="44"/>
      <c r="AO65" s="44"/>
      <c r="AP65" s="44"/>
      <c r="AQ65" s="44"/>
    </row>
    <row r="66" spans="1:53" ht="32.1" customHeight="1">
      <c r="A66" s="98"/>
      <c r="B66" s="79" t="str">
        <f>VLOOKUP(878,Sprachindex!$A:$Z,Info!$O$7,FALSE)</f>
        <v>Stk.</v>
      </c>
      <c r="C66" s="78"/>
      <c r="D66" s="78">
        <v>649306</v>
      </c>
      <c r="E66" s="561" t="str">
        <f>VLOOKUP(564,Sprachindex!$A:$Z,Info!$O$7,FALSE)</f>
        <v>Laufsteg (360 × 1.200 mm)</v>
      </c>
      <c r="F66" s="562"/>
      <c r="G66" s="562"/>
      <c r="H66" s="562"/>
      <c r="I66" s="562"/>
      <c r="J66" s="562"/>
      <c r="K66" s="563"/>
      <c r="L66" s="79" t="str">
        <f t="shared" si="10"/>
        <v/>
      </c>
      <c r="M66" s="433" t="str">
        <f t="shared" si="0"/>
        <v>Stk.</v>
      </c>
      <c r="N66" s="80"/>
      <c r="O66" s="202" t="str">
        <f t="shared" si="11"/>
        <v/>
      </c>
      <c r="P66" s="5"/>
      <c r="Q66" s="5"/>
      <c r="R66" s="200">
        <v>119.7</v>
      </c>
      <c r="S66" s="195"/>
      <c r="T66" s="5"/>
      <c r="U66" s="5"/>
      <c r="V66" s="5"/>
      <c r="W66" s="5"/>
      <c r="X66" s="5"/>
      <c r="Y66" s="5"/>
      <c r="AC66" s="1"/>
      <c r="AD66" s="149">
        <f>ROUNDUP($A66,0)</f>
        <v>0</v>
      </c>
      <c r="AE66" s="149">
        <f t="shared" si="12"/>
        <v>0</v>
      </c>
      <c r="AH66" s="44"/>
      <c r="AI66" s="44"/>
      <c r="AJ66" s="44"/>
      <c r="AK66" s="44"/>
      <c r="AL66" s="44"/>
      <c r="AM66" s="44"/>
      <c r="AN66" s="44"/>
      <c r="AO66" s="44"/>
      <c r="AP66" s="44"/>
      <c r="AQ66" s="44"/>
    </row>
    <row r="67" spans="1:53" ht="32.1" customHeight="1">
      <c r="A67" s="98"/>
      <c r="B67" s="79" t="str">
        <f>VLOOKUP(878,Sprachindex!$A:$Z,Info!$O$7,FALSE)</f>
        <v>Stk.</v>
      </c>
      <c r="C67" s="78"/>
      <c r="D67" s="83">
        <v>649001</v>
      </c>
      <c r="E67" s="561" t="str">
        <f>VLOOKUP(955,Sprachindex!$A:$Z,Info!$O$7,FALSE)</f>
        <v>Verbinder (verzinkt; für Laufsteg; Breite: 250 mm)</v>
      </c>
      <c r="F67" s="562"/>
      <c r="G67" s="562"/>
      <c r="H67" s="562"/>
      <c r="I67" s="562"/>
      <c r="J67" s="562"/>
      <c r="K67" s="563"/>
      <c r="L67" s="79" t="str">
        <f t="shared" si="10"/>
        <v/>
      </c>
      <c r="M67" s="433" t="str">
        <f t="shared" si="0"/>
        <v>Stk.</v>
      </c>
      <c r="N67" s="80"/>
      <c r="O67" s="202" t="str">
        <f t="shared" si="11"/>
        <v/>
      </c>
      <c r="P67" s="5"/>
      <c r="Q67" s="5"/>
      <c r="R67" s="200">
        <v>24.02</v>
      </c>
      <c r="S67" s="195"/>
      <c r="T67" s="5"/>
      <c r="U67" s="5"/>
      <c r="V67" s="5"/>
      <c r="W67" s="5"/>
      <c r="X67" s="5"/>
      <c r="Y67" s="5"/>
      <c r="AC67" s="1"/>
      <c r="AD67" s="149">
        <f>ROUNDUP($A67,0)</f>
        <v>0</v>
      </c>
      <c r="AE67" s="149">
        <f t="shared" si="12"/>
        <v>0</v>
      </c>
      <c r="AH67" s="47" t="s">
        <v>33</v>
      </c>
      <c r="AI67" s="47" t="s">
        <v>34</v>
      </c>
      <c r="AJ67" s="47" t="s">
        <v>35</v>
      </c>
      <c r="AK67" s="47" t="s">
        <v>36</v>
      </c>
      <c r="AL67" s="47" t="s">
        <v>37</v>
      </c>
      <c r="AM67" s="47" t="s">
        <v>38</v>
      </c>
      <c r="AN67" s="47" t="s">
        <v>39</v>
      </c>
      <c r="AO67" s="47" t="s">
        <v>40</v>
      </c>
      <c r="AP67" s="47" t="s">
        <v>41</v>
      </c>
      <c r="AQ67" s="47" t="s">
        <v>42</v>
      </c>
      <c r="AR67" s="47" t="s">
        <v>33</v>
      </c>
      <c r="AS67" s="47" t="s">
        <v>34</v>
      </c>
      <c r="AT67" s="47" t="s">
        <v>35</v>
      </c>
      <c r="AU67" s="47" t="s">
        <v>36</v>
      </c>
      <c r="AV67" s="47" t="s">
        <v>37</v>
      </c>
      <c r="AW67" s="47" t="s">
        <v>38</v>
      </c>
      <c r="AX67" s="47" t="s">
        <v>39</v>
      </c>
      <c r="AY67" s="47" t="s">
        <v>40</v>
      </c>
      <c r="AZ67" s="47" t="s">
        <v>41</v>
      </c>
      <c r="BA67" s="47" t="s">
        <v>42</v>
      </c>
    </row>
    <row r="68" spans="1:53" ht="32.1" customHeight="1">
      <c r="A68" s="98"/>
      <c r="B68" s="79" t="str">
        <f>VLOOKUP(878,Sprachindex!$A:$Z,Info!$O$7,FALSE)</f>
        <v>Stk.</v>
      </c>
      <c r="C68" s="78"/>
      <c r="D68" s="83">
        <v>649008</v>
      </c>
      <c r="E68" s="561" t="str">
        <f>VLOOKUP(956,Sprachindex!$A:$Z,Info!$O$7,FALSE)</f>
        <v>Verbinder (verzinkt; für Laufsteg; Breite: 360 mm)</v>
      </c>
      <c r="F68" s="562"/>
      <c r="G68" s="562"/>
      <c r="H68" s="562"/>
      <c r="I68" s="562"/>
      <c r="J68" s="562"/>
      <c r="K68" s="563"/>
      <c r="L68" s="79" t="str">
        <f t="shared" si="10"/>
        <v/>
      </c>
      <c r="M68" s="433" t="str">
        <f t="shared" si="0"/>
        <v>Stk.</v>
      </c>
      <c r="N68" s="80"/>
      <c r="O68" s="202" t="str">
        <f t="shared" si="11"/>
        <v/>
      </c>
      <c r="P68" s="5"/>
      <c r="Q68" s="5"/>
      <c r="R68" s="200">
        <v>53.07</v>
      </c>
      <c r="S68" s="195"/>
      <c r="T68" s="5"/>
      <c r="U68" s="5"/>
      <c r="V68" s="5"/>
      <c r="W68" s="5"/>
      <c r="X68" s="5"/>
      <c r="Y68" s="5"/>
      <c r="AC68" s="1"/>
      <c r="AD68" s="149">
        <f>ROUNDUP($A68,0)</f>
        <v>0</v>
      </c>
      <c r="AE68" s="149">
        <f t="shared" si="12"/>
        <v>0</v>
      </c>
      <c r="AH68" s="47" t="s">
        <v>33</v>
      </c>
      <c r="AI68" s="47" t="s">
        <v>34</v>
      </c>
      <c r="AJ68" s="47" t="s">
        <v>35</v>
      </c>
      <c r="AK68" s="47" t="s">
        <v>36</v>
      </c>
      <c r="AL68" s="47" t="s">
        <v>37</v>
      </c>
      <c r="AM68" s="47" t="s">
        <v>38</v>
      </c>
      <c r="AN68" s="47" t="s">
        <v>39</v>
      </c>
      <c r="AO68" s="47" t="s">
        <v>40</v>
      </c>
      <c r="AP68" s="47" t="s">
        <v>41</v>
      </c>
      <c r="AQ68" s="47" t="s">
        <v>42</v>
      </c>
      <c r="AR68" s="47" t="s">
        <v>33</v>
      </c>
      <c r="AS68" s="47" t="s">
        <v>34</v>
      </c>
      <c r="AT68" s="47" t="s">
        <v>35</v>
      </c>
      <c r="AU68" s="47" t="s">
        <v>36</v>
      </c>
      <c r="AV68" s="47" t="s">
        <v>37</v>
      </c>
      <c r="AW68" s="47" t="s">
        <v>38</v>
      </c>
      <c r="AX68" s="47" t="s">
        <v>39</v>
      </c>
      <c r="AY68" s="47" t="s">
        <v>40</v>
      </c>
      <c r="AZ68" s="47" t="s">
        <v>41</v>
      </c>
      <c r="BA68" s="47" t="s">
        <v>42</v>
      </c>
    </row>
    <row r="69" spans="1:53" ht="32.1" customHeight="1">
      <c r="A69" s="98"/>
      <c r="B69" s="79" t="str">
        <f>VLOOKUP(878,Sprachindex!$A:$Z,Info!$O$7,FALSE)</f>
        <v>Stk.</v>
      </c>
      <c r="C69" s="81"/>
      <c r="D69" s="83">
        <v>635661</v>
      </c>
      <c r="E69" s="561" t="str">
        <f>VLOOKUP(277,Sprachindex!$A:$Z,Info!$O$7,FALSE)</f>
        <v>Sicherheitsdachhaken auf Fußteilen</v>
      </c>
      <c r="F69" s="562"/>
      <c r="G69" s="562"/>
      <c r="H69" s="562"/>
      <c r="I69" s="562"/>
      <c r="J69" s="562"/>
      <c r="K69" s="563"/>
      <c r="L69" s="79" t="str">
        <f t="shared" si="10"/>
        <v/>
      </c>
      <c r="M69" s="433" t="str">
        <f t="shared" si="0"/>
        <v>Stk.</v>
      </c>
      <c r="N69" s="80"/>
      <c r="O69" s="202" t="str">
        <f t="shared" si="11"/>
        <v/>
      </c>
      <c r="P69" s="5"/>
      <c r="Q69" s="5"/>
      <c r="R69" s="200">
        <v>119.8</v>
      </c>
      <c r="S69" s="195"/>
      <c r="T69" s="5"/>
      <c r="U69" s="5"/>
      <c r="V69" s="5"/>
      <c r="W69" s="5"/>
      <c r="X69" s="5"/>
      <c r="Y69" s="5"/>
      <c r="AC69" s="1"/>
      <c r="AD69" s="149">
        <f>ROUNDUP($A69,0)</f>
        <v>0</v>
      </c>
      <c r="AE69" s="149">
        <f t="shared" si="12"/>
        <v>0</v>
      </c>
    </row>
    <row r="70" spans="1:53" ht="32.1" customHeight="1">
      <c r="A70" s="98"/>
      <c r="B70" s="79" t="str">
        <f>VLOOKUP(878,Sprachindex!$A:$Z,Info!$O$7,FALSE)</f>
        <v>Stk.</v>
      </c>
      <c r="C70" s="81"/>
      <c r="D70" s="78">
        <f t="shared" ref="D70:D78" si="13">IF($Z$21=1,AH70,IF($Z$21=4,AI70,IF($Z$21=5,AJ70,IF($Z$21=11,AK70,IF($Z$21=7,AL70,IF($Z$21=3,AM70,IF($Z$21=6,AN70,IF($Z$21=9,AO70,IF($Z$21=2,AP70,IF($Z$21=8,AQ70,0))))))))))</f>
        <v>0</v>
      </c>
      <c r="E70" s="561" t="str">
        <f>VLOOKUP(822,Sprachindex!$A:$Z,Info!$O$7,FALSE)</f>
        <v>Sicherheitsdachhaken</v>
      </c>
      <c r="F70" s="562"/>
      <c r="G70" s="562"/>
      <c r="H70" s="562"/>
      <c r="I70" s="562"/>
      <c r="J70" s="562"/>
      <c r="K70" s="563"/>
      <c r="L70" s="79" t="str">
        <f t="shared" si="10"/>
        <v/>
      </c>
      <c r="M70" s="433" t="str">
        <f t="shared" si="0"/>
        <v>Stk.</v>
      </c>
      <c r="N70" s="80"/>
      <c r="O70" s="202" t="str">
        <f>IF(ISNUMBER(A70),$L70*R70, "")</f>
        <v/>
      </c>
      <c r="P70" s="5"/>
      <c r="Q70" s="5"/>
      <c r="R70" s="200">
        <v>31.53</v>
      </c>
      <c r="S70" s="195"/>
      <c r="T70" s="5"/>
      <c r="U70" s="5"/>
      <c r="V70" s="5"/>
      <c r="W70" s="5"/>
      <c r="X70" s="5"/>
      <c r="Y70" s="5"/>
      <c r="AC70" s="1"/>
      <c r="AD70" s="149">
        <f>ROUNDUP($A70/12,0)*12</f>
        <v>0</v>
      </c>
      <c r="AE70" s="149">
        <f t="shared" si="12"/>
        <v>0</v>
      </c>
      <c r="AH70" s="44">
        <v>120000</v>
      </c>
      <c r="AI70" s="44">
        <v>120001</v>
      </c>
      <c r="AJ70" s="44">
        <v>120002</v>
      </c>
      <c r="AK70" s="44">
        <v>120003</v>
      </c>
      <c r="AL70" s="44">
        <v>120004</v>
      </c>
      <c r="AM70" s="44">
        <v>120005</v>
      </c>
      <c r="AN70" s="44">
        <v>120006</v>
      </c>
      <c r="AO70" s="44">
        <v>120007</v>
      </c>
      <c r="AP70" s="44">
        <v>120008</v>
      </c>
      <c r="AQ70" s="44">
        <v>120009</v>
      </c>
    </row>
    <row r="71" spans="1:53" ht="32.1" customHeight="1">
      <c r="A71" s="98"/>
      <c r="B71" s="79" t="str">
        <f>VLOOKUP(878,Sprachindex!$A:$Z,Info!$O$7,FALSE)</f>
        <v>Stk.</v>
      </c>
      <c r="C71" s="81"/>
      <c r="D71" s="78">
        <f t="shared" si="13"/>
        <v>0</v>
      </c>
      <c r="E71" s="561" t="str">
        <f>VLOOKUP(325,Sprachindex!$A:$Z,Info!$O$7,FALSE)</f>
        <v>Einfassungsplatte für Dachplatte R.16 und FX.12; glatt; ⌀ 80–125 mm</v>
      </c>
      <c r="F71" s="562"/>
      <c r="G71" s="562"/>
      <c r="H71" s="562"/>
      <c r="I71" s="562"/>
      <c r="J71" s="562"/>
      <c r="K71" s="563"/>
      <c r="L71" s="79" t="str">
        <f t="shared" si="10"/>
        <v/>
      </c>
      <c r="M71" s="433" t="str">
        <f t="shared" si="0"/>
        <v>Stk.</v>
      </c>
      <c r="N71" s="80"/>
      <c r="O71" s="202" t="str">
        <f>IF(ISNUMBER(A71),$L71*R72, "")</f>
        <v/>
      </c>
      <c r="P71" s="5"/>
      <c r="Q71" s="5"/>
      <c r="R71" s="200">
        <v>118.8</v>
      </c>
      <c r="S71" s="195"/>
      <c r="T71" s="5"/>
      <c r="U71" s="5"/>
      <c r="V71" s="5"/>
      <c r="W71" s="5"/>
      <c r="X71" s="5"/>
      <c r="Y71" s="5"/>
      <c r="AC71" s="1"/>
      <c r="AD71" s="149">
        <f>ROUNDUP($A71/1,0)*1</f>
        <v>0</v>
      </c>
      <c r="AE71" s="149">
        <f t="shared" si="12"/>
        <v>0</v>
      </c>
      <c r="AH71" s="44">
        <v>112840</v>
      </c>
      <c r="AI71" s="44">
        <v>112841</v>
      </c>
      <c r="AJ71" s="44">
        <v>112842</v>
      </c>
      <c r="AK71" s="44">
        <v>112843</v>
      </c>
      <c r="AL71" s="44">
        <v>112844</v>
      </c>
      <c r="AM71" s="44">
        <v>112845</v>
      </c>
      <c r="AN71" s="44">
        <v>112846</v>
      </c>
      <c r="AO71" s="44">
        <v>112847</v>
      </c>
      <c r="AP71" s="44">
        <v>112848</v>
      </c>
      <c r="AQ71" s="44">
        <v>112849</v>
      </c>
    </row>
    <row r="72" spans="1:53" ht="32.1" customHeight="1">
      <c r="A72" s="98"/>
      <c r="B72" s="79" t="str">
        <f>VLOOKUP(878,Sprachindex!$A:$Z,Info!$O$7,FALSE)</f>
        <v>Stk.</v>
      </c>
      <c r="C72" s="81"/>
      <c r="D72" s="78">
        <f t="shared" si="13"/>
        <v>0</v>
      </c>
      <c r="E72" s="561" t="str">
        <f>VLOOKUP(1419,Sprachindex!$A:$Z,Info!$O$7,FALSE)</f>
        <v>Einfassungsplatte, zum Einfalzen; glatt</v>
      </c>
      <c r="F72" s="562"/>
      <c r="G72" s="562"/>
      <c r="H72" s="562"/>
      <c r="I72" s="562"/>
      <c r="J72" s="562"/>
      <c r="K72" s="563"/>
      <c r="L72" s="79" t="str">
        <f t="shared" si="10"/>
        <v/>
      </c>
      <c r="M72" s="433" t="str">
        <f t="shared" si="0"/>
        <v>Stk.</v>
      </c>
      <c r="N72" s="80"/>
      <c r="O72" s="202" t="str">
        <f>IF(ISNUMBER(A72),$L72*R72, "")</f>
        <v/>
      </c>
      <c r="P72" s="5"/>
      <c r="Q72" s="5"/>
      <c r="R72" s="200">
        <v>112</v>
      </c>
      <c r="S72" s="195"/>
      <c r="T72" s="5"/>
      <c r="U72" s="5"/>
      <c r="V72" s="5"/>
      <c r="W72" s="5"/>
      <c r="X72" s="5"/>
      <c r="Y72" s="5"/>
      <c r="AC72" s="1"/>
      <c r="AD72" s="149">
        <f>ROUNDUP($A72/5,0)*5</f>
        <v>0</v>
      </c>
      <c r="AE72" s="149">
        <f t="shared" si="12"/>
        <v>0</v>
      </c>
      <c r="AH72" s="44">
        <v>110230</v>
      </c>
      <c r="AI72" s="44">
        <v>110231</v>
      </c>
      <c r="AJ72" s="44">
        <v>110232</v>
      </c>
      <c r="AK72" s="44">
        <v>110233</v>
      </c>
      <c r="AL72" s="44">
        <v>110234</v>
      </c>
      <c r="AM72" s="44">
        <v>110235</v>
      </c>
      <c r="AN72" s="44">
        <v>110236</v>
      </c>
      <c r="AO72" s="44">
        <v>110237</v>
      </c>
      <c r="AP72" s="44">
        <v>110238</v>
      </c>
      <c r="AQ72" s="44">
        <v>110239</v>
      </c>
    </row>
    <row r="73" spans="1:53" ht="32.1" customHeight="1">
      <c r="A73" s="98"/>
      <c r="B73" s="79" t="str">
        <f>VLOOKUP(878,Sprachindex!$A:$Z,Info!$O$7,FALSE)</f>
        <v>Stk.</v>
      </c>
      <c r="C73" s="81"/>
      <c r="D73" s="78">
        <f t="shared" si="13"/>
        <v>0</v>
      </c>
      <c r="E73" s="561" t="str">
        <f>VLOOKUP(926,Sprachindex!$A:$Z,Info!$O$7,FALSE)</f>
        <v>Universaleinfassung (2-teilig); glatt; ⌀ 40–120 mm</v>
      </c>
      <c r="F73" s="562"/>
      <c r="G73" s="562"/>
      <c r="H73" s="562"/>
      <c r="I73" s="562"/>
      <c r="J73" s="562"/>
      <c r="K73" s="563"/>
      <c r="L73" s="79" t="str">
        <f t="shared" si="10"/>
        <v/>
      </c>
      <c r="M73" s="433" t="str">
        <f t="shared" si="0"/>
        <v>Stk.</v>
      </c>
      <c r="N73" s="80"/>
      <c r="O73" s="202" t="str">
        <f>IF(ISNUMBER(A73),$L73*R73, "")</f>
        <v/>
      </c>
      <c r="P73" s="5"/>
      <c r="Q73" s="5"/>
      <c r="R73" s="200">
        <v>115.3</v>
      </c>
      <c r="S73" s="195"/>
      <c r="T73" s="5"/>
      <c r="U73" s="5"/>
      <c r="V73" s="5"/>
      <c r="W73" s="5"/>
      <c r="X73" s="5"/>
      <c r="Y73" s="5"/>
      <c r="AC73" s="1"/>
      <c r="AD73" s="149">
        <f>ROUNDUP($A73,0)</f>
        <v>0</v>
      </c>
      <c r="AE73" s="149">
        <f t="shared" si="12"/>
        <v>0</v>
      </c>
      <c r="AH73" s="44">
        <v>110240</v>
      </c>
      <c r="AI73" s="44">
        <v>110241</v>
      </c>
      <c r="AJ73" s="44">
        <v>110242</v>
      </c>
      <c r="AK73" s="44">
        <v>110243</v>
      </c>
      <c r="AL73" s="44">
        <v>110244</v>
      </c>
      <c r="AM73" s="44">
        <v>110245</v>
      </c>
      <c r="AN73" s="44">
        <v>110246</v>
      </c>
      <c r="AO73" s="44">
        <v>110247</v>
      </c>
      <c r="AP73" s="44">
        <v>110248</v>
      </c>
      <c r="AQ73" s="44">
        <v>110249</v>
      </c>
    </row>
    <row r="74" spans="1:53" ht="32.1" customHeight="1">
      <c r="A74" s="98"/>
      <c r="B74" s="79" t="str">
        <f>VLOOKUP(878,Sprachindex!$A:$Z,Info!$O$7,FALSE)</f>
        <v>Stk.</v>
      </c>
      <c r="C74" s="81"/>
      <c r="D74" s="78">
        <f t="shared" si="13"/>
        <v>0</v>
      </c>
      <c r="E74" s="561" t="str">
        <f>VLOOKUP(364,Sprachindex!$A:$Z,Info!$O$7,FALSE)</f>
        <v>Entlüftungshaube (⌀ 100; glatt)</v>
      </c>
      <c r="F74" s="562"/>
      <c r="G74" s="562"/>
      <c r="H74" s="562"/>
      <c r="I74" s="562"/>
      <c r="J74" s="562"/>
      <c r="K74" s="563"/>
      <c r="L74" s="79" t="str">
        <f t="shared" si="10"/>
        <v/>
      </c>
      <c r="M74" s="433" t="str">
        <f t="shared" si="0"/>
        <v>Stk.</v>
      </c>
      <c r="N74" s="80"/>
      <c r="O74" s="202" t="str">
        <f t="shared" ref="O74:O77" si="14">IF(ISNUMBER(A74),$L74*R74, "")</f>
        <v/>
      </c>
      <c r="P74" s="5"/>
      <c r="Q74" s="5"/>
      <c r="R74" s="200">
        <v>186.5</v>
      </c>
      <c r="S74" s="195"/>
      <c r="T74" s="5"/>
      <c r="U74" s="5"/>
      <c r="V74" s="5"/>
      <c r="W74" s="5"/>
      <c r="X74" s="5"/>
      <c r="Y74" s="5"/>
      <c r="AC74" s="1"/>
      <c r="AD74" s="149">
        <f>ROUNDUP($A74,0)</f>
        <v>0</v>
      </c>
      <c r="AE74" s="149">
        <f t="shared" si="12"/>
        <v>0</v>
      </c>
      <c r="AH74" s="44">
        <v>110280</v>
      </c>
      <c r="AI74" s="44">
        <v>110281</v>
      </c>
      <c r="AJ74" s="44">
        <v>110282</v>
      </c>
      <c r="AK74" s="44">
        <v>110283</v>
      </c>
      <c r="AL74" s="44">
        <v>110284</v>
      </c>
      <c r="AM74" s="44">
        <v>110285</v>
      </c>
      <c r="AN74" s="44">
        <v>110286</v>
      </c>
      <c r="AO74" s="44">
        <v>110287</v>
      </c>
      <c r="AP74" s="44">
        <v>110288</v>
      </c>
      <c r="AQ74" s="44">
        <v>110289</v>
      </c>
    </row>
    <row r="75" spans="1:53" ht="32.1" customHeight="1">
      <c r="A75" s="98"/>
      <c r="B75" s="79" t="str">
        <f>VLOOKUP(878,Sprachindex!$A:$Z,Info!$O$7,FALSE)</f>
        <v>Stk.</v>
      </c>
      <c r="C75" s="81"/>
      <c r="D75" s="78">
        <f t="shared" si="13"/>
        <v>0</v>
      </c>
      <c r="E75" s="561" t="str">
        <f>VLOOKUP(366,Sprachindex!$A:$Z,Info!$O$7,FALSE)</f>
        <v>Entlüftungsrohr (⌀ 100; passend für HT-Rohr [NW 110])</v>
      </c>
      <c r="F75" s="562"/>
      <c r="G75" s="562"/>
      <c r="H75" s="562"/>
      <c r="I75" s="562"/>
      <c r="J75" s="562"/>
      <c r="K75" s="563"/>
      <c r="L75" s="79" t="str">
        <f t="shared" si="10"/>
        <v/>
      </c>
      <c r="M75" s="433" t="str">
        <f t="shared" si="0"/>
        <v>Stk.</v>
      </c>
      <c r="N75" s="80"/>
      <c r="O75" s="202" t="str">
        <f t="shared" si="14"/>
        <v/>
      </c>
      <c r="P75" s="5"/>
      <c r="Q75" s="5"/>
      <c r="R75" s="200">
        <v>76.77</v>
      </c>
      <c r="S75" s="195"/>
      <c r="T75" s="5"/>
      <c r="U75" s="5"/>
      <c r="V75" s="5"/>
      <c r="W75" s="5"/>
      <c r="X75" s="5"/>
      <c r="Y75" s="5"/>
      <c r="AC75" s="1"/>
      <c r="AD75" s="149">
        <f>ROUNDUP($A75,0)</f>
        <v>0</v>
      </c>
      <c r="AE75" s="149">
        <f t="shared" si="12"/>
        <v>0</v>
      </c>
      <c r="AH75" s="44">
        <v>110200</v>
      </c>
      <c r="AI75" s="44">
        <v>110201</v>
      </c>
      <c r="AJ75" s="44">
        <v>110202</v>
      </c>
      <c r="AK75" s="44">
        <v>110203</v>
      </c>
      <c r="AL75" s="44">
        <v>110204</v>
      </c>
      <c r="AM75" s="44">
        <v>110205</v>
      </c>
      <c r="AN75" s="44">
        <v>110206</v>
      </c>
      <c r="AO75" s="44">
        <v>110207</v>
      </c>
      <c r="AP75" s="44">
        <v>110208</v>
      </c>
      <c r="AQ75" s="44">
        <v>121015</v>
      </c>
    </row>
    <row r="76" spans="1:53" ht="32.1" customHeight="1">
      <c r="A76" s="98"/>
      <c r="B76" s="79" t="str">
        <f>VLOOKUP(878,Sprachindex!$A:$Z,Info!$O$7,FALSE)</f>
        <v>Stk.</v>
      </c>
      <c r="C76" s="81"/>
      <c r="D76" s="78">
        <f t="shared" si="13"/>
        <v>0</v>
      </c>
      <c r="E76" s="561" t="str">
        <f>VLOOKUP(368,Sprachindex!$A:$Z,Info!$O$7,FALSE)</f>
        <v>Entlüftungsrohr (⌀ 120; passend für HT-Rohr [NW 125])</v>
      </c>
      <c r="F76" s="562"/>
      <c r="G76" s="562"/>
      <c r="H76" s="562"/>
      <c r="I76" s="562"/>
      <c r="J76" s="562"/>
      <c r="K76" s="563"/>
      <c r="L76" s="79" t="str">
        <f t="shared" si="10"/>
        <v/>
      </c>
      <c r="M76" s="433" t="str">
        <f t="shared" si="0"/>
        <v>Stk.</v>
      </c>
      <c r="N76" s="80"/>
      <c r="O76" s="202" t="str">
        <f t="shared" si="14"/>
        <v/>
      </c>
      <c r="P76" s="5"/>
      <c r="Q76" s="5"/>
      <c r="R76" s="200">
        <v>81.41</v>
      </c>
      <c r="S76" s="195"/>
      <c r="T76" s="5"/>
      <c r="U76" s="5"/>
      <c r="V76" s="5"/>
      <c r="W76" s="5"/>
      <c r="X76" s="5"/>
      <c r="Y76" s="5"/>
      <c r="AC76" s="1"/>
      <c r="AD76" s="149">
        <f>ROUNDUP($A76,0)</f>
        <v>0</v>
      </c>
      <c r="AE76" s="149">
        <f t="shared" si="12"/>
        <v>0</v>
      </c>
      <c r="AH76" s="44">
        <v>110210</v>
      </c>
      <c r="AI76" s="44">
        <v>110211</v>
      </c>
      <c r="AJ76" s="44">
        <v>110212</v>
      </c>
      <c r="AK76" s="44">
        <v>110213</v>
      </c>
      <c r="AL76" s="44">
        <v>110214</v>
      </c>
      <c r="AM76" s="44">
        <v>110215</v>
      </c>
      <c r="AN76" s="44">
        <v>110216</v>
      </c>
      <c r="AO76" s="44">
        <v>110217</v>
      </c>
      <c r="AP76" s="44">
        <v>110218</v>
      </c>
      <c r="AQ76" s="44">
        <v>121025</v>
      </c>
    </row>
    <row r="77" spans="1:53" ht="32.1" customHeight="1">
      <c r="A77" s="98"/>
      <c r="B77" s="79" t="str">
        <f>VLOOKUP(878,Sprachindex!$A:$Z,Info!$O$7,FALSE)</f>
        <v>Stk.</v>
      </c>
      <c r="C77" s="81"/>
      <c r="D77" s="83">
        <v>340943</v>
      </c>
      <c r="E77" s="561" t="str">
        <f>VLOOKUP(379,Sprachindex!$A:$Z,Info!$O$7,FALSE)</f>
        <v>Faltmanschette (Ø 100–130)</v>
      </c>
      <c r="F77" s="562"/>
      <c r="G77" s="562"/>
      <c r="H77" s="562"/>
      <c r="I77" s="562"/>
      <c r="J77" s="562"/>
      <c r="K77" s="563"/>
      <c r="L77" s="79" t="str">
        <f t="shared" si="10"/>
        <v/>
      </c>
      <c r="M77" s="433" t="str">
        <f t="shared" si="0"/>
        <v>Stk.</v>
      </c>
      <c r="N77" s="80"/>
      <c r="O77" s="202" t="str">
        <f t="shared" si="14"/>
        <v/>
      </c>
      <c r="P77" s="5"/>
      <c r="Q77" s="5"/>
      <c r="R77" s="200">
        <v>37.729999999999997</v>
      </c>
      <c r="S77" s="195"/>
      <c r="T77" s="5"/>
      <c r="U77" s="5"/>
      <c r="V77" s="5"/>
      <c r="W77" s="5"/>
      <c r="X77" s="5"/>
      <c r="Y77" s="5"/>
      <c r="AC77" s="1"/>
      <c r="AD77" s="149">
        <f>ROUNDUP($A77,0)</f>
        <v>0</v>
      </c>
      <c r="AE77" s="149">
        <f t="shared" si="12"/>
        <v>0</v>
      </c>
      <c r="AH77" s="47" t="s">
        <v>33</v>
      </c>
      <c r="AI77" s="47" t="s">
        <v>34</v>
      </c>
      <c r="AJ77" s="47" t="s">
        <v>35</v>
      </c>
      <c r="AK77" s="47" t="s">
        <v>36</v>
      </c>
      <c r="AL77" s="47" t="s">
        <v>37</v>
      </c>
      <c r="AM77" s="47" t="s">
        <v>38</v>
      </c>
      <c r="AN77" s="47" t="s">
        <v>39</v>
      </c>
      <c r="AO77" s="47" t="s">
        <v>40</v>
      </c>
      <c r="AP77" s="47" t="s">
        <v>41</v>
      </c>
      <c r="AQ77" s="47" t="s">
        <v>42</v>
      </c>
      <c r="AR77" s="47" t="s">
        <v>33</v>
      </c>
      <c r="AS77" s="47" t="s">
        <v>34</v>
      </c>
      <c r="AT77" s="47" t="s">
        <v>35</v>
      </c>
      <c r="AU77" s="47" t="s">
        <v>36</v>
      </c>
      <c r="AV77" s="47" t="s">
        <v>37</v>
      </c>
      <c r="AW77" s="47" t="s">
        <v>38</v>
      </c>
      <c r="AX77" s="47" t="s">
        <v>39</v>
      </c>
      <c r="AY77" s="47" t="s">
        <v>40</v>
      </c>
      <c r="AZ77" s="47" t="s">
        <v>41</v>
      </c>
      <c r="BA77" s="47" t="s">
        <v>42</v>
      </c>
    </row>
    <row r="78" spans="1:53" ht="32.1" customHeight="1">
      <c r="A78" s="98"/>
      <c r="B78" s="79" t="str">
        <f>VLOOKUP(878,Sprachindex!$A:$Z,Info!$O$7,FALSE)</f>
        <v>Stk.</v>
      </c>
      <c r="C78" s="81"/>
      <c r="D78" s="78">
        <f t="shared" si="13"/>
        <v>0</v>
      </c>
      <c r="E78" s="561" t="str">
        <f>VLOOKUP(2943,Sprachindex!$A:$Z,Info!$O$7,FALSE)</f>
        <v>Unterlagsplatte (540 × 125 mm [Länge × Breite]; glatt)</v>
      </c>
      <c r="F78" s="562"/>
      <c r="G78" s="562"/>
      <c r="H78" s="562"/>
      <c r="I78" s="562"/>
      <c r="J78" s="562"/>
      <c r="K78" s="563"/>
      <c r="L78" s="79" t="str">
        <f t="shared" si="10"/>
        <v/>
      </c>
      <c r="M78" s="433" t="str">
        <f t="shared" si="0"/>
        <v>Stk.</v>
      </c>
      <c r="N78" s="80"/>
      <c r="O78" s="202" t="str">
        <f>IF(ISNUMBER(A78),$L78*R78, "")</f>
        <v/>
      </c>
      <c r="P78" s="5"/>
      <c r="Q78" s="5"/>
      <c r="R78" s="200">
        <v>10.72</v>
      </c>
      <c r="S78" s="195"/>
      <c r="T78" s="5"/>
      <c r="U78" s="5"/>
      <c r="V78" s="5"/>
      <c r="W78" s="5"/>
      <c r="X78" s="5"/>
      <c r="Y78" s="5"/>
      <c r="AC78" s="1"/>
      <c r="AD78" s="149">
        <f>ROUNDUP($A78/15,0)*15</f>
        <v>0</v>
      </c>
      <c r="AE78" s="149">
        <f t="shared" si="12"/>
        <v>0</v>
      </c>
      <c r="AH78" s="470">
        <v>110360</v>
      </c>
      <c r="AI78" s="470">
        <v>110361</v>
      </c>
      <c r="AJ78" s="470">
        <v>110362</v>
      </c>
      <c r="AK78" s="470">
        <v>110363</v>
      </c>
      <c r="AL78" s="470">
        <v>110364</v>
      </c>
      <c r="AM78" s="470">
        <v>110365</v>
      </c>
      <c r="AN78" s="470">
        <v>110366</v>
      </c>
      <c r="AO78" s="470">
        <v>110367</v>
      </c>
      <c r="AP78" s="470">
        <v>110368</v>
      </c>
      <c r="AQ78" s="470"/>
    </row>
    <row r="79" spans="1:53" ht="32.1" customHeight="1">
      <c r="A79" s="98"/>
      <c r="B79" s="79" t="str">
        <f>VLOOKUP(878,Sprachindex!$A:$Z,Info!$O$7,FALSE)</f>
        <v>Stk.</v>
      </c>
      <c r="C79" s="81"/>
      <c r="D79" s="78">
        <f t="shared" ref="D79:D94" si="15">IF($Z$21=1,AH79,IF($Z$21=4,AI79,IF($Z$21=5,AJ79,IF($Z$21=11,AK79,IF($Z$21=7,AL79,IF($Z$21=3,AM79,IF($Z$21=6,AN79,IF($Z$21=9,AO79,IF($Z$21=2,AP79,IF($Z$21=8,AQ79,0))))))))))</f>
        <v>0</v>
      </c>
      <c r="E79" s="561" t="str">
        <f>VLOOKUP(798,Sprachindex!$A:$Z,Info!$O$7,FALSE)</f>
        <v>Schneestopper für Dachplatte R.16, FX.12 und DS.19</v>
      </c>
      <c r="F79" s="562"/>
      <c r="G79" s="562"/>
      <c r="H79" s="562"/>
      <c r="I79" s="562"/>
      <c r="J79" s="562"/>
      <c r="K79" s="563"/>
      <c r="L79" s="79" t="str">
        <f t="shared" si="10"/>
        <v/>
      </c>
      <c r="M79" s="433" t="str">
        <f t="shared" si="0"/>
        <v>Stk.</v>
      </c>
      <c r="N79" s="80"/>
      <c r="O79" s="202" t="str">
        <f t="shared" ref="O79:O103" si="16">IF(ISNUMBER(A79),$L79*R79, "")</f>
        <v/>
      </c>
      <c r="P79" s="5"/>
      <c r="Q79" s="5"/>
      <c r="R79" s="200">
        <v>1.74</v>
      </c>
      <c r="S79" s="195"/>
      <c r="T79" s="5"/>
      <c r="U79" s="5"/>
      <c r="V79" s="5"/>
      <c r="W79" s="5"/>
      <c r="X79" s="5"/>
      <c r="Y79" s="5"/>
      <c r="AC79" s="1"/>
      <c r="AD79" s="149">
        <f>ROUNDUP($A79/100,0)*100</f>
        <v>0</v>
      </c>
      <c r="AE79" s="149">
        <f t="shared" si="12"/>
        <v>0</v>
      </c>
      <c r="AH79" s="44">
        <v>112041</v>
      </c>
      <c r="AI79" s="44">
        <v>112042</v>
      </c>
      <c r="AJ79" s="44">
        <v>112043</v>
      </c>
      <c r="AK79" s="44">
        <v>112044</v>
      </c>
      <c r="AL79" s="44">
        <v>112045</v>
      </c>
      <c r="AM79" s="44">
        <v>112046</v>
      </c>
      <c r="AN79" s="44">
        <v>112048</v>
      </c>
      <c r="AO79" s="44">
        <v>112047</v>
      </c>
      <c r="AP79" s="44">
        <v>112049</v>
      </c>
      <c r="AQ79" s="44">
        <v>112050</v>
      </c>
    </row>
    <row r="80" spans="1:53" ht="32.1" customHeight="1">
      <c r="A80" s="98"/>
      <c r="B80" s="79" t="str">
        <f>VLOOKUP(878,Sprachindex!$A:$Z,Info!$O$7,FALSE)</f>
        <v>Stk.</v>
      </c>
      <c r="C80" s="81"/>
      <c r="D80" s="78">
        <f t="shared" si="15"/>
        <v>0</v>
      </c>
      <c r="E80" s="561" t="str">
        <f>VLOOKUP(2190,Sprachindex!$A:$Z,Info!$O$7,FALSE)</f>
        <v>Haken für Schneerechensystem, inkl. Befestigungsmaterial</v>
      </c>
      <c r="F80" s="562"/>
      <c r="G80" s="562"/>
      <c r="H80" s="562"/>
      <c r="I80" s="562"/>
      <c r="J80" s="562"/>
      <c r="K80" s="563"/>
      <c r="L80" s="79" t="str">
        <f t="shared" si="10"/>
        <v/>
      </c>
      <c r="M80" s="433" t="str">
        <f t="shared" si="0"/>
        <v>Stk.</v>
      </c>
      <c r="N80" s="80"/>
      <c r="O80" s="202" t="str">
        <f t="shared" si="16"/>
        <v/>
      </c>
      <c r="P80" s="5"/>
      <c r="Q80" s="5"/>
      <c r="R80" s="200">
        <v>55.82</v>
      </c>
      <c r="S80" s="195">
        <v>53.06</v>
      </c>
      <c r="T80" s="5"/>
      <c r="U80" s="5"/>
      <c r="V80" s="5"/>
      <c r="W80" s="5"/>
      <c r="X80" s="5"/>
      <c r="Y80" s="5"/>
      <c r="AC80" s="1"/>
      <c r="AD80" s="227">
        <f>ROUNDUP($A80/10,0)*10</f>
        <v>0</v>
      </c>
      <c r="AE80" s="149">
        <f t="shared" si="12"/>
        <v>0</v>
      </c>
      <c r="AH80" s="44">
        <v>120180</v>
      </c>
      <c r="AI80" s="44">
        <v>120181</v>
      </c>
      <c r="AJ80" s="44">
        <v>120182</v>
      </c>
      <c r="AK80" s="44">
        <v>120183</v>
      </c>
      <c r="AL80" s="44">
        <v>120184</v>
      </c>
      <c r="AM80" s="44">
        <v>120185</v>
      </c>
      <c r="AN80" s="44">
        <v>120186</v>
      </c>
      <c r="AO80" s="44">
        <v>120187</v>
      </c>
      <c r="AP80" s="44">
        <v>120188</v>
      </c>
      <c r="AQ80" s="44">
        <v>120189</v>
      </c>
    </row>
    <row r="81" spans="1:43" ht="32.1" customHeight="1">
      <c r="A81" s="98"/>
      <c r="B81" s="79" t="str">
        <f>VLOOKUP(878,Sprachindex!$A:$Z,Info!$O$7,FALSE)</f>
        <v>Stk.</v>
      </c>
      <c r="C81" s="81"/>
      <c r="D81" s="78">
        <v>515396</v>
      </c>
      <c r="E81" s="561" t="str">
        <f>VLOOKUP(2191,Sprachindex!$A:$Z,Info!$O$7,FALSE)</f>
        <v>Haken für Schneerechensystem XL, inkl. Befestigungsmaterial</v>
      </c>
      <c r="F81" s="562"/>
      <c r="G81" s="562"/>
      <c r="H81" s="562"/>
      <c r="I81" s="562"/>
      <c r="J81" s="562"/>
      <c r="K81" s="563"/>
      <c r="L81" s="79" t="str">
        <f t="shared" si="10"/>
        <v/>
      </c>
      <c r="M81" s="433" t="str">
        <f t="shared" si="0"/>
        <v>Stk.</v>
      </c>
      <c r="N81" s="80"/>
      <c r="O81" s="202" t="str">
        <f t="shared" si="16"/>
        <v/>
      </c>
      <c r="P81" s="5"/>
      <c r="Q81" s="5"/>
      <c r="R81" s="200">
        <v>97.9</v>
      </c>
      <c r="S81" s="195">
        <v>90</v>
      </c>
      <c r="T81" s="5"/>
      <c r="U81" s="5"/>
      <c r="V81" s="5"/>
      <c r="W81" s="5"/>
      <c r="X81" s="5"/>
      <c r="Y81" s="5"/>
      <c r="AC81" s="135"/>
      <c r="AD81" s="227">
        <f>ROUNDUP($A81/18,0)*18</f>
        <v>0</v>
      </c>
      <c r="AE81" s="149">
        <f t="shared" si="12"/>
        <v>0</v>
      </c>
      <c r="AF81" s="145"/>
      <c r="AH81" s="44"/>
      <c r="AI81" s="44"/>
      <c r="AJ81" s="44"/>
      <c r="AK81" s="44"/>
      <c r="AL81" s="44"/>
      <c r="AM81" s="44"/>
      <c r="AN81" s="44"/>
      <c r="AO81" s="44"/>
      <c r="AP81" s="44"/>
      <c r="AQ81" s="44"/>
    </row>
    <row r="82" spans="1:43" ht="32.1" customHeight="1">
      <c r="A82" s="98"/>
      <c r="B82" s="79" t="str">
        <f>VLOOKUP(1512,Sprachindex!$A:$Z,Info!$O$7,FALSE)</f>
        <v>lfm</v>
      </c>
      <c r="C82" s="81"/>
      <c r="D82" s="78">
        <f t="shared" si="15"/>
        <v>0</v>
      </c>
      <c r="E82" s="561" t="str">
        <f>VLOOKUP(793,Sprachindex!$A:$Z,Info!$O$7,FALSE)</f>
        <v>Einlegeprofil (3.000 mm)</v>
      </c>
      <c r="F82" s="562"/>
      <c r="G82" s="562"/>
      <c r="H82" s="562"/>
      <c r="I82" s="562"/>
      <c r="J82" s="562"/>
      <c r="K82" s="563"/>
      <c r="L82" s="79" t="str">
        <f t="shared" si="10"/>
        <v/>
      </c>
      <c r="M82" s="433" t="str">
        <f t="shared" si="0"/>
        <v>lfm</v>
      </c>
      <c r="N82" s="80"/>
      <c r="O82" s="202" t="str">
        <f t="shared" si="16"/>
        <v/>
      </c>
      <c r="P82" s="5"/>
      <c r="Q82" s="5"/>
      <c r="R82" s="200">
        <v>10.71</v>
      </c>
      <c r="S82" s="195">
        <v>6.83</v>
      </c>
      <c r="T82" s="5"/>
      <c r="U82" s="5"/>
      <c r="V82" s="5"/>
      <c r="W82" s="5"/>
      <c r="X82" s="5"/>
      <c r="Y82" s="5"/>
      <c r="AC82" s="1"/>
      <c r="AD82" s="149">
        <f>ROUNDUP($A82/3,0)*3</f>
        <v>0</v>
      </c>
      <c r="AE82" s="149">
        <f>ROUNDUP($A82/3,0)*3</f>
        <v>0</v>
      </c>
      <c r="AH82" s="44">
        <v>120350</v>
      </c>
      <c r="AI82" s="44">
        <v>120351</v>
      </c>
      <c r="AJ82" s="44">
        <v>120352</v>
      </c>
      <c r="AK82" s="44">
        <v>120353</v>
      </c>
      <c r="AL82" s="44">
        <v>120354</v>
      </c>
      <c r="AM82" s="44">
        <v>120355</v>
      </c>
      <c r="AN82" s="44">
        <v>120356</v>
      </c>
      <c r="AO82" s="44">
        <v>120357</v>
      </c>
      <c r="AP82" s="44">
        <v>120358</v>
      </c>
      <c r="AQ82" s="44">
        <v>120359</v>
      </c>
    </row>
    <row r="83" spans="1:43" ht="32.1" customHeight="1">
      <c r="A83" s="98"/>
      <c r="B83" s="79" t="str">
        <f>VLOOKUP(878,Sprachindex!$A:$Z,Info!$O$7,FALSE)</f>
        <v>Stk.</v>
      </c>
      <c r="C83" s="81"/>
      <c r="D83" s="78">
        <f t="shared" si="15"/>
        <v>0</v>
      </c>
      <c r="E83" s="561" t="str">
        <f>VLOOKUP(794,Sprachindex!$A:$Z,Info!$O$7,FALSE)</f>
        <v>Eiskralle</v>
      </c>
      <c r="F83" s="562"/>
      <c r="G83" s="562"/>
      <c r="H83" s="562"/>
      <c r="I83" s="562"/>
      <c r="J83" s="562"/>
      <c r="K83" s="563"/>
      <c r="L83" s="79" t="str">
        <f t="shared" si="10"/>
        <v/>
      </c>
      <c r="M83" s="433" t="str">
        <f t="shared" si="0"/>
        <v>Stk.</v>
      </c>
      <c r="N83" s="80"/>
      <c r="O83" s="202" t="str">
        <f t="shared" si="16"/>
        <v/>
      </c>
      <c r="P83" s="5"/>
      <c r="Q83" s="5"/>
      <c r="R83" s="200">
        <v>4.6399999999999997</v>
      </c>
      <c r="S83" s="195">
        <v>4.32</v>
      </c>
      <c r="T83" s="5"/>
      <c r="U83" s="5"/>
      <c r="V83" s="5"/>
      <c r="W83" s="5"/>
      <c r="X83" s="5"/>
      <c r="Y83" s="5"/>
      <c r="AC83" s="1"/>
      <c r="AD83" s="149">
        <f>ROUNDUP($A83/100,0)*100</f>
        <v>0</v>
      </c>
      <c r="AE83" s="149">
        <f t="shared" ref="AE83:AE92" si="17">ROUNDUP($A83,0)</f>
        <v>0</v>
      </c>
      <c r="AH83" s="44">
        <v>120700</v>
      </c>
      <c r="AI83" s="44">
        <v>120701</v>
      </c>
      <c r="AJ83" s="44">
        <v>120702</v>
      </c>
      <c r="AK83" s="44">
        <v>120703</v>
      </c>
      <c r="AL83" s="44">
        <v>120704</v>
      </c>
      <c r="AM83" s="44">
        <v>120705</v>
      </c>
      <c r="AN83" s="44">
        <v>120706</v>
      </c>
      <c r="AO83" s="44">
        <v>120707</v>
      </c>
      <c r="AP83" s="44">
        <v>120708</v>
      </c>
      <c r="AQ83" s="44">
        <v>120709</v>
      </c>
    </row>
    <row r="84" spans="1:43" ht="32.1" customHeight="1">
      <c r="A84" s="98"/>
      <c r="B84" s="79" t="str">
        <f>VLOOKUP(878,Sprachindex!$A:$Z,Info!$O$7,FALSE)</f>
        <v>Stk.</v>
      </c>
      <c r="C84" s="81"/>
      <c r="D84" s="78">
        <f t="shared" si="15"/>
        <v>0</v>
      </c>
      <c r="E84" s="561" t="str">
        <f>VLOOKUP(791,Sprachindex!$A:$Z,Info!$O$7,FALSE)</f>
        <v>Abschluss für Schneerechensystem</v>
      </c>
      <c r="F84" s="562"/>
      <c r="G84" s="562"/>
      <c r="H84" s="562"/>
      <c r="I84" s="562"/>
      <c r="J84" s="562"/>
      <c r="K84" s="563"/>
      <c r="L84" s="79" t="str">
        <f t="shared" si="10"/>
        <v/>
      </c>
      <c r="M84" s="433" t="str">
        <f t="shared" si="0"/>
        <v>Stk.</v>
      </c>
      <c r="N84" s="80"/>
      <c r="O84" s="202" t="str">
        <f t="shared" si="16"/>
        <v/>
      </c>
      <c r="P84" s="5"/>
      <c r="Q84" s="5"/>
      <c r="R84" s="200">
        <v>6.33</v>
      </c>
      <c r="S84" s="195">
        <v>6.01</v>
      </c>
      <c r="T84" s="5"/>
      <c r="U84" s="5"/>
      <c r="V84" s="5"/>
      <c r="W84" s="5"/>
      <c r="X84" s="5"/>
      <c r="Y84" s="5"/>
      <c r="AC84" s="1"/>
      <c r="AD84" s="149">
        <f>ROUNDUP($A84/2,0)*2</f>
        <v>0</v>
      </c>
      <c r="AE84" s="149">
        <f t="shared" si="17"/>
        <v>0</v>
      </c>
      <c r="AH84" s="44">
        <v>120390</v>
      </c>
      <c r="AI84" s="44">
        <v>120391</v>
      </c>
      <c r="AJ84" s="44">
        <v>120392</v>
      </c>
      <c r="AK84" s="44">
        <v>120393</v>
      </c>
      <c r="AL84" s="44">
        <v>120394</v>
      </c>
      <c r="AM84" s="44">
        <v>120395</v>
      </c>
      <c r="AN84" s="44">
        <v>120396</v>
      </c>
      <c r="AO84" s="44">
        <v>120397</v>
      </c>
      <c r="AP84" s="44">
        <v>120398</v>
      </c>
      <c r="AQ84" s="44">
        <v>120399</v>
      </c>
    </row>
    <row r="85" spans="1:43" ht="32.1" customHeight="1">
      <c r="A85" s="98"/>
      <c r="B85" s="79" t="str">
        <f>VLOOKUP(878,Sprachindex!$A:$Z,Info!$O$7,FALSE)</f>
        <v>Stk.</v>
      </c>
      <c r="C85" s="81"/>
      <c r="D85" s="78">
        <v>515395</v>
      </c>
      <c r="E85" s="561" t="str">
        <f>VLOOKUP(2192,Sprachindex!$A:$Z,Info!$O$7,FALSE)</f>
        <v>Abschluss für Schneerechensystem XL</v>
      </c>
      <c r="F85" s="562"/>
      <c r="G85" s="562"/>
      <c r="H85" s="562"/>
      <c r="I85" s="562"/>
      <c r="J85" s="562"/>
      <c r="K85" s="563"/>
      <c r="L85" s="79" t="str">
        <f t="shared" si="10"/>
        <v/>
      </c>
      <c r="M85" s="433" t="str">
        <f t="shared" si="0"/>
        <v>Stk.</v>
      </c>
      <c r="N85" s="80"/>
      <c r="O85" s="202" t="str">
        <f t="shared" si="16"/>
        <v/>
      </c>
      <c r="P85" s="5"/>
      <c r="Q85" s="5"/>
      <c r="R85" s="200">
        <v>8.3000000000000007</v>
      </c>
      <c r="S85" s="195">
        <v>6.8</v>
      </c>
      <c r="T85" s="5"/>
      <c r="U85" s="5"/>
      <c r="V85" s="5"/>
      <c r="W85" s="5"/>
      <c r="X85" s="5"/>
      <c r="Y85" s="5"/>
      <c r="AC85" s="135"/>
      <c r="AD85" s="149">
        <f>ROUNDUP($A85/18,0)*18</f>
        <v>0</v>
      </c>
      <c r="AE85" s="149">
        <f t="shared" si="17"/>
        <v>0</v>
      </c>
      <c r="AF85" s="145"/>
      <c r="AH85" s="44"/>
      <c r="AI85" s="44"/>
      <c r="AJ85" s="44"/>
      <c r="AK85" s="44"/>
      <c r="AL85" s="44"/>
      <c r="AM85" s="44"/>
      <c r="AN85" s="44"/>
      <c r="AO85" s="44"/>
      <c r="AP85" s="44"/>
      <c r="AQ85" s="44"/>
    </row>
    <row r="86" spans="1:43" ht="32.1" customHeight="1">
      <c r="A86" s="98"/>
      <c r="B86" s="79" t="str">
        <f>VLOOKUP(878,Sprachindex!$A:$Z,Info!$O$7,FALSE)</f>
        <v>Stk.</v>
      </c>
      <c r="C86" s="81"/>
      <c r="D86" s="78">
        <f t="shared" si="15"/>
        <v>0</v>
      </c>
      <c r="E86" s="561" t="str">
        <f>VLOOKUP(424,Sprachindex!$A:$Z,Info!$O$7,FALSE)</f>
        <v>Gebirgsschneefangstütze</v>
      </c>
      <c r="F86" s="562"/>
      <c r="G86" s="562"/>
      <c r="H86" s="562"/>
      <c r="I86" s="562"/>
      <c r="J86" s="562"/>
      <c r="K86" s="563"/>
      <c r="L86" s="79" t="str">
        <f t="shared" si="10"/>
        <v/>
      </c>
      <c r="M86" s="433" t="str">
        <f t="shared" si="0"/>
        <v>Stk.</v>
      </c>
      <c r="N86" s="80"/>
      <c r="O86" s="202" t="str">
        <f t="shared" si="16"/>
        <v/>
      </c>
      <c r="P86" s="5"/>
      <c r="Q86" s="5"/>
      <c r="R86" s="200">
        <v>55.82</v>
      </c>
      <c r="S86" s="195">
        <v>53.06</v>
      </c>
      <c r="T86" s="5"/>
      <c r="U86" s="5"/>
      <c r="V86" s="5"/>
      <c r="W86" s="5"/>
      <c r="X86" s="5"/>
      <c r="Y86" s="5"/>
      <c r="AC86" s="1"/>
      <c r="AD86" s="149">
        <f>ROUNDUP($A86/2,0)*2</f>
        <v>0</v>
      </c>
      <c r="AE86" s="149">
        <f t="shared" si="17"/>
        <v>0</v>
      </c>
      <c r="AH86" s="44">
        <v>120150</v>
      </c>
      <c r="AI86" s="44">
        <v>120151</v>
      </c>
      <c r="AJ86" s="44">
        <v>120152</v>
      </c>
      <c r="AK86" s="44">
        <v>120153</v>
      </c>
      <c r="AL86" s="44">
        <v>120154</v>
      </c>
      <c r="AM86" s="44">
        <v>120155</v>
      </c>
      <c r="AN86" s="44">
        <v>120156</v>
      </c>
      <c r="AO86" s="44">
        <v>120157</v>
      </c>
      <c r="AP86" s="44">
        <v>120158</v>
      </c>
      <c r="AQ86" s="44">
        <v>120159</v>
      </c>
    </row>
    <row r="87" spans="1:43" ht="32.1" customHeight="1">
      <c r="A87" s="98"/>
      <c r="B87" s="79" t="str">
        <f>VLOOKUP(878,Sprachindex!$A:$Z,Info!$O$7,FALSE)</f>
        <v>Stk.</v>
      </c>
      <c r="C87" s="81"/>
      <c r="D87" s="78">
        <f t="shared" si="15"/>
        <v>0</v>
      </c>
      <c r="E87" s="561" t="str">
        <f>VLOOKUP(510,Sprachindex!$A:$Z,Info!$O$7,FALSE)</f>
        <v>Kaminhut (700 × 700 mm)</v>
      </c>
      <c r="F87" s="562"/>
      <c r="G87" s="562"/>
      <c r="H87" s="562"/>
      <c r="I87" s="562"/>
      <c r="J87" s="562"/>
      <c r="K87" s="563"/>
      <c r="L87" s="79" t="str">
        <f t="shared" si="10"/>
        <v/>
      </c>
      <c r="M87" s="433" t="str">
        <f t="shared" si="0"/>
        <v>Stk.</v>
      </c>
      <c r="N87" s="80"/>
      <c r="O87" s="202" t="str">
        <f t="shared" si="16"/>
        <v/>
      </c>
      <c r="P87" s="5"/>
      <c r="Q87" s="5"/>
      <c r="R87" s="200">
        <v>152.69999999999999</v>
      </c>
      <c r="S87" s="195">
        <v>124.1</v>
      </c>
      <c r="T87" s="5"/>
      <c r="U87" s="5"/>
      <c r="V87" s="5"/>
      <c r="W87" s="5"/>
      <c r="X87" s="5"/>
      <c r="Y87" s="5"/>
      <c r="AC87" s="1"/>
      <c r="AD87" s="149">
        <f>ROUNDUP($A87,0)</f>
        <v>0</v>
      </c>
      <c r="AE87" s="149">
        <f t="shared" si="17"/>
        <v>0</v>
      </c>
      <c r="AH87" s="44">
        <v>110420</v>
      </c>
      <c r="AI87" s="44">
        <v>110421</v>
      </c>
      <c r="AJ87" s="44">
        <v>110422</v>
      </c>
      <c r="AK87" s="44">
        <v>110423</v>
      </c>
      <c r="AL87" s="44">
        <v>110424</v>
      </c>
      <c r="AM87" s="44">
        <v>110425</v>
      </c>
      <c r="AN87" s="44">
        <v>110426</v>
      </c>
      <c r="AO87" s="44">
        <v>110427</v>
      </c>
      <c r="AP87" s="44">
        <v>110428</v>
      </c>
      <c r="AQ87" s="44">
        <v>110429</v>
      </c>
    </row>
    <row r="88" spans="1:43" ht="32.1" customHeight="1">
      <c r="A88" s="98"/>
      <c r="B88" s="79" t="str">
        <f>VLOOKUP(878,Sprachindex!$A:$Z,Info!$O$7,FALSE)</f>
        <v>Stk.</v>
      </c>
      <c r="C88" s="81"/>
      <c r="D88" s="78">
        <f t="shared" si="15"/>
        <v>0</v>
      </c>
      <c r="E88" s="561" t="str">
        <f>VLOOKUP(511,Sprachindex!$A:$Z,Info!$O$7,FALSE)</f>
        <v>Kaminhut (800 × 800 mm)</v>
      </c>
      <c r="F88" s="562"/>
      <c r="G88" s="562"/>
      <c r="H88" s="562"/>
      <c r="I88" s="562"/>
      <c r="J88" s="562"/>
      <c r="K88" s="563"/>
      <c r="L88" s="79" t="str">
        <f t="shared" si="10"/>
        <v/>
      </c>
      <c r="M88" s="433" t="str">
        <f t="shared" si="0"/>
        <v>Stk.</v>
      </c>
      <c r="N88" s="80"/>
      <c r="O88" s="202" t="str">
        <f t="shared" si="16"/>
        <v/>
      </c>
      <c r="P88" s="5"/>
      <c r="Q88" s="5"/>
      <c r="R88" s="200">
        <v>165</v>
      </c>
      <c r="S88" s="195">
        <v>133.69999999999999</v>
      </c>
      <c r="T88" s="5"/>
      <c r="U88" s="5"/>
      <c r="V88" s="5"/>
      <c r="W88" s="5"/>
      <c r="X88" s="5"/>
      <c r="Y88" s="5"/>
      <c r="AC88" s="1"/>
      <c r="AD88" s="149">
        <f>ROUNDUP($A88,0)</f>
        <v>0</v>
      </c>
      <c r="AE88" s="149">
        <f t="shared" si="17"/>
        <v>0</v>
      </c>
      <c r="AH88" s="44">
        <v>110430</v>
      </c>
      <c r="AI88" s="44">
        <v>110431</v>
      </c>
      <c r="AJ88" s="44">
        <v>110432</v>
      </c>
      <c r="AK88" s="44">
        <v>110433</v>
      </c>
      <c r="AL88" s="44">
        <v>110434</v>
      </c>
      <c r="AM88" s="44">
        <v>110435</v>
      </c>
      <c r="AN88" s="44">
        <v>110436</v>
      </c>
      <c r="AO88" s="44">
        <v>110437</v>
      </c>
      <c r="AP88" s="44">
        <v>110438</v>
      </c>
      <c r="AQ88" s="44">
        <v>110439</v>
      </c>
    </row>
    <row r="89" spans="1:43" ht="32.1" customHeight="1">
      <c r="A89" s="98"/>
      <c r="B89" s="79" t="str">
        <f>VLOOKUP(878,Sprachindex!$A:$Z,Info!$O$7,FALSE)</f>
        <v>Stk.</v>
      </c>
      <c r="C89" s="81"/>
      <c r="D89" s="78">
        <f t="shared" si="15"/>
        <v>0</v>
      </c>
      <c r="E89" s="561" t="str">
        <f>VLOOKUP(507,Sprachindex!$A:$Z,Info!$O$7,FALSE)</f>
        <v>Kaminhut (1.000 × 700 mm)</v>
      </c>
      <c r="F89" s="562"/>
      <c r="G89" s="562"/>
      <c r="H89" s="562"/>
      <c r="I89" s="562"/>
      <c r="J89" s="562"/>
      <c r="K89" s="563"/>
      <c r="L89" s="79" t="str">
        <f t="shared" si="10"/>
        <v/>
      </c>
      <c r="M89" s="433" t="str">
        <f t="shared" si="0"/>
        <v>Stk.</v>
      </c>
      <c r="N89" s="80"/>
      <c r="O89" s="202" t="str">
        <f t="shared" si="16"/>
        <v/>
      </c>
      <c r="P89" s="5"/>
      <c r="Q89" s="5"/>
      <c r="R89" s="200">
        <v>165.6</v>
      </c>
      <c r="S89" s="195">
        <v>144.1</v>
      </c>
      <c r="T89" s="5"/>
      <c r="U89" s="5"/>
      <c r="V89" s="5"/>
      <c r="W89" s="5"/>
      <c r="X89" s="5"/>
      <c r="Y89" s="5"/>
      <c r="AC89" s="1"/>
      <c r="AD89" s="149">
        <f>ROUNDUP($A89,0)</f>
        <v>0</v>
      </c>
      <c r="AE89" s="149">
        <f t="shared" si="17"/>
        <v>0</v>
      </c>
      <c r="AH89" s="44">
        <v>110440</v>
      </c>
      <c r="AI89" s="44">
        <v>110441</v>
      </c>
      <c r="AJ89" s="44">
        <v>110442</v>
      </c>
      <c r="AK89" s="44">
        <v>110443</v>
      </c>
      <c r="AL89" s="44">
        <v>110444</v>
      </c>
      <c r="AM89" s="44">
        <v>110445</v>
      </c>
      <c r="AN89" s="44">
        <v>110446</v>
      </c>
      <c r="AO89" s="44">
        <v>110447</v>
      </c>
      <c r="AP89" s="44">
        <v>110448</v>
      </c>
      <c r="AQ89" s="44">
        <v>110449</v>
      </c>
    </row>
    <row r="90" spans="1:43" ht="32.1" customHeight="1">
      <c r="A90" s="98"/>
      <c r="B90" s="79" t="str">
        <f>VLOOKUP(878,Sprachindex!$A:$Z,Info!$O$7,FALSE)</f>
        <v>Stk.</v>
      </c>
      <c r="C90" s="81"/>
      <c r="D90" s="78">
        <f t="shared" si="15"/>
        <v>0</v>
      </c>
      <c r="E90" s="561" t="str">
        <f>VLOOKUP(508,Sprachindex!$A:$Z,Info!$O$7,FALSE)</f>
        <v>Kaminhut (1.100 × 800 mm)</v>
      </c>
      <c r="F90" s="562"/>
      <c r="G90" s="562"/>
      <c r="H90" s="562"/>
      <c r="I90" s="562"/>
      <c r="J90" s="562"/>
      <c r="K90" s="563"/>
      <c r="L90" s="79" t="str">
        <f t="shared" si="10"/>
        <v/>
      </c>
      <c r="M90" s="433" t="str">
        <f t="shared" si="0"/>
        <v>Stk.</v>
      </c>
      <c r="N90" s="80"/>
      <c r="O90" s="202" t="str">
        <f t="shared" si="16"/>
        <v/>
      </c>
      <c r="P90" s="5"/>
      <c r="Q90" s="5"/>
      <c r="R90" s="200">
        <v>198.5</v>
      </c>
      <c r="S90" s="195">
        <v>160.5</v>
      </c>
      <c r="T90" s="5"/>
      <c r="U90" s="5"/>
      <c r="V90" s="5"/>
      <c r="W90" s="5"/>
      <c r="X90" s="5"/>
      <c r="Y90" s="5"/>
      <c r="AC90" s="1"/>
      <c r="AD90" s="149">
        <f>ROUNDUP($A90,0)</f>
        <v>0</v>
      </c>
      <c r="AE90" s="149">
        <f t="shared" si="17"/>
        <v>0</v>
      </c>
      <c r="AH90" s="44">
        <v>110450</v>
      </c>
      <c r="AI90" s="44">
        <v>110451</v>
      </c>
      <c r="AJ90" s="44">
        <v>110452</v>
      </c>
      <c r="AK90" s="44">
        <v>110453</v>
      </c>
      <c r="AL90" s="44">
        <v>110454</v>
      </c>
      <c r="AM90" s="44">
        <v>110455</v>
      </c>
      <c r="AN90" s="44">
        <v>110456</v>
      </c>
      <c r="AO90" s="44">
        <v>110457</v>
      </c>
      <c r="AP90" s="44">
        <v>110458</v>
      </c>
      <c r="AQ90" s="44">
        <v>110459</v>
      </c>
    </row>
    <row r="91" spans="1:43" ht="32.1" customHeight="1">
      <c r="A91" s="98"/>
      <c r="B91" s="79" t="str">
        <f>VLOOKUP(878,Sprachindex!$A:$Z,Info!$O$7,FALSE)</f>
        <v>Stk.</v>
      </c>
      <c r="C91" s="81"/>
      <c r="D91" s="78">
        <f t="shared" si="15"/>
        <v>0</v>
      </c>
      <c r="E91" s="561" t="str">
        <f>VLOOKUP(509,Sprachindex!$A:$Z,Info!$O$7,FALSE)</f>
        <v>Kaminhut (1.500 × 800 mm)</v>
      </c>
      <c r="F91" s="562"/>
      <c r="G91" s="562"/>
      <c r="H91" s="562"/>
      <c r="I91" s="562"/>
      <c r="J91" s="562"/>
      <c r="K91" s="563"/>
      <c r="L91" s="79" t="str">
        <f t="shared" si="10"/>
        <v/>
      </c>
      <c r="M91" s="433" t="str">
        <f t="shared" si="0"/>
        <v>Stk.</v>
      </c>
      <c r="N91" s="80"/>
      <c r="O91" s="202" t="str">
        <f t="shared" si="16"/>
        <v/>
      </c>
      <c r="P91" s="5"/>
      <c r="Q91" s="5"/>
      <c r="R91" s="200">
        <v>271.39999999999998</v>
      </c>
      <c r="S91" s="195">
        <v>220.6</v>
      </c>
      <c r="T91" s="5"/>
      <c r="U91" s="5"/>
      <c r="V91" s="5"/>
      <c r="W91" s="5"/>
      <c r="X91" s="5"/>
      <c r="Y91" s="5"/>
      <c r="AC91" s="1"/>
      <c r="AD91" s="149">
        <f>ROUNDUP($A91,0)</f>
        <v>0</v>
      </c>
      <c r="AE91" s="149">
        <f t="shared" si="17"/>
        <v>0</v>
      </c>
      <c r="AH91" s="44">
        <v>110460</v>
      </c>
      <c r="AI91" s="44">
        <v>110461</v>
      </c>
      <c r="AJ91" s="44">
        <v>110462</v>
      </c>
      <c r="AK91" s="44">
        <v>110463</v>
      </c>
      <c r="AL91" s="44">
        <v>110464</v>
      </c>
      <c r="AM91" s="44">
        <v>110465</v>
      </c>
      <c r="AN91" s="44">
        <v>110466</v>
      </c>
      <c r="AO91" s="44">
        <v>110467</v>
      </c>
      <c r="AP91" s="44">
        <v>110468</v>
      </c>
      <c r="AQ91" s="44">
        <v>110469</v>
      </c>
    </row>
    <row r="92" spans="1:43" ht="32.1" customHeight="1">
      <c r="A92" s="98"/>
      <c r="B92" s="79" t="str">
        <f>VLOOKUP(878,Sprachindex!$A:$Z,Info!$O$7,FALSE)</f>
        <v>Stk.</v>
      </c>
      <c r="C92" s="78"/>
      <c r="D92" s="78">
        <f t="shared" si="15"/>
        <v>0</v>
      </c>
      <c r="E92" s="561" t="str">
        <f>VLOOKUP(512,Sprachindex!$A:$Z,Info!$O$7,FALSE)</f>
        <v>Kaminstrebe gebogen</v>
      </c>
      <c r="F92" s="562"/>
      <c r="G92" s="562"/>
      <c r="H92" s="562"/>
      <c r="I92" s="562"/>
      <c r="J92" s="562"/>
      <c r="K92" s="563"/>
      <c r="L92" s="79" t="str">
        <f t="shared" si="10"/>
        <v/>
      </c>
      <c r="M92" s="433" t="str">
        <f t="shared" si="0"/>
        <v>Stk.</v>
      </c>
      <c r="N92" s="80"/>
      <c r="O92" s="202" t="str">
        <f t="shared" si="16"/>
        <v/>
      </c>
      <c r="P92" s="5"/>
      <c r="Q92" s="5"/>
      <c r="R92" s="200">
        <v>16.77</v>
      </c>
      <c r="S92" s="195">
        <v>11.79</v>
      </c>
      <c r="T92" s="5"/>
      <c r="U92" s="5"/>
      <c r="V92" s="5"/>
      <c r="W92" s="5"/>
      <c r="X92" s="5"/>
      <c r="Y92" s="5"/>
      <c r="AC92" s="1"/>
      <c r="AD92" s="149">
        <f>ROUNDUP($A92/10,0)*10</f>
        <v>0</v>
      </c>
      <c r="AE92" s="149">
        <f t="shared" si="17"/>
        <v>0</v>
      </c>
      <c r="AH92" s="44">
        <v>110410</v>
      </c>
      <c r="AI92" s="44">
        <v>110411</v>
      </c>
      <c r="AJ92" s="44">
        <v>110412</v>
      </c>
      <c r="AK92" s="44">
        <v>110413</v>
      </c>
      <c r="AL92" s="44">
        <v>110414</v>
      </c>
      <c r="AM92" s="44">
        <v>110415</v>
      </c>
      <c r="AN92" s="44">
        <v>110416</v>
      </c>
      <c r="AO92" s="44">
        <v>110417</v>
      </c>
      <c r="AP92" s="44">
        <v>110418</v>
      </c>
      <c r="AQ92" s="44">
        <v>110419</v>
      </c>
    </row>
    <row r="93" spans="1:43" ht="32.1" customHeight="1">
      <c r="A93" s="98"/>
      <c r="B93" s="79" t="str">
        <f>VLOOKUP(1512,Sprachindex!$A:$Z,Info!$O$7,FALSE)</f>
        <v>lfm</v>
      </c>
      <c r="C93" s="81"/>
      <c r="D93" s="78">
        <f t="shared" si="15"/>
        <v>0</v>
      </c>
      <c r="E93" s="561" t="str">
        <f>VLOOKUP(402,Sprachindex!$A:$Z,Info!$O$7,FALSE)</f>
        <v>Flachprofil (35 × 7 × 3.000 mm)</v>
      </c>
      <c r="F93" s="562"/>
      <c r="G93" s="562"/>
      <c r="H93" s="562"/>
      <c r="I93" s="562"/>
      <c r="J93" s="562"/>
      <c r="K93" s="563"/>
      <c r="L93" s="79" t="str">
        <f t="shared" si="10"/>
        <v/>
      </c>
      <c r="M93" s="433" t="str">
        <f t="shared" si="0"/>
        <v>lfm</v>
      </c>
      <c r="N93" s="80"/>
      <c r="O93" s="202" t="str">
        <f t="shared" si="16"/>
        <v/>
      </c>
      <c r="P93" s="5"/>
      <c r="Q93" s="5"/>
      <c r="R93" s="200">
        <v>11.32</v>
      </c>
      <c r="S93" s="195">
        <v>8.19</v>
      </c>
      <c r="T93" s="5"/>
      <c r="U93" s="5"/>
      <c r="V93" s="5"/>
      <c r="W93" s="5"/>
      <c r="X93" s="5"/>
      <c r="Y93" s="5"/>
      <c r="AC93" s="1"/>
      <c r="AD93" s="149">
        <f>ROUNDUP($A93/3,0)*3</f>
        <v>0</v>
      </c>
      <c r="AE93" s="149">
        <f>ROUNDUP($A93/3,0)*3</f>
        <v>0</v>
      </c>
      <c r="AH93" s="44">
        <v>110400</v>
      </c>
      <c r="AI93" s="44">
        <v>110401</v>
      </c>
      <c r="AJ93" s="44">
        <v>110402</v>
      </c>
      <c r="AK93" s="44">
        <v>110403</v>
      </c>
      <c r="AL93" s="44">
        <v>110404</v>
      </c>
      <c r="AM93" s="44">
        <v>110405</v>
      </c>
      <c r="AN93" s="44">
        <v>110406</v>
      </c>
      <c r="AO93" s="44">
        <v>110407</v>
      </c>
      <c r="AP93" s="44">
        <v>110408</v>
      </c>
      <c r="AQ93" s="117" t="s">
        <v>74</v>
      </c>
    </row>
    <row r="94" spans="1:43" ht="32.1" customHeight="1">
      <c r="A94" s="98"/>
      <c r="B94" s="79" t="str">
        <f>VLOOKUP(878,Sprachindex!$A:$Z,Info!$O$7,FALSE)</f>
        <v>Stk.</v>
      </c>
      <c r="C94" s="81"/>
      <c r="D94" s="78">
        <f t="shared" si="15"/>
        <v>0</v>
      </c>
      <c r="E94" s="561" t="str">
        <f>VLOOKUP(459,Sprachindex!$A:$Z,Info!$O$7,FALSE)</f>
        <v>Hauerbuckel; zum Abdecken von Befestigungsmitteln</v>
      </c>
      <c r="F94" s="562"/>
      <c r="G94" s="562"/>
      <c r="H94" s="562"/>
      <c r="I94" s="562"/>
      <c r="J94" s="562"/>
      <c r="K94" s="563"/>
      <c r="L94" s="79" t="str">
        <f t="shared" si="10"/>
        <v/>
      </c>
      <c r="M94" s="433" t="str">
        <f t="shared" si="0"/>
        <v>Stk.</v>
      </c>
      <c r="N94" s="80"/>
      <c r="O94" s="202" t="str">
        <f t="shared" si="16"/>
        <v/>
      </c>
      <c r="P94" s="5"/>
      <c r="Q94" s="5"/>
      <c r="R94" s="200">
        <v>2.06</v>
      </c>
      <c r="S94" s="195"/>
      <c r="T94" s="5"/>
      <c r="U94" s="5"/>
      <c r="V94" s="5"/>
      <c r="W94" s="5"/>
      <c r="X94" s="5"/>
      <c r="Y94" s="5"/>
      <c r="AC94" s="1"/>
      <c r="AD94" s="149">
        <f>ROUNDUP($A94,0)</f>
        <v>0</v>
      </c>
      <c r="AE94" s="149">
        <f>ROUNDUP($A94,0)</f>
        <v>0</v>
      </c>
      <c r="AH94" s="44">
        <v>112401</v>
      </c>
      <c r="AI94" s="44">
        <v>112402</v>
      </c>
      <c r="AJ94" s="44">
        <v>112403</v>
      </c>
      <c r="AK94" s="44">
        <v>112404</v>
      </c>
      <c r="AL94" s="44">
        <v>112405</v>
      </c>
      <c r="AM94" s="44">
        <v>112406</v>
      </c>
      <c r="AN94" s="44">
        <v>112407</v>
      </c>
      <c r="AO94" s="44">
        <v>112408</v>
      </c>
      <c r="AP94" s="44">
        <v>112409</v>
      </c>
      <c r="AQ94" s="44">
        <v>112410</v>
      </c>
    </row>
    <row r="95" spans="1:43" ht="32.1" customHeight="1">
      <c r="A95" s="98"/>
      <c r="B95" s="79" t="str">
        <f>VLOOKUP(878,Sprachindex!$A:$Z,Info!$O$7,FALSE)</f>
        <v>Stk.</v>
      </c>
      <c r="C95" s="81"/>
      <c r="D95" s="78">
        <v>340404</v>
      </c>
      <c r="E95" s="561" t="str">
        <f>VLOOKUP(1422,Sprachindex!$A:$Z,Info!$O$7,FALSE)</f>
        <v>Dachleitungshalter für Blitzschutzdraht</v>
      </c>
      <c r="F95" s="562"/>
      <c r="G95" s="562"/>
      <c r="H95" s="562"/>
      <c r="I95" s="562"/>
      <c r="J95" s="562"/>
      <c r="K95" s="563"/>
      <c r="L95" s="79" t="str">
        <f t="shared" si="10"/>
        <v/>
      </c>
      <c r="M95" s="433" t="str">
        <f t="shared" si="0"/>
        <v>Stk.</v>
      </c>
      <c r="N95" s="80"/>
      <c r="O95" s="202" t="str">
        <f t="shared" si="16"/>
        <v/>
      </c>
      <c r="P95" s="5"/>
      <c r="Q95" s="5"/>
      <c r="R95" s="200">
        <v>7.16</v>
      </c>
      <c r="S95" s="195"/>
      <c r="T95" s="5"/>
      <c r="U95" s="5"/>
      <c r="V95" s="5"/>
      <c r="W95" s="5"/>
      <c r="X95" s="5"/>
      <c r="Y95" s="5"/>
      <c r="AC95" s="1"/>
      <c r="AD95" s="149">
        <f>ROUNDUP($A95/50,0)*50</f>
        <v>0</v>
      </c>
      <c r="AE95" s="149">
        <f t="shared" ref="AE95:AE103" si="18">ROUNDUP($A95,0)</f>
        <v>0</v>
      </c>
      <c r="AH95" s="125"/>
      <c r="AI95" s="125"/>
      <c r="AJ95" s="125"/>
      <c r="AK95" s="125"/>
      <c r="AL95" s="125"/>
      <c r="AM95" s="125"/>
      <c r="AN95" s="125"/>
      <c r="AO95" s="125"/>
      <c r="AP95" s="125"/>
      <c r="AQ95" s="125"/>
    </row>
    <row r="96" spans="1:43" ht="32.1" customHeight="1">
      <c r="A96" s="98"/>
      <c r="B96" s="79" t="str">
        <f>VLOOKUP(878,Sprachindex!$A:$Z,Info!$O$7,FALSE)</f>
        <v>Stk.</v>
      </c>
      <c r="C96" s="78"/>
      <c r="D96" s="78">
        <v>420501</v>
      </c>
      <c r="E96" s="581" t="str">
        <f>VLOOKUP(851,Sprachindex!$A:$Z,Info!$O$7,FALSE)</f>
        <v>Spezialkleber</v>
      </c>
      <c r="F96" s="582"/>
      <c r="G96" s="582"/>
      <c r="H96" s="582"/>
      <c r="I96" s="582"/>
      <c r="J96" s="582"/>
      <c r="K96" s="583"/>
      <c r="L96" s="79" t="str">
        <f t="shared" si="10"/>
        <v/>
      </c>
      <c r="M96" s="433" t="str">
        <f t="shared" ref="M96:M103" si="19">B96</f>
        <v>Stk.</v>
      </c>
      <c r="N96" s="80"/>
      <c r="O96" s="202" t="str">
        <f t="shared" si="16"/>
        <v/>
      </c>
      <c r="P96" s="5"/>
      <c r="Q96" s="5"/>
      <c r="R96" s="200">
        <v>39.130000000000003</v>
      </c>
      <c r="S96" s="195"/>
      <c r="T96" s="5"/>
      <c r="U96" s="5"/>
      <c r="V96" s="5"/>
      <c r="W96" s="5"/>
      <c r="X96" s="5"/>
      <c r="Y96" s="5"/>
      <c r="AC96" s="1"/>
      <c r="AD96" s="149">
        <f>ROUNDUP($A96/24,0)*24</f>
        <v>0</v>
      </c>
      <c r="AE96" s="149">
        <f t="shared" si="18"/>
        <v>0</v>
      </c>
    </row>
    <row r="97" spans="1:53" ht="32.1" customHeight="1">
      <c r="A97" s="98"/>
      <c r="B97" s="79" t="str">
        <f>VLOOKUP(821,Sprachindex!$A:$Z,Info!$O$7,FALSE)</f>
        <v>Set</v>
      </c>
      <c r="C97" s="81"/>
      <c r="D97" s="78">
        <v>420500</v>
      </c>
      <c r="E97" s="561" t="str">
        <f>VLOOKUP(852,Sprachindex!$A:$Z,Info!$O$7,FALSE)</f>
        <v>Spezialkleberset</v>
      </c>
      <c r="F97" s="562"/>
      <c r="G97" s="562"/>
      <c r="H97" s="562"/>
      <c r="I97" s="562"/>
      <c r="J97" s="562"/>
      <c r="K97" s="563"/>
      <c r="L97" s="79" t="str">
        <f t="shared" si="10"/>
        <v/>
      </c>
      <c r="M97" s="433" t="str">
        <f t="shared" si="19"/>
        <v>Set</v>
      </c>
      <c r="N97" s="80"/>
      <c r="O97" s="202" t="str">
        <f t="shared" si="16"/>
        <v/>
      </c>
      <c r="P97" s="5"/>
      <c r="Q97" s="5"/>
      <c r="R97" s="200">
        <v>53.57</v>
      </c>
      <c r="S97" s="195"/>
      <c r="T97" s="5"/>
      <c r="U97" s="5"/>
      <c r="V97" s="5"/>
      <c r="W97" s="5"/>
      <c r="X97" s="5"/>
      <c r="Y97" s="5"/>
      <c r="AC97" s="1"/>
      <c r="AD97" s="149">
        <f>ROUNDUP($A97,0)</f>
        <v>0</v>
      </c>
      <c r="AE97" s="149">
        <f t="shared" si="18"/>
        <v>0</v>
      </c>
    </row>
    <row r="98" spans="1:53" ht="32.1" customHeight="1">
      <c r="A98" s="98"/>
      <c r="B98" s="79" t="str">
        <f>VLOOKUP(878,Sprachindex!$A:$Z,Info!$O$7,FALSE)</f>
        <v>Stk.</v>
      </c>
      <c r="C98" s="81"/>
      <c r="D98" s="78">
        <v>340415</v>
      </c>
      <c r="E98" s="561" t="str">
        <f>VLOOKUP(184,Sprachindex!$A:$Z,Info!$O$7,FALSE)</f>
        <v>Aufsparrenschraubenpaket</v>
      </c>
      <c r="F98" s="562"/>
      <c r="G98" s="562"/>
      <c r="H98" s="562"/>
      <c r="I98" s="562"/>
      <c r="J98" s="562"/>
      <c r="K98" s="563"/>
      <c r="L98" s="79" t="str">
        <f>IF($A98=0,"",IF($Z$11=1,AD98,AE98))</f>
        <v/>
      </c>
      <c r="M98" s="433" t="str">
        <f t="shared" si="19"/>
        <v>Stk.</v>
      </c>
      <c r="N98" s="80"/>
      <c r="O98" s="202" t="str">
        <f t="shared" si="16"/>
        <v/>
      </c>
      <c r="P98" s="5"/>
      <c r="Q98" s="5"/>
      <c r="R98" s="200">
        <v>26.02</v>
      </c>
      <c r="S98" s="195"/>
      <c r="T98" s="5"/>
      <c r="U98" s="5"/>
      <c r="V98" s="5"/>
      <c r="W98" s="5"/>
      <c r="X98" s="5"/>
      <c r="Y98" s="5"/>
      <c r="AC98" s="1"/>
      <c r="AD98" s="149">
        <f>ROUNDUP($A98,0)</f>
        <v>0</v>
      </c>
      <c r="AE98" s="149">
        <f t="shared" si="18"/>
        <v>0</v>
      </c>
    </row>
    <row r="99" spans="1:53" ht="32.1" customHeight="1">
      <c r="A99" s="98"/>
      <c r="B99" s="79" t="str">
        <f>VLOOKUP(878,Sprachindex!$A:$Z,Info!$O$7,FALSE)</f>
        <v>Stk.</v>
      </c>
      <c r="C99" s="81"/>
      <c r="D99" s="78">
        <v>340416</v>
      </c>
      <c r="E99" s="561" t="str">
        <f>VLOOKUP(183,Sprachindex!$A:$Z,Info!$O$7,FALSE)</f>
        <v>Aufsparrenmontagepaket</v>
      </c>
      <c r="F99" s="562"/>
      <c r="G99" s="562"/>
      <c r="H99" s="562"/>
      <c r="I99" s="562"/>
      <c r="J99" s="562"/>
      <c r="K99" s="563"/>
      <c r="L99" s="79" t="str">
        <f>IF($A99=0,"",IF($Z$11=1,AD99,AE99))</f>
        <v/>
      </c>
      <c r="M99" s="433" t="str">
        <f t="shared" si="19"/>
        <v>Stk.</v>
      </c>
      <c r="N99" s="80"/>
      <c r="O99" s="202" t="str">
        <f t="shared" si="16"/>
        <v/>
      </c>
      <c r="P99" s="5"/>
      <c r="Q99" s="5"/>
      <c r="R99" s="200">
        <v>43.62</v>
      </c>
      <c r="S99" s="195"/>
      <c r="T99" s="5"/>
      <c r="U99" s="5"/>
      <c r="V99" s="5"/>
      <c r="W99" s="5"/>
      <c r="X99" s="5"/>
      <c r="Y99" s="5"/>
      <c r="AC99" s="1"/>
      <c r="AD99" s="149">
        <f>ROUNDUP($A99,0)</f>
        <v>0</v>
      </c>
      <c r="AE99" s="149">
        <f t="shared" si="18"/>
        <v>0</v>
      </c>
    </row>
    <row r="100" spans="1:53" ht="32.1" customHeight="1">
      <c r="A100" s="98"/>
      <c r="B100" s="79" t="str">
        <f>VLOOKUP(878,Sprachindex!$A:$Z,Info!$O$7,FALSE)</f>
        <v>Stk.</v>
      </c>
      <c r="C100" s="81"/>
      <c r="D100" s="78">
        <v>119008</v>
      </c>
      <c r="E100" s="561" t="str">
        <f>VLOOKUP(2237,Sprachindex!$A:$Z,Info!$O$7,FALSE)</f>
        <v>Taurus-BEF-10 auf Fußteilen</v>
      </c>
      <c r="F100" s="562"/>
      <c r="G100" s="562"/>
      <c r="H100" s="562"/>
      <c r="I100" s="562"/>
      <c r="J100" s="562"/>
      <c r="K100" s="563"/>
      <c r="L100" s="79" t="str">
        <f>IF($A100=0,"",IF($Z$11=1,AD100,AE100))</f>
        <v/>
      </c>
      <c r="M100" s="171" t="str">
        <f>VLOOKUP(878,Sprachindex!$A:$Z,Info!$O$7,FALSE)</f>
        <v>Stk.</v>
      </c>
      <c r="N100" s="80"/>
      <c r="O100" s="202" t="str">
        <f t="shared" si="16"/>
        <v/>
      </c>
      <c r="P100" s="5"/>
      <c r="Q100" s="5"/>
      <c r="R100" s="200">
        <v>138.6</v>
      </c>
      <c r="S100" s="195"/>
      <c r="T100" s="195"/>
      <c r="U100" s="195"/>
      <c r="V100" s="195"/>
      <c r="W100" s="195"/>
      <c r="X100" s="195"/>
      <c r="Y100" s="195"/>
      <c r="Z100" s="195"/>
      <c r="AA100" s="195"/>
      <c r="AB100" s="195"/>
      <c r="AC100" s="135"/>
      <c r="AD100" s="149">
        <f t="shared" ref="AD100:AE101" si="20">ROUNDUP($A100,0)</f>
        <v>0</v>
      </c>
      <c r="AE100" s="149">
        <f t="shared" si="20"/>
        <v>0</v>
      </c>
      <c r="AF100" s="145"/>
    </row>
    <row r="101" spans="1:53" ht="32.1" customHeight="1">
      <c r="A101" s="98"/>
      <c r="B101" s="79" t="str">
        <f>VLOOKUP(878,Sprachindex!$A:$Z,Info!$O$7,FALSE)</f>
        <v>Stk.</v>
      </c>
      <c r="C101" s="81"/>
      <c r="D101" s="78">
        <v>120268</v>
      </c>
      <c r="E101" s="561" t="str">
        <f>VLOOKUP(2238,Sprachindex!$A:$Z,Info!$O$7,FALSE)</f>
        <v>Einzelanschlagspunkt auf Fußteilen</v>
      </c>
      <c r="F101" s="562"/>
      <c r="G101" s="562"/>
      <c r="H101" s="562"/>
      <c r="I101" s="562"/>
      <c r="J101" s="562"/>
      <c r="K101" s="563"/>
      <c r="L101" s="79" t="str">
        <f>IF($A101=0,"",IF($Z$11=1,AD101,AE101))</f>
        <v/>
      </c>
      <c r="M101" s="171" t="str">
        <f>VLOOKUP(878,Sprachindex!$A:$Z,Info!$O$7,FALSE)</f>
        <v>Stk.</v>
      </c>
      <c r="N101" s="80"/>
      <c r="O101" s="202" t="str">
        <f t="shared" si="16"/>
        <v/>
      </c>
      <c r="P101" s="5"/>
      <c r="Q101" s="5"/>
      <c r="R101" s="200">
        <v>135.6</v>
      </c>
      <c r="S101" s="195"/>
      <c r="T101" s="195"/>
      <c r="U101" s="195"/>
      <c r="V101" s="195"/>
      <c r="W101" s="195"/>
      <c r="X101" s="195"/>
      <c r="Y101" s="195"/>
      <c r="Z101" s="195"/>
      <c r="AA101" s="195"/>
      <c r="AB101" s="195"/>
      <c r="AC101" s="135"/>
      <c r="AD101" s="149">
        <f t="shared" si="20"/>
        <v>0</v>
      </c>
      <c r="AE101" s="149">
        <f t="shared" si="20"/>
        <v>0</v>
      </c>
      <c r="AF101" s="145"/>
    </row>
    <row r="102" spans="1:53" ht="32.1" customHeight="1">
      <c r="A102" s="98"/>
      <c r="B102" s="79" t="str">
        <f>VLOOKUP(531,Sprachindex!$A:$Z,Info!$O$7,FALSE)</f>
        <v>kg</v>
      </c>
      <c r="C102" s="81"/>
      <c r="D102" s="81" t="str">
        <f>IF(I102=Formeln!A107,AL102,IF(I102=Formeln!A108,AH102,IF(I102=Formeln!A109,AI102,IF(I102=Formeln!A111,AK102,""))))</f>
        <v/>
      </c>
      <c r="E102" s="570" t="str">
        <f>VLOOKUP(583,Sprachindex!$A:$Z,Info!$O$7,FALSE)</f>
        <v>Lochblech (⌀ 5 mm) ca. 24 kg/Rolle (0,7 × 1.000 mm)</v>
      </c>
      <c r="F102" s="571"/>
      <c r="G102" s="571"/>
      <c r="H102" s="571"/>
      <c r="I102" s="572"/>
      <c r="J102" s="573"/>
      <c r="K102" s="573"/>
      <c r="L102" s="79" t="str">
        <f>IF($A102=0,"",IF($I102=Formeln!$A$106," ",IF($Z$11=1,AD102,AE102)))</f>
        <v/>
      </c>
      <c r="M102" s="433" t="str">
        <f t="shared" si="19"/>
        <v>kg</v>
      </c>
      <c r="N102" s="80"/>
      <c r="O102" s="202" t="str">
        <f t="shared" si="16"/>
        <v/>
      </c>
      <c r="P102" s="5"/>
      <c r="Q102" s="5"/>
      <c r="R102" s="200"/>
      <c r="S102" s="195"/>
      <c r="T102" s="5"/>
      <c r="U102" s="5"/>
      <c r="V102" s="5"/>
      <c r="W102" s="5"/>
      <c r="X102" s="5"/>
      <c r="Y102" s="5"/>
      <c r="AC102" s="1"/>
      <c r="AD102" s="149">
        <f>ROUNDUP($A102/24,0)*24</f>
        <v>0</v>
      </c>
      <c r="AE102" s="149">
        <f t="shared" si="18"/>
        <v>0</v>
      </c>
      <c r="AF102" s="8" t="str">
        <f>IF(A102&gt;24, Formeln!A119, Formeln!A118)</f>
        <v>Rolle</v>
      </c>
      <c r="AH102" s="44">
        <v>507202</v>
      </c>
      <c r="AI102" s="44">
        <v>507203</v>
      </c>
      <c r="AJ102" s="44"/>
      <c r="AK102" s="44">
        <v>507205</v>
      </c>
      <c r="AL102" s="44">
        <v>507206</v>
      </c>
    </row>
    <row r="103" spans="1:53" ht="49.95" customHeight="1">
      <c r="A103" s="98"/>
      <c r="B103" s="79" t="str">
        <f>VLOOKUP(531,Sprachindex!$A:$Z,Info!$O$7,FALSE)</f>
        <v>kg</v>
      </c>
      <c r="C103" s="81"/>
      <c r="D103" s="81" t="str">
        <f>IF(AND(I103=Formeln!A24,K103=Formeln!A129),AH103,IF(AND(I103=Formeln!A24,K103=Formeln!A132),AI103,IF(AND(I103=Formeln!A24,K103=Formeln!A134),AJ103,IF(AND(I103=Formeln!A24,K103=Formeln!A128),AK103,IF(AND(I103=Formeln!A24,K103=Formeln!A137),AL103,IF(AND(I103=Formeln!A24,K103=Formeln!A131),AM103,IF(AND(I103=Formeln!A24,K103=Formeln!A135),AN103,IF(AND(I103=Formeln!A24,K103=Formeln!A133),AO103,IF(AND(I103=Formeln!A24,K103=Formeln!A130),AP103,IF(AND(I103=Formeln!A24,K103=Formeln!A136),AQ103,IF(AND(I103=Formeln!A25,K103=Formeln!A129),AR103,IF(AND(I103=Formeln!A25,K103=Formeln!A132),AS103,IF(AND(I103=Formeln!A25,K103=Formeln!A134),AT103,IF(AND(I103=Formeln!A25,K103=Formeln!A128),AU103,IF(AND(I103=Formeln!A25,K103=Formeln!A137),AV103,IF(AND(I103=Formeln!A25,K103=Formeln!A131),AW103,IF(AND(I103=Formeln!A25,K103=Formeln!A135),AX103,IF(AND(I103=Formeln!A25,K103=Formeln!A133),AY103,IF(AND(I103=Formeln!A25,K103=Formeln!A130),AZ103,IF(AND(I103=Formeln!A25,K103=Formeln!A136),BA103,""))))))))))))))))))))</f>
        <v/>
      </c>
      <c r="E103" s="561" t="str">
        <f>VLOOKUP(669,Sprachindex!$A:$Z,Info!$O$7,FALSE)</f>
        <v>PREFALZ Ergänzungsband; 0,7 × 1.000 mm (für Zusatzverblechungen)</v>
      </c>
      <c r="F103" s="562"/>
      <c r="G103" s="562"/>
      <c r="H103" s="85" t="str">
        <f>VLOOKUP(638,Sprachindex!$A:$Z,Info!$O$7,FALSE)</f>
        <v>Oberfläche:</v>
      </c>
      <c r="I103" s="86"/>
      <c r="J103" s="84" t="str">
        <f>VLOOKUP(385,Sprachindex!$A:$Z,Info!$O$7,FALSE)</f>
        <v>Farbe:</v>
      </c>
      <c r="K103" s="172"/>
      <c r="L103" s="79" t="str">
        <f>IF($A103=0,"",IF(OR($I103=Formeln!$A$23,$K103=Formeln!$A$127)," ",IF($Z$11=1,AD103,AE103)))</f>
        <v/>
      </c>
      <c r="M103" s="433" t="str">
        <f t="shared" si="19"/>
        <v>kg</v>
      </c>
      <c r="N103" s="80"/>
      <c r="O103" s="202" t="str">
        <f t="shared" si="16"/>
        <v/>
      </c>
      <c r="P103" s="5"/>
      <c r="Q103" s="5"/>
      <c r="R103" s="200"/>
      <c r="S103" s="195"/>
      <c r="T103" s="5"/>
      <c r="U103" s="5"/>
      <c r="V103" s="5"/>
      <c r="W103" s="5"/>
      <c r="X103" s="5"/>
      <c r="Y103" s="5"/>
      <c r="AC103" s="1"/>
      <c r="AD103" s="161">
        <f>ROUNDUP($A103/30,0)*30</f>
        <v>0</v>
      </c>
      <c r="AE103" s="161">
        <f t="shared" si="18"/>
        <v>0</v>
      </c>
      <c r="AF103" s="8" t="str">
        <f>IF(A103&gt;60, Formeln!A119, Formeln!A118)</f>
        <v>Rolle</v>
      </c>
      <c r="AH103" s="117" t="s">
        <v>76</v>
      </c>
      <c r="AI103" s="117" t="s">
        <v>77</v>
      </c>
      <c r="AJ103" s="117" t="s">
        <v>78</v>
      </c>
      <c r="AK103" s="117" t="s">
        <v>99</v>
      </c>
      <c r="AL103" s="117" t="s">
        <v>79</v>
      </c>
      <c r="AM103" s="117" t="s">
        <v>80</v>
      </c>
      <c r="AN103" s="117" t="s">
        <v>81</v>
      </c>
      <c r="AO103" s="117" t="s">
        <v>82</v>
      </c>
      <c r="AP103" s="117" t="s">
        <v>83</v>
      </c>
      <c r="AQ103" s="117" t="s">
        <v>84</v>
      </c>
      <c r="AR103" s="117" t="s">
        <v>85</v>
      </c>
      <c r="AS103" s="117" t="s">
        <v>86</v>
      </c>
      <c r="AT103" s="117" t="s">
        <v>87</v>
      </c>
      <c r="AU103" s="117" t="s">
        <v>88</v>
      </c>
      <c r="AV103" s="117" t="s">
        <v>89</v>
      </c>
      <c r="AW103" s="117" t="s">
        <v>90</v>
      </c>
      <c r="AX103" s="117" t="s">
        <v>91</v>
      </c>
      <c r="AY103" s="117" t="s">
        <v>92</v>
      </c>
      <c r="AZ103" s="117" t="s">
        <v>93</v>
      </c>
      <c r="BA103" s="117" t="s">
        <v>94</v>
      </c>
    </row>
    <row r="104" spans="1:53" ht="32.1" customHeight="1">
      <c r="A104" s="98"/>
      <c r="B104" s="104"/>
      <c r="C104" s="104"/>
      <c r="D104" s="104"/>
      <c r="E104" s="575"/>
      <c r="F104" s="576"/>
      <c r="G104" s="576"/>
      <c r="H104" s="576"/>
      <c r="I104" s="576"/>
      <c r="J104" s="576"/>
      <c r="K104" s="577"/>
      <c r="L104" s="104"/>
      <c r="M104" s="433"/>
      <c r="N104" s="447"/>
      <c r="O104" s="202"/>
      <c r="P104" s="5"/>
      <c r="Q104" s="5"/>
      <c r="R104" s="200"/>
      <c r="S104" s="195"/>
      <c r="T104" s="5"/>
      <c r="U104" s="5"/>
      <c r="V104" s="5"/>
      <c r="W104" s="5"/>
      <c r="X104" s="5"/>
      <c r="Y104" s="5"/>
      <c r="AC104" s="1"/>
      <c r="AD104" s="8"/>
      <c r="AE104" s="8"/>
      <c r="AH104" s="47" t="s">
        <v>33</v>
      </c>
      <c r="AI104" s="47" t="s">
        <v>34</v>
      </c>
      <c r="AJ104" s="47" t="s">
        <v>35</v>
      </c>
      <c r="AK104" s="47" t="s">
        <v>36</v>
      </c>
      <c r="AL104" s="47" t="s">
        <v>37</v>
      </c>
      <c r="AM104" s="47" t="s">
        <v>38</v>
      </c>
      <c r="AN104" s="47" t="s">
        <v>39</v>
      </c>
      <c r="AO104" s="47" t="s">
        <v>40</v>
      </c>
      <c r="AP104" s="47" t="s">
        <v>41</v>
      </c>
      <c r="AQ104" s="47" t="s">
        <v>42</v>
      </c>
      <c r="AR104" s="47" t="s">
        <v>33</v>
      </c>
      <c r="AS104" s="47" t="s">
        <v>34</v>
      </c>
      <c r="AT104" s="47" t="s">
        <v>35</v>
      </c>
      <c r="AU104" s="47" t="s">
        <v>36</v>
      </c>
      <c r="AV104" s="47" t="s">
        <v>37</v>
      </c>
      <c r="AW104" s="47" t="s">
        <v>38</v>
      </c>
      <c r="AX104" s="47" t="s">
        <v>39</v>
      </c>
      <c r="AY104" s="47" t="s">
        <v>40</v>
      </c>
      <c r="AZ104" s="47" t="s">
        <v>41</v>
      </c>
      <c r="BA104" s="47" t="s">
        <v>42</v>
      </c>
    </row>
    <row r="105" spans="1:53" ht="32.1" customHeight="1">
      <c r="A105" s="98"/>
      <c r="B105" s="104"/>
      <c r="C105" s="104"/>
      <c r="D105" s="104"/>
      <c r="E105" s="575"/>
      <c r="F105" s="576"/>
      <c r="G105" s="576"/>
      <c r="H105" s="576"/>
      <c r="I105" s="576"/>
      <c r="J105" s="576"/>
      <c r="K105" s="577"/>
      <c r="L105" s="104"/>
      <c r="M105" s="433"/>
      <c r="N105" s="447"/>
      <c r="O105" s="202"/>
      <c r="P105" s="5"/>
      <c r="Q105" s="5"/>
      <c r="R105" s="200"/>
      <c r="S105" s="195"/>
      <c r="T105" s="5"/>
      <c r="U105" s="5"/>
      <c r="V105" s="5"/>
      <c r="W105" s="5"/>
      <c r="X105" s="5"/>
      <c r="Y105" s="5"/>
      <c r="AC105" s="1"/>
      <c r="AD105" s="8"/>
      <c r="AE105" s="8"/>
    </row>
    <row r="106" spans="1:53" ht="32.1" customHeight="1" thickBot="1">
      <c r="A106" s="153"/>
      <c r="B106" s="154"/>
      <c r="C106" s="154"/>
      <c r="D106" s="154"/>
      <c r="E106" s="578"/>
      <c r="F106" s="579"/>
      <c r="G106" s="579"/>
      <c r="H106" s="579"/>
      <c r="I106" s="579"/>
      <c r="J106" s="579"/>
      <c r="K106" s="580"/>
      <c r="L106" s="154"/>
      <c r="M106" s="434"/>
      <c r="N106" s="448"/>
      <c r="O106" s="225"/>
      <c r="P106" s="5"/>
      <c r="Q106" s="5"/>
      <c r="R106" s="200"/>
      <c r="S106" s="195"/>
      <c r="T106" s="5"/>
      <c r="U106" s="5"/>
      <c r="V106" s="5"/>
      <c r="W106" s="5"/>
      <c r="X106" s="5"/>
      <c r="Y106" s="5"/>
      <c r="AC106" s="1"/>
      <c r="AD106" s="8"/>
      <c r="AE106" s="8"/>
    </row>
    <row r="107" spans="1:53" ht="15" customHeight="1">
      <c r="A107" s="70"/>
      <c r="B107" s="70"/>
      <c r="C107" s="70"/>
      <c r="D107" s="564"/>
      <c r="E107" s="564"/>
      <c r="F107" s="564"/>
      <c r="G107" s="564"/>
      <c r="H107" s="564"/>
      <c r="I107" s="564"/>
      <c r="J107" s="564"/>
      <c r="K107" s="564"/>
      <c r="L107" s="564"/>
      <c r="M107" s="564"/>
      <c r="N107" s="564"/>
      <c r="O107" s="225"/>
      <c r="P107" s="5"/>
      <c r="Q107" s="5"/>
      <c r="R107" s="200"/>
      <c r="S107" s="195"/>
      <c r="T107" s="5"/>
      <c r="U107" s="5"/>
      <c r="V107" s="5"/>
      <c r="W107" s="5"/>
      <c r="X107" s="5"/>
      <c r="Y107" s="5"/>
    </row>
    <row r="108" spans="1:53" ht="17.399999999999999">
      <c r="A108" s="70"/>
      <c r="B108" s="70"/>
      <c r="C108" s="89" t="str">
        <f>VLOOKUP(1035,Sprachindex!$A:$Z,Info!$O$7,FALSE)</f>
        <v>Zusatzvermerk:</v>
      </c>
      <c r="D108" s="565"/>
      <c r="E108" s="565"/>
      <c r="F108" s="565"/>
      <c r="G108" s="565"/>
      <c r="H108" s="565"/>
      <c r="I108" s="565"/>
      <c r="J108" s="565"/>
      <c r="K108" s="565"/>
      <c r="L108" s="565"/>
      <c r="M108" s="565"/>
      <c r="N108" s="565"/>
      <c r="O108" s="196">
        <f>SUM(O31:O106)</f>
        <v>0</v>
      </c>
      <c r="P108" s="204"/>
      <c r="Q108" s="204"/>
      <c r="R108" s="195"/>
      <c r="S108" s="195"/>
      <c r="T108" s="204"/>
      <c r="U108" s="204"/>
      <c r="V108" s="204"/>
      <c r="W108" s="204"/>
      <c r="X108" s="204"/>
      <c r="Y108" s="204"/>
    </row>
    <row r="109" spans="1:53" ht="17.399999999999999">
      <c r="A109" s="70"/>
      <c r="B109" s="70"/>
      <c r="C109" s="70"/>
      <c r="D109" s="566"/>
      <c r="E109" s="566"/>
      <c r="F109" s="566"/>
      <c r="G109" s="566"/>
      <c r="H109" s="566"/>
      <c r="I109" s="566"/>
      <c r="J109" s="566"/>
      <c r="K109" s="566"/>
      <c r="L109" s="566"/>
      <c r="M109" s="566"/>
      <c r="N109" s="566"/>
      <c r="O109" s="204"/>
      <c r="P109" s="204"/>
      <c r="Q109" s="204"/>
      <c r="R109" s="204"/>
      <c r="S109" s="204"/>
      <c r="T109" s="204"/>
      <c r="U109" s="204"/>
      <c r="V109" s="204"/>
      <c r="W109" s="204"/>
      <c r="X109" s="204"/>
      <c r="Y109" s="204"/>
    </row>
    <row r="110" spans="1:53" ht="17.399999999999999">
      <c r="A110" s="70"/>
      <c r="B110" s="70"/>
      <c r="C110" s="70"/>
      <c r="D110" s="565"/>
      <c r="E110" s="565"/>
      <c r="F110" s="565"/>
      <c r="G110" s="565"/>
      <c r="H110" s="565"/>
      <c r="I110" s="565"/>
      <c r="J110" s="565"/>
      <c r="K110" s="565"/>
      <c r="L110" s="565"/>
      <c r="M110" s="565"/>
      <c r="N110" s="565"/>
      <c r="O110" s="204"/>
      <c r="P110" s="204"/>
      <c r="Q110" s="204"/>
      <c r="R110" s="204"/>
      <c r="S110" s="204"/>
      <c r="T110" s="204"/>
      <c r="U110" s="204"/>
      <c r="V110" s="204"/>
      <c r="W110" s="204"/>
      <c r="X110" s="204"/>
      <c r="Y110" s="204"/>
    </row>
    <row r="111" spans="1:53" ht="17.399999999999999">
      <c r="A111" s="70"/>
      <c r="B111" s="70"/>
      <c r="C111" s="70"/>
      <c r="D111" s="566"/>
      <c r="E111" s="566"/>
      <c r="F111" s="566"/>
      <c r="G111" s="566"/>
      <c r="H111" s="566"/>
      <c r="I111" s="566"/>
      <c r="J111" s="566"/>
      <c r="K111" s="566"/>
      <c r="L111" s="566"/>
      <c r="M111" s="566"/>
      <c r="N111" s="566"/>
      <c r="O111" s="204"/>
      <c r="P111" s="204"/>
      <c r="Q111" s="204"/>
      <c r="R111" s="204"/>
      <c r="S111" s="204"/>
      <c r="T111" s="204"/>
      <c r="U111" s="204"/>
      <c r="V111" s="204"/>
      <c r="W111" s="204"/>
      <c r="X111" s="204"/>
      <c r="Y111" s="204"/>
    </row>
    <row r="112" spans="1:53" ht="17.399999999999999">
      <c r="A112" s="70"/>
      <c r="B112" s="70"/>
      <c r="C112" s="70"/>
      <c r="D112" s="565"/>
      <c r="E112" s="565"/>
      <c r="F112" s="565"/>
      <c r="G112" s="565"/>
      <c r="H112" s="565"/>
      <c r="I112" s="565"/>
      <c r="J112" s="565"/>
      <c r="K112" s="565"/>
      <c r="L112" s="565"/>
      <c r="M112" s="565"/>
      <c r="N112" s="565"/>
      <c r="O112" s="70"/>
      <c r="P112" s="204"/>
      <c r="Q112" s="204"/>
      <c r="R112" s="204"/>
      <c r="S112" s="204"/>
      <c r="T112" s="204"/>
      <c r="U112" s="204"/>
      <c r="V112" s="204"/>
      <c r="W112" s="204"/>
      <c r="X112" s="204"/>
      <c r="Y112" s="204"/>
    </row>
    <row r="113" spans="1:25" ht="17.399999999999999">
      <c r="A113" s="70"/>
      <c r="B113" s="70"/>
      <c r="C113" s="70"/>
      <c r="D113" s="70"/>
      <c r="E113" s="70"/>
      <c r="F113" s="70"/>
      <c r="G113" s="70"/>
      <c r="H113" s="70"/>
      <c r="I113" s="70"/>
      <c r="J113" s="70"/>
      <c r="K113" s="70"/>
      <c r="L113" s="70"/>
      <c r="M113" s="70"/>
      <c r="N113" s="70"/>
      <c r="O113" s="70"/>
      <c r="P113" s="70"/>
      <c r="Q113" s="70"/>
      <c r="R113" s="204"/>
      <c r="S113" s="204"/>
      <c r="T113" s="70"/>
      <c r="U113" s="70"/>
      <c r="V113" s="70"/>
      <c r="W113" s="70"/>
      <c r="X113" s="70"/>
      <c r="Y113" s="70"/>
    </row>
    <row r="114" spans="1:25" ht="17.399999999999999">
      <c r="A114" s="70"/>
      <c r="B114" s="70"/>
      <c r="C114" s="70"/>
      <c r="D114" s="70"/>
      <c r="E114" s="70"/>
      <c r="F114" s="70"/>
      <c r="G114" s="70"/>
      <c r="H114" s="70"/>
      <c r="I114" s="70"/>
      <c r="J114" s="70"/>
      <c r="K114" s="70"/>
      <c r="L114" s="70"/>
      <c r="M114" s="70"/>
      <c r="N114" s="70"/>
      <c r="O114" s="69"/>
      <c r="P114" s="70"/>
      <c r="Q114" s="70"/>
      <c r="R114" s="70"/>
      <c r="S114" s="70"/>
      <c r="T114" s="70"/>
      <c r="U114" s="70"/>
      <c r="V114" s="70"/>
      <c r="W114" s="70"/>
      <c r="X114" s="70"/>
      <c r="Y114" s="70"/>
    </row>
    <row r="115" spans="1:25" ht="17.399999999999999">
      <c r="A115" s="90" t="str">
        <f>VLOOKUP(2097,Sprachindex!$A:$Z,Info!$O$7,FALSE)</f>
        <v>Produkttechnik</v>
      </c>
      <c r="B115" s="91"/>
      <c r="C115" s="91"/>
      <c r="D115" s="569"/>
      <c r="E115" s="569"/>
      <c r="F115" s="569"/>
      <c r="G115" s="569"/>
      <c r="H115" s="569"/>
      <c r="I115" s="569"/>
      <c r="J115" s="569"/>
      <c r="K115" s="92" t="str">
        <f>VLOOKUP(856,Sprachindex!$A:$Z,Info!$O$7,FALSE)</f>
        <v>Stand:</v>
      </c>
      <c r="L115" s="567">
        <f>Info!M59</f>
        <v>45511</v>
      </c>
      <c r="M115" s="567"/>
      <c r="N115" s="568"/>
      <c r="P115" s="69"/>
      <c r="Q115" s="69"/>
      <c r="R115" s="70"/>
      <c r="S115" s="70"/>
      <c r="T115" s="69"/>
      <c r="U115" s="69"/>
      <c r="V115" s="69"/>
      <c r="W115" s="69"/>
      <c r="X115" s="69"/>
      <c r="Y115" s="69"/>
    </row>
    <row r="116" spans="1:25" ht="17.399999999999999">
      <c r="R116" s="69"/>
      <c r="S116" s="69"/>
    </row>
    <row r="117" spans="1:25" ht="13.8" hidden="1"/>
    <row r="118" spans="1:25" ht="13.8" hidden="1"/>
    <row r="119" spans="1:25" ht="13.8" hidden="1"/>
    <row r="120" spans="1:25" ht="13.8" hidden="1"/>
    <row r="121" spans="1:25" ht="13.8" hidden="1"/>
    <row r="122" spans="1:25" ht="13.8" hidden="1"/>
    <row r="123" spans="1:25" ht="13.8" hidden="1"/>
    <row r="124" spans="1:25" ht="14.25" hidden="1" customHeight="1"/>
    <row r="125" spans="1:25" ht="14.25" hidden="1" customHeight="1"/>
    <row r="126" spans="1:25" ht="14.25" hidden="1" customHeight="1"/>
  </sheetData>
  <sheetProtection algorithmName="SHA-512" hashValue="39Z4coohDZw5avMuWomzapqTlGj8RMsDRz4KM5oP9j/Hbf13PfJFDPTSowKG0vcX7apyzXpGuW+ICYSZvQU18Q==" saltValue="sJMA8DgABmdN5SA+cv4JlQ==" spinCount="100000" sheet="1" objects="1" selectLockedCells="1" autoFilter="0"/>
  <protectedRanges>
    <protectedRange password="DEBF" sqref="AF102:AF103" name="darf vom Benutzer nicht verändert werden_1_12"/>
    <protectedRange password="DEBF" sqref="AD104:AE106" name="darf vom Benutzer nicht verändert werden_1_5_10"/>
    <protectedRange password="DEBF" sqref="AD31:AD32" name="darf vom Benutzer nicht verändert werden_1_5_2_2_2_1"/>
    <protectedRange password="DEBF" sqref="AD33" name="darf vom Benutzer nicht verändert werden_1_5_2_7"/>
    <protectedRange password="DEBF" sqref="AE33" name="darf vom Benutzer nicht verändert werden_1_3"/>
    <protectedRange password="DEBF" sqref="AE34" name="darf vom Benutzer nicht verändert werden_1_1"/>
    <protectedRange password="DEBF" sqref="AD34" name="darf vom Benutzer nicht verändert werden_1_4_1"/>
    <protectedRange password="DEBF" sqref="AE37" name="darf vom Benutzer nicht verändert werden_1_2_6"/>
    <protectedRange password="DEBF" sqref="AD37" name="darf vom Benutzer nicht verändert werden_1_5_12"/>
    <protectedRange password="DEBF" sqref="AD38:AE38" name="darf vom Benutzer nicht verändert werden_1_5_11"/>
    <protectedRange password="DEBF" sqref="AD39:AE49" name="darf vom Benutzer nicht verändert werden_1_5_14"/>
    <protectedRange password="DEBF" sqref="AD54:AE70" name="darf vom Benutzer nicht verändert werden_1_5_15"/>
    <protectedRange password="DEBF" sqref="AD71:AE80 AD82:AE84 AD86:AE96" name="darf vom Benutzer nicht verändert werden_1_5_16"/>
    <protectedRange password="DEBF" sqref="AD98:AE99 AD102:AE103" name="darf vom Benutzer nicht verändert werden_1_5_17"/>
    <protectedRange password="DEBF" sqref="AD97:AE97" name="darf vom Benutzer nicht verändert werden_1_5"/>
    <protectedRange password="DEBF" sqref="AD36:AE36" name="darf vom Benutzer nicht verändert werden_1_5_1"/>
    <protectedRange password="DEBF" sqref="AD50:AE53" name="darf vom Benutzer nicht verändert werden_1_5_14_1"/>
    <protectedRange password="DEBF" sqref="AD81:AE81" name="darf vom Benutzer nicht verändert werden_1_5_2"/>
    <protectedRange password="DEBF" sqref="AD85:AE85" name="darf vom Benutzer nicht verändert werden_1_5_3"/>
    <protectedRange password="DEBF" sqref="AE35" name="darf vom Benutzer nicht verändert werden_1_2_1"/>
    <protectedRange password="DEBF" sqref="AD35" name="darf vom Benutzer nicht verändert werden_1_5_2_5"/>
    <protectedRange password="DEBF" sqref="AD100:AE101" name="darf vom Benutzer nicht verändert werden_1_5_4_1"/>
  </protectedRanges>
  <autoFilter ref="A29:A106" xr:uid="{00000000-0009-0000-0000-000007000000}"/>
  <mergeCells count="108">
    <mergeCell ref="E40:K40"/>
    <mergeCell ref="E41:K41"/>
    <mergeCell ref="E42:K42"/>
    <mergeCell ref="E52:K52"/>
    <mergeCell ref="E53:K53"/>
    <mergeCell ref="E44:K44"/>
    <mergeCell ref="E45:K45"/>
    <mergeCell ref="E47:G47"/>
    <mergeCell ref="H47:K47"/>
    <mergeCell ref="E48:G48"/>
    <mergeCell ref="E101:K101"/>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J55:K55"/>
    <mergeCell ref="E56:H56"/>
    <mergeCell ref="J56:K56"/>
    <mergeCell ref="E58:K58"/>
    <mergeCell ref="E54:K54"/>
    <mergeCell ref="E57:H57"/>
    <mergeCell ref="J57:K57"/>
    <mergeCell ref="E51:K51"/>
    <mergeCell ref="E50:K50"/>
    <mergeCell ref="H35:K35"/>
    <mergeCell ref="E36:K36"/>
    <mergeCell ref="H48:K48"/>
    <mergeCell ref="E46:K46"/>
    <mergeCell ref="E43:K43"/>
    <mergeCell ref="E34:G34"/>
    <mergeCell ref="H34:K34"/>
    <mergeCell ref="E35:G35"/>
    <mergeCell ref="D115:J115"/>
    <mergeCell ref="E104:K104"/>
    <mergeCell ref="E105:K105"/>
    <mergeCell ref="E106:K106"/>
    <mergeCell ref="E73:K73"/>
    <mergeCell ref="E74:K74"/>
    <mergeCell ref="E75:K75"/>
    <mergeCell ref="E86:K86"/>
    <mergeCell ref="E92:K92"/>
    <mergeCell ref="E93:K93"/>
    <mergeCell ref="E76:K76"/>
    <mergeCell ref="E87:K87"/>
    <mergeCell ref="E77:K77"/>
    <mergeCell ref="E78:K78"/>
    <mergeCell ref="E79:K79"/>
    <mergeCell ref="E80:K80"/>
    <mergeCell ref="E37:G37"/>
    <mergeCell ref="H37:K37"/>
    <mergeCell ref="E85:K85"/>
    <mergeCell ref="E100:K100"/>
    <mergeCell ref="D107:N108"/>
    <mergeCell ref="D109:N110"/>
    <mergeCell ref="D111:N112"/>
    <mergeCell ref="L115:N115"/>
    <mergeCell ref="C24:E24"/>
    <mergeCell ref="C25:E25"/>
    <mergeCell ref="C26:E26"/>
    <mergeCell ref="E103:G103"/>
    <mergeCell ref="E88:K88"/>
    <mergeCell ref="E89:K89"/>
    <mergeCell ref="E90:K90"/>
    <mergeCell ref="E91:K91"/>
    <mergeCell ref="E94:K94"/>
    <mergeCell ref="E96:K96"/>
    <mergeCell ref="E97:K97"/>
    <mergeCell ref="E99:K99"/>
    <mergeCell ref="E102:H102"/>
    <mergeCell ref="I102:K102"/>
    <mergeCell ref="E98:K98"/>
    <mergeCell ref="E95:K95"/>
  </mergeCells>
  <conditionalFormatting sqref="A31:A106">
    <cfRule type="cellIs" dxfId="754" priority="6" operator="equal">
      <formula>""</formula>
    </cfRule>
  </conditionalFormatting>
  <conditionalFormatting sqref="B104:E106">
    <cfRule type="cellIs" dxfId="753" priority="817" operator="equal">
      <formula>""</formula>
    </cfRule>
  </conditionalFormatting>
  <conditionalFormatting sqref="C9:E11">
    <cfRule type="cellIs" dxfId="751" priority="950" operator="equal">
      <formula>""</formula>
    </cfRule>
  </conditionalFormatting>
  <conditionalFormatting sqref="C13:E15">
    <cfRule type="cellIs" dxfId="750" priority="947" operator="equal">
      <formula>""</formula>
    </cfRule>
  </conditionalFormatting>
  <conditionalFormatting sqref="C18:E21">
    <cfRule type="cellIs" dxfId="749" priority="943" operator="equal">
      <formula>""</formula>
    </cfRule>
  </conditionalFormatting>
  <conditionalFormatting sqref="C24:E27">
    <cfRule type="cellIs" dxfId="748" priority="259" operator="equal">
      <formula>""</formula>
    </cfRule>
  </conditionalFormatting>
  <conditionalFormatting sqref="D67">
    <cfRule type="duplicateValues" dxfId="747" priority="386"/>
  </conditionalFormatting>
  <conditionalFormatting sqref="D68">
    <cfRule type="duplicateValues" dxfId="746" priority="391"/>
  </conditionalFormatting>
  <conditionalFormatting sqref="D69">
    <cfRule type="duplicateValues" dxfId="745" priority="808"/>
  </conditionalFormatting>
  <conditionalFormatting sqref="D77">
    <cfRule type="duplicateValues" dxfId="744" priority="573"/>
  </conditionalFormatting>
  <conditionalFormatting sqref="H35:K35">
    <cfRule type="cellIs" dxfId="742" priority="15" operator="equal">
      <formula>""</formula>
    </cfRule>
  </conditionalFormatting>
  <conditionalFormatting sqref="I13">
    <cfRule type="expression" dxfId="738" priority="527">
      <formula>$Z$13=1</formula>
    </cfRule>
    <cfRule type="expression" dxfId="737" priority="524">
      <formula>$Z$13=2</formula>
    </cfRule>
  </conditionalFormatting>
  <conditionalFormatting sqref="I21:I22 I28">
    <cfRule type="expression" dxfId="736" priority="968">
      <formula>$Z$21=10</formula>
    </cfRule>
  </conditionalFormatting>
  <conditionalFormatting sqref="I24:I26">
    <cfRule type="cellIs" dxfId="735" priority="4" operator="equal">
      <formula>""</formula>
    </cfRule>
  </conditionalFormatting>
  <conditionalFormatting sqref="J21:K22">
    <cfRule type="expression" dxfId="732" priority="967">
      <formula>$Z$21=10</formula>
    </cfRule>
  </conditionalFormatting>
  <conditionalFormatting sqref="L13">
    <cfRule type="expression" dxfId="727" priority="526">
      <formula>$Z$13=2</formula>
    </cfRule>
    <cfRule type="expression" dxfId="726" priority="525">
      <formula>$Z$13=1</formula>
    </cfRule>
  </conditionalFormatting>
  <conditionalFormatting sqref="L104:M106">
    <cfRule type="cellIs" dxfId="725" priority="859" operator="equal">
      <formula>""</formula>
    </cfRule>
  </conditionalFormatting>
  <conditionalFormatting sqref="AH46">
    <cfRule type="duplicateValues" dxfId="722" priority="214"/>
  </conditionalFormatting>
  <conditionalFormatting sqref="AH47">
    <cfRule type="duplicateValues" dxfId="721" priority="240"/>
  </conditionalFormatting>
  <conditionalFormatting sqref="AH48">
    <cfRule type="duplicateValues" dxfId="720" priority="233"/>
  </conditionalFormatting>
  <conditionalFormatting sqref="AH49 AH52:AH53">
    <cfRule type="duplicateValues" dxfId="719" priority="226"/>
  </conditionalFormatting>
  <conditionalFormatting sqref="AH86">
    <cfRule type="duplicateValues" dxfId="718" priority="59"/>
  </conditionalFormatting>
  <conditionalFormatting sqref="AH102:AL102">
    <cfRule type="duplicateValues" dxfId="717" priority="285"/>
  </conditionalFormatting>
  <conditionalFormatting sqref="AH31:AP31">
    <cfRule type="duplicateValues" dxfId="716" priority="1922"/>
  </conditionalFormatting>
  <conditionalFormatting sqref="AH32:AP32">
    <cfRule type="duplicateValues" dxfId="715" priority="1921"/>
  </conditionalFormatting>
  <conditionalFormatting sqref="AH39:AP39 AR39:AZ39">
    <cfRule type="duplicateValues" dxfId="714" priority="247"/>
  </conditionalFormatting>
  <conditionalFormatting sqref="AH45:AP45">
    <cfRule type="duplicateValues" dxfId="713" priority="252"/>
  </conditionalFormatting>
  <conditionalFormatting sqref="AH50:AP50">
    <cfRule type="duplicateValues" dxfId="712" priority="22"/>
  </conditionalFormatting>
  <conditionalFormatting sqref="AH51:AP51">
    <cfRule type="duplicateValues" dxfId="711" priority="25"/>
  </conditionalFormatting>
  <conditionalFormatting sqref="AH54:AP54">
    <cfRule type="duplicateValues" dxfId="710" priority="118"/>
  </conditionalFormatting>
  <conditionalFormatting sqref="AH55:AP55">
    <cfRule type="duplicateValues" dxfId="709" priority="197"/>
  </conditionalFormatting>
  <conditionalFormatting sqref="AH56:AP56 AR56:AZ56">
    <cfRule type="duplicateValues" dxfId="708" priority="158"/>
  </conditionalFormatting>
  <conditionalFormatting sqref="AH57:AP57 AR57:BA57">
    <cfRule type="duplicateValues" dxfId="707" priority="114"/>
  </conditionalFormatting>
  <conditionalFormatting sqref="AH62:AP62">
    <cfRule type="duplicateValues" dxfId="706" priority="129"/>
  </conditionalFormatting>
  <conditionalFormatting sqref="AH63:AP63">
    <cfRule type="duplicateValues" dxfId="705" priority="127"/>
  </conditionalFormatting>
  <conditionalFormatting sqref="AH64:AP64">
    <cfRule type="duplicateValues" dxfId="704" priority="122"/>
  </conditionalFormatting>
  <conditionalFormatting sqref="AH65:AP65">
    <cfRule type="duplicateValues" dxfId="703" priority="120"/>
  </conditionalFormatting>
  <conditionalFormatting sqref="AH66:AP66">
    <cfRule type="duplicateValues" dxfId="702" priority="125"/>
  </conditionalFormatting>
  <conditionalFormatting sqref="AH70:AP70">
    <cfRule type="duplicateValues" dxfId="701" priority="317"/>
  </conditionalFormatting>
  <conditionalFormatting sqref="AH72:AP72">
    <cfRule type="duplicateValues" dxfId="700" priority="73"/>
  </conditionalFormatting>
  <conditionalFormatting sqref="AH75:AP75">
    <cfRule type="duplicateValues" dxfId="699" priority="77"/>
  </conditionalFormatting>
  <conditionalFormatting sqref="AH76:AP76">
    <cfRule type="duplicateValues" dxfId="698" priority="74"/>
  </conditionalFormatting>
  <conditionalFormatting sqref="AH79:AP79">
    <cfRule type="duplicateValues" dxfId="697" priority="279"/>
  </conditionalFormatting>
  <conditionalFormatting sqref="AH80:AP80">
    <cfRule type="duplicateValues" dxfId="696" priority="63"/>
  </conditionalFormatting>
  <conditionalFormatting sqref="AH82:AP82">
    <cfRule type="duplicateValues" dxfId="695" priority="67"/>
  </conditionalFormatting>
  <conditionalFormatting sqref="AH83:AP83">
    <cfRule type="duplicateValues" dxfId="694" priority="62"/>
  </conditionalFormatting>
  <conditionalFormatting sqref="AH84:AP84">
    <cfRule type="duplicateValues" dxfId="693" priority="61"/>
  </conditionalFormatting>
  <conditionalFormatting sqref="AH87:AP87">
    <cfRule type="duplicateValues" dxfId="692" priority="58"/>
  </conditionalFormatting>
  <conditionalFormatting sqref="AH88:AP88">
    <cfRule type="duplicateValues" dxfId="691" priority="57"/>
  </conditionalFormatting>
  <conditionalFormatting sqref="AH89:AP89">
    <cfRule type="duplicateValues" dxfId="690" priority="56"/>
  </conditionalFormatting>
  <conditionalFormatting sqref="AH90:AP90">
    <cfRule type="duplicateValues" dxfId="689" priority="55"/>
  </conditionalFormatting>
  <conditionalFormatting sqref="AH91:AP91">
    <cfRule type="duplicateValues" dxfId="688" priority="54"/>
  </conditionalFormatting>
  <conditionalFormatting sqref="AH92:AP92">
    <cfRule type="duplicateValues" dxfId="687" priority="68"/>
  </conditionalFormatting>
  <conditionalFormatting sqref="AH93:AP93">
    <cfRule type="duplicateValues" dxfId="686" priority="53"/>
  </conditionalFormatting>
  <conditionalFormatting sqref="AH94:AP94">
    <cfRule type="duplicateValues" dxfId="685" priority="52"/>
  </conditionalFormatting>
  <conditionalFormatting sqref="AH95:AP95">
    <cfRule type="duplicateValues" dxfId="684" priority="282"/>
  </conditionalFormatting>
  <conditionalFormatting sqref="AH103:AP103">
    <cfRule type="duplicateValues" dxfId="683" priority="35"/>
  </conditionalFormatting>
  <conditionalFormatting sqref="AH43:AQ43">
    <cfRule type="duplicateValues" dxfId="682" priority="217"/>
  </conditionalFormatting>
  <conditionalFormatting sqref="AH44:AQ44">
    <cfRule type="duplicateValues" dxfId="681" priority="251"/>
  </conditionalFormatting>
  <conditionalFormatting sqref="AH58:AQ58">
    <cfRule type="duplicateValues" dxfId="680" priority="132"/>
  </conditionalFormatting>
  <conditionalFormatting sqref="AH59:AQ59">
    <cfRule type="duplicateValues" dxfId="679" priority="123"/>
  </conditionalFormatting>
  <conditionalFormatting sqref="AH60:AQ60">
    <cfRule type="duplicateValues" dxfId="678" priority="131"/>
  </conditionalFormatting>
  <conditionalFormatting sqref="AH61:AQ61 AQ62:AQ64">
    <cfRule type="duplicateValues" dxfId="677" priority="130"/>
  </conditionalFormatting>
  <conditionalFormatting sqref="AH71:AQ71">
    <cfRule type="duplicateValues" dxfId="676" priority="284"/>
  </conditionalFormatting>
  <conditionalFormatting sqref="AH73:AQ73">
    <cfRule type="duplicateValues" dxfId="675" priority="79"/>
  </conditionalFormatting>
  <conditionalFormatting sqref="AH74:AQ74">
    <cfRule type="duplicateValues" dxfId="674" priority="78"/>
  </conditionalFormatting>
  <conditionalFormatting sqref="AH78:AQ78">
    <cfRule type="duplicateValues" dxfId="673" priority="3"/>
  </conditionalFormatting>
  <conditionalFormatting sqref="AH81:AQ81">
    <cfRule type="duplicateValues" dxfId="672" priority="14"/>
  </conditionalFormatting>
  <conditionalFormatting sqref="AH85:AQ85">
    <cfRule type="duplicateValues" dxfId="671" priority="17"/>
  </conditionalFormatting>
  <conditionalFormatting sqref="AH41:AZ41">
    <cfRule type="duplicateValues" dxfId="670" priority="249"/>
  </conditionalFormatting>
  <conditionalFormatting sqref="AH42:BA42">
    <cfRule type="duplicateValues" dxfId="669" priority="250"/>
  </conditionalFormatting>
  <conditionalFormatting sqref="AI46">
    <cfRule type="duplicateValues" dxfId="668" priority="211"/>
  </conditionalFormatting>
  <conditionalFormatting sqref="AI47">
    <cfRule type="duplicateValues" dxfId="667" priority="237"/>
  </conditionalFormatting>
  <conditionalFormatting sqref="AI48">
    <cfRule type="duplicateValues" dxfId="666" priority="230"/>
  </conditionalFormatting>
  <conditionalFormatting sqref="AI49 AI52:AI53">
    <cfRule type="duplicateValues" dxfId="665" priority="225"/>
  </conditionalFormatting>
  <conditionalFormatting sqref="AI86:AP86">
    <cfRule type="duplicateValues" dxfId="664" priority="60"/>
  </conditionalFormatting>
  <conditionalFormatting sqref="AJ46">
    <cfRule type="duplicateValues" dxfId="663" priority="212"/>
  </conditionalFormatting>
  <conditionalFormatting sqref="AJ47">
    <cfRule type="duplicateValues" dxfId="662" priority="238"/>
  </conditionalFormatting>
  <conditionalFormatting sqref="AJ48">
    <cfRule type="duplicateValues" dxfId="661" priority="231"/>
  </conditionalFormatting>
  <conditionalFormatting sqref="AJ49 AJ52:AJ53">
    <cfRule type="duplicateValues" dxfId="660" priority="224"/>
  </conditionalFormatting>
  <conditionalFormatting sqref="AK46">
    <cfRule type="duplicateValues" dxfId="659" priority="208"/>
  </conditionalFormatting>
  <conditionalFormatting sqref="AK47">
    <cfRule type="duplicateValues" dxfId="658" priority="234"/>
  </conditionalFormatting>
  <conditionalFormatting sqref="AK48">
    <cfRule type="duplicateValues" dxfId="657" priority="232"/>
  </conditionalFormatting>
  <conditionalFormatting sqref="AK49 AK52:AK53">
    <cfRule type="duplicateValues" dxfId="656" priority="223"/>
  </conditionalFormatting>
  <conditionalFormatting sqref="AL46">
    <cfRule type="duplicateValues" dxfId="655" priority="207"/>
  </conditionalFormatting>
  <conditionalFormatting sqref="AL49 AL52:AL53">
    <cfRule type="duplicateValues" dxfId="654" priority="222"/>
  </conditionalFormatting>
  <conditionalFormatting sqref="AM46">
    <cfRule type="duplicateValues" dxfId="653" priority="213"/>
  </conditionalFormatting>
  <conditionalFormatting sqref="AM47">
    <cfRule type="duplicateValues" dxfId="652" priority="239"/>
  </conditionalFormatting>
  <conditionalFormatting sqref="AM48">
    <cfRule type="duplicateValues" dxfId="651" priority="229"/>
  </conditionalFormatting>
  <conditionalFormatting sqref="AM49 AM52:AM53">
    <cfRule type="duplicateValues" dxfId="650" priority="221"/>
  </conditionalFormatting>
  <conditionalFormatting sqref="AM36:AQ36 AH36:AK36">
    <cfRule type="duplicateValues" dxfId="649" priority="27"/>
  </conditionalFormatting>
  <conditionalFormatting sqref="AN46">
    <cfRule type="duplicateValues" dxfId="648" priority="209"/>
  </conditionalFormatting>
  <conditionalFormatting sqref="AN47">
    <cfRule type="duplicateValues" dxfId="647" priority="235"/>
  </conditionalFormatting>
  <conditionalFormatting sqref="AN48">
    <cfRule type="duplicateValues" dxfId="646" priority="227"/>
  </conditionalFormatting>
  <conditionalFormatting sqref="AN49 AN52:AN53">
    <cfRule type="duplicateValues" dxfId="645" priority="220"/>
  </conditionalFormatting>
  <conditionalFormatting sqref="AO46">
    <cfRule type="duplicateValues" dxfId="644" priority="210"/>
  </conditionalFormatting>
  <conditionalFormatting sqref="AO47">
    <cfRule type="duplicateValues" dxfId="643" priority="236"/>
  </conditionalFormatting>
  <conditionalFormatting sqref="AO48">
    <cfRule type="duplicateValues" dxfId="642" priority="228"/>
  </conditionalFormatting>
  <conditionalFormatting sqref="AO49 AO52:AO53">
    <cfRule type="duplicateValues" dxfId="641" priority="219"/>
  </conditionalFormatting>
  <conditionalFormatting sqref="AP46">
    <cfRule type="duplicateValues" dxfId="640" priority="206"/>
  </conditionalFormatting>
  <conditionalFormatting sqref="AP47">
    <cfRule type="duplicateValues" dxfId="639" priority="205"/>
  </conditionalFormatting>
  <conditionalFormatting sqref="AP48">
    <cfRule type="duplicateValues" dxfId="638" priority="204"/>
  </conditionalFormatting>
  <conditionalFormatting sqref="AP49 AP52:AP53">
    <cfRule type="duplicateValues" dxfId="637" priority="218"/>
  </conditionalFormatting>
  <conditionalFormatting sqref="AQ31">
    <cfRule type="duplicateValues" dxfId="636" priority="30"/>
  </conditionalFormatting>
  <conditionalFormatting sqref="AQ32">
    <cfRule type="duplicateValues" dxfId="635" priority="29"/>
  </conditionalFormatting>
  <conditionalFormatting sqref="AQ39">
    <cfRule type="duplicateValues" dxfId="634" priority="245"/>
  </conditionalFormatting>
  <conditionalFormatting sqref="AQ45">
    <cfRule type="duplicateValues" dxfId="633" priority="242"/>
  </conditionalFormatting>
  <conditionalFormatting sqref="AQ46">
    <cfRule type="duplicateValues" dxfId="632" priority="200"/>
  </conditionalFormatting>
  <conditionalFormatting sqref="AQ47">
    <cfRule type="duplicateValues" dxfId="631" priority="202"/>
  </conditionalFormatting>
  <conditionalFormatting sqref="AQ48">
    <cfRule type="duplicateValues" dxfId="630" priority="201"/>
  </conditionalFormatting>
  <conditionalFormatting sqref="AQ49 AQ52:AQ53">
    <cfRule type="duplicateValues" dxfId="629" priority="203"/>
  </conditionalFormatting>
  <conditionalFormatting sqref="AQ54">
    <cfRule type="duplicateValues" dxfId="628" priority="117"/>
  </conditionalFormatting>
  <conditionalFormatting sqref="AQ62">
    <cfRule type="duplicateValues" dxfId="627" priority="128"/>
  </conditionalFormatting>
  <conditionalFormatting sqref="AQ63">
    <cfRule type="duplicateValues" dxfId="626" priority="126"/>
  </conditionalFormatting>
  <conditionalFormatting sqref="AQ64">
    <cfRule type="duplicateValues" dxfId="625" priority="121"/>
  </conditionalFormatting>
  <conditionalFormatting sqref="AQ65">
    <cfRule type="duplicateValues" dxfId="624" priority="119"/>
  </conditionalFormatting>
  <conditionalFormatting sqref="AQ66">
    <cfRule type="duplicateValues" dxfId="623" priority="124"/>
  </conditionalFormatting>
  <conditionalFormatting sqref="AQ70">
    <cfRule type="duplicateValues" dxfId="622" priority="80"/>
  </conditionalFormatting>
  <conditionalFormatting sqref="AQ72">
    <cfRule type="duplicateValues" dxfId="621" priority="72"/>
  </conditionalFormatting>
  <conditionalFormatting sqref="AQ75">
    <cfRule type="duplicateValues" dxfId="620" priority="76"/>
  </conditionalFormatting>
  <conditionalFormatting sqref="AQ76">
    <cfRule type="duplicateValues" dxfId="619" priority="75"/>
  </conditionalFormatting>
  <conditionalFormatting sqref="AQ79">
    <cfRule type="duplicateValues" dxfId="618" priority="69"/>
  </conditionalFormatting>
  <conditionalFormatting sqref="AQ80">
    <cfRule type="duplicateValues" dxfId="617" priority="48"/>
  </conditionalFormatting>
  <conditionalFormatting sqref="AQ82">
    <cfRule type="duplicateValues" dxfId="616" priority="45"/>
  </conditionalFormatting>
  <conditionalFormatting sqref="AQ83">
    <cfRule type="duplicateValues" dxfId="615" priority="47"/>
  </conditionalFormatting>
  <conditionalFormatting sqref="AQ84">
    <cfRule type="duplicateValues" dxfId="614" priority="46"/>
  </conditionalFormatting>
  <conditionalFormatting sqref="AQ86">
    <cfRule type="duplicateValues" dxfId="613" priority="43"/>
  </conditionalFormatting>
  <conditionalFormatting sqref="AQ87">
    <cfRule type="duplicateValues" dxfId="612" priority="42"/>
  </conditionalFormatting>
  <conditionalFormatting sqref="AQ88">
    <cfRule type="duplicateValues" dxfId="611" priority="41"/>
  </conditionalFormatting>
  <conditionalFormatting sqref="AQ89">
    <cfRule type="duplicateValues" dxfId="610" priority="40"/>
  </conditionalFormatting>
  <conditionalFormatting sqref="AQ90">
    <cfRule type="duplicateValues" dxfId="609" priority="39"/>
  </conditionalFormatting>
  <conditionalFormatting sqref="AQ91">
    <cfRule type="duplicateValues" dxfId="608" priority="38"/>
  </conditionalFormatting>
  <conditionalFormatting sqref="AQ92">
    <cfRule type="duplicateValues" dxfId="607" priority="44"/>
  </conditionalFormatting>
  <conditionalFormatting sqref="AQ93">
    <cfRule type="duplicateValues" dxfId="606" priority="37"/>
  </conditionalFormatting>
  <conditionalFormatting sqref="AQ94">
    <cfRule type="duplicateValues" dxfId="605" priority="36"/>
  </conditionalFormatting>
  <conditionalFormatting sqref="AQ95">
    <cfRule type="duplicateValues" dxfId="604" priority="281"/>
  </conditionalFormatting>
  <conditionalFormatting sqref="AQ103">
    <cfRule type="duplicateValues" dxfId="603" priority="31"/>
  </conditionalFormatting>
  <conditionalFormatting sqref="AR103:AU103">
    <cfRule type="duplicateValues" dxfId="602" priority="34"/>
  </conditionalFormatting>
  <conditionalFormatting sqref="AR40:AZ40 AH40:AP40">
    <cfRule type="duplicateValues" dxfId="601" priority="248"/>
  </conditionalFormatting>
  <conditionalFormatting sqref="AR43:AZ43">
    <cfRule type="duplicateValues" dxfId="600" priority="215"/>
  </conditionalFormatting>
  <conditionalFormatting sqref="AR45:AZ45">
    <cfRule type="duplicateValues" dxfId="599" priority="243"/>
  </conditionalFormatting>
  <conditionalFormatting sqref="AR54:AZ54">
    <cfRule type="duplicateValues" dxfId="598" priority="108"/>
  </conditionalFormatting>
  <conditionalFormatting sqref="AR44:BA44">
    <cfRule type="duplicateValues" dxfId="597" priority="244"/>
  </conditionalFormatting>
  <conditionalFormatting sqref="AR50:BA50">
    <cfRule type="duplicateValues" dxfId="596" priority="21"/>
  </conditionalFormatting>
  <conditionalFormatting sqref="AR51:BA51">
    <cfRule type="duplicateValues" dxfId="595" priority="24"/>
  </conditionalFormatting>
  <conditionalFormatting sqref="AR55:BA55">
    <cfRule type="duplicateValues" dxfId="594" priority="196"/>
  </conditionalFormatting>
  <conditionalFormatting sqref="AV103:AZ103">
    <cfRule type="duplicateValues" dxfId="593" priority="33"/>
  </conditionalFormatting>
  <conditionalFormatting sqref="BA43">
    <cfRule type="duplicateValues" dxfId="592" priority="216"/>
  </conditionalFormatting>
  <conditionalFormatting sqref="BA45">
    <cfRule type="duplicateValues" dxfId="591" priority="241"/>
  </conditionalFormatting>
  <conditionalFormatting sqref="BA54">
    <cfRule type="duplicateValues" dxfId="590" priority="107"/>
  </conditionalFormatting>
  <conditionalFormatting sqref="BA56">
    <cfRule type="duplicateValues" dxfId="589" priority="106"/>
  </conditionalFormatting>
  <conditionalFormatting sqref="BA103">
    <cfRule type="duplicateValues" dxfId="588" priority="32"/>
  </conditionalFormatting>
  <conditionalFormatting sqref="BC55:BK55">
    <cfRule type="duplicateValues" dxfId="587" priority="195"/>
  </conditionalFormatting>
  <conditionalFormatting sqref="BC56:BK56 BM56:BU56">
    <cfRule type="duplicateValues" dxfId="586" priority="138"/>
  </conditionalFormatting>
  <conditionalFormatting sqref="BC57:BK57 BM57:BV57">
    <cfRule type="duplicateValues" dxfId="585" priority="113"/>
  </conditionalFormatting>
  <conditionalFormatting sqref="BM55:BU55">
    <cfRule type="duplicateValues" dxfId="584" priority="194"/>
  </conditionalFormatting>
  <conditionalFormatting sqref="BV55">
    <cfRule type="duplicateValues" dxfId="583" priority="105"/>
  </conditionalFormatting>
  <conditionalFormatting sqref="BV56">
    <cfRule type="duplicateValues" dxfId="582" priority="104"/>
  </conditionalFormatting>
  <conditionalFormatting sqref="BX55">
    <cfRule type="duplicateValues" dxfId="581" priority="157"/>
  </conditionalFormatting>
  <conditionalFormatting sqref="BX56:CF56 CH56:CP56">
    <cfRule type="duplicateValues" dxfId="580" priority="137"/>
  </conditionalFormatting>
  <conditionalFormatting sqref="BX57:CF57 CH57:CQ57">
    <cfRule type="duplicateValues" dxfId="579" priority="112"/>
  </conditionalFormatting>
  <conditionalFormatting sqref="BY55:CF55">
    <cfRule type="duplicateValues" dxfId="578" priority="193"/>
  </conditionalFormatting>
  <conditionalFormatting sqref="CH55:CQ55">
    <cfRule type="duplicateValues" dxfId="577" priority="192"/>
  </conditionalFormatting>
  <conditionalFormatting sqref="CQ56">
    <cfRule type="duplicateValues" dxfId="576" priority="103"/>
  </conditionalFormatting>
  <conditionalFormatting sqref="CS55">
    <cfRule type="duplicateValues" dxfId="575" priority="156"/>
  </conditionalFormatting>
  <conditionalFormatting sqref="CS56:DA56 DX56:EF56">
    <cfRule type="duplicateValues" dxfId="574" priority="136"/>
  </conditionalFormatting>
  <conditionalFormatting sqref="CS57:DA57 DX57:EG57">
    <cfRule type="duplicateValues" dxfId="573" priority="111"/>
  </conditionalFormatting>
  <conditionalFormatting sqref="CT55:DA55">
    <cfRule type="duplicateValues" dxfId="572" priority="198"/>
  </conditionalFormatting>
  <conditionalFormatting sqref="DC55:DK55">
    <cfRule type="duplicateValues" dxfId="571" priority="199"/>
  </conditionalFormatting>
  <conditionalFormatting sqref="DC56:DK56">
    <cfRule type="duplicateValues" dxfId="570" priority="115"/>
  </conditionalFormatting>
  <conditionalFormatting sqref="DC57:DL57">
    <cfRule type="duplicateValues" dxfId="569" priority="109"/>
  </conditionalFormatting>
  <conditionalFormatting sqref="DL55">
    <cfRule type="duplicateValues" dxfId="568" priority="102"/>
  </conditionalFormatting>
  <conditionalFormatting sqref="DL56">
    <cfRule type="duplicateValues" dxfId="567" priority="101"/>
  </conditionalFormatting>
  <conditionalFormatting sqref="DN55">
    <cfRule type="duplicateValues" dxfId="566" priority="155"/>
  </conditionalFormatting>
  <conditionalFormatting sqref="DO55:DV55">
    <cfRule type="duplicateValues" dxfId="565" priority="190"/>
  </conditionalFormatting>
  <conditionalFormatting sqref="DX55:EF55">
    <cfRule type="duplicateValues" dxfId="564" priority="191"/>
  </conditionalFormatting>
  <conditionalFormatting sqref="EG55">
    <cfRule type="duplicateValues" dxfId="563" priority="100"/>
  </conditionalFormatting>
  <conditionalFormatting sqref="EG56">
    <cfRule type="duplicateValues" dxfId="562" priority="99"/>
  </conditionalFormatting>
  <conditionalFormatting sqref="EI55">
    <cfRule type="duplicateValues" dxfId="561" priority="154"/>
  </conditionalFormatting>
  <conditionalFormatting sqref="EI56:EQ56 ES56:FA56">
    <cfRule type="duplicateValues" dxfId="560" priority="135"/>
  </conditionalFormatting>
  <conditionalFormatting sqref="EI57:EQ57 ES57:FB57">
    <cfRule type="duplicateValues" dxfId="559" priority="110"/>
  </conditionalFormatting>
  <conditionalFormatting sqref="EJ55:EQ55">
    <cfRule type="duplicateValues" dxfId="558" priority="189"/>
  </conditionalFormatting>
  <conditionalFormatting sqref="ES55:FA55">
    <cfRule type="duplicateValues" dxfId="557" priority="116"/>
  </conditionalFormatting>
  <conditionalFormatting sqref="FB55">
    <cfRule type="duplicateValues" dxfId="556" priority="98"/>
  </conditionalFormatting>
  <conditionalFormatting sqref="FB56">
    <cfRule type="duplicateValues" dxfId="555" priority="97"/>
  </conditionalFormatting>
  <conditionalFormatting sqref="FD55">
    <cfRule type="duplicateValues" dxfId="554" priority="153"/>
  </conditionalFormatting>
  <conditionalFormatting sqref="FD56:FL56 FN56:FV56">
    <cfRule type="duplicateValues" dxfId="553" priority="134"/>
  </conditionalFormatting>
  <conditionalFormatting sqref="FE55:FL55">
    <cfRule type="duplicateValues" dxfId="552" priority="188"/>
  </conditionalFormatting>
  <conditionalFormatting sqref="FN55:FV55">
    <cfRule type="duplicateValues" dxfId="551" priority="187"/>
  </conditionalFormatting>
  <conditionalFormatting sqref="FW55">
    <cfRule type="duplicateValues" dxfId="550" priority="96"/>
  </conditionalFormatting>
  <conditionalFormatting sqref="FW56">
    <cfRule type="duplicateValues" dxfId="549" priority="95"/>
  </conditionalFormatting>
  <conditionalFormatting sqref="FY55">
    <cfRule type="duplicateValues" dxfId="548" priority="152"/>
  </conditionalFormatting>
  <conditionalFormatting sqref="FY56:GG56 GI56:GQ56">
    <cfRule type="duplicateValues" dxfId="547" priority="133"/>
  </conditionalFormatting>
  <conditionalFormatting sqref="FZ55:GG55">
    <cfRule type="duplicateValues" dxfId="546" priority="186"/>
  </conditionalFormatting>
  <conditionalFormatting sqref="GI55:GQ55">
    <cfRule type="duplicateValues" dxfId="545" priority="185"/>
  </conditionalFormatting>
  <conditionalFormatting sqref="GR55">
    <cfRule type="duplicateValues" dxfId="544" priority="94"/>
  </conditionalFormatting>
  <conditionalFormatting sqref="GR56">
    <cfRule type="duplicateValues" dxfId="543" priority="93"/>
  </conditionalFormatting>
  <conditionalFormatting sqref="GT55">
    <cfRule type="duplicateValues" dxfId="542" priority="151"/>
  </conditionalFormatting>
  <conditionalFormatting sqref="GU55:HB55">
    <cfRule type="duplicateValues" dxfId="541" priority="184"/>
  </conditionalFormatting>
  <conditionalFormatting sqref="HD55:HL55">
    <cfRule type="duplicateValues" dxfId="540" priority="183"/>
  </conditionalFormatting>
  <conditionalFormatting sqref="HM55">
    <cfRule type="duplicateValues" dxfId="539" priority="81"/>
  </conditionalFormatting>
  <conditionalFormatting sqref="HO55">
    <cfRule type="duplicateValues" dxfId="538" priority="150"/>
  </conditionalFormatting>
  <conditionalFormatting sqref="HP55:HW55">
    <cfRule type="duplicateValues" dxfId="537" priority="182"/>
  </conditionalFormatting>
  <conditionalFormatting sqref="HY55:IG55">
    <cfRule type="duplicateValues" dxfId="536" priority="181"/>
  </conditionalFormatting>
  <conditionalFormatting sqref="IH55">
    <cfRule type="duplicateValues" dxfId="535" priority="82"/>
  </conditionalFormatting>
  <conditionalFormatting sqref="IJ55">
    <cfRule type="duplicateValues" dxfId="534" priority="149"/>
  </conditionalFormatting>
  <conditionalFormatting sqref="IK55:IR55">
    <cfRule type="duplicateValues" dxfId="533" priority="180"/>
  </conditionalFormatting>
  <conditionalFormatting sqref="IT55:JB55">
    <cfRule type="duplicateValues" dxfId="532" priority="179"/>
  </conditionalFormatting>
  <conditionalFormatting sqref="JC55">
    <cfRule type="duplicateValues" dxfId="531" priority="83"/>
  </conditionalFormatting>
  <conditionalFormatting sqref="JE55">
    <cfRule type="duplicateValues" dxfId="530" priority="148"/>
  </conditionalFormatting>
  <conditionalFormatting sqref="JF55:JM55">
    <cfRule type="duplicateValues" dxfId="529" priority="178"/>
  </conditionalFormatting>
  <conditionalFormatting sqref="JO55:JW55">
    <cfRule type="duplicateValues" dxfId="528" priority="177"/>
  </conditionalFormatting>
  <conditionalFormatting sqref="JX55">
    <cfRule type="duplicateValues" dxfId="527" priority="84"/>
  </conditionalFormatting>
  <conditionalFormatting sqref="JZ55">
    <cfRule type="duplicateValues" dxfId="526" priority="147"/>
  </conditionalFormatting>
  <conditionalFormatting sqref="KA55:KH55">
    <cfRule type="duplicateValues" dxfId="525" priority="176"/>
  </conditionalFormatting>
  <conditionalFormatting sqref="KJ55:KR55">
    <cfRule type="duplicateValues" dxfId="524" priority="175"/>
  </conditionalFormatting>
  <conditionalFormatting sqref="KS55">
    <cfRule type="duplicateValues" dxfId="523" priority="85"/>
  </conditionalFormatting>
  <conditionalFormatting sqref="KU55">
    <cfRule type="duplicateValues" dxfId="522" priority="146"/>
  </conditionalFormatting>
  <conditionalFormatting sqref="KV55:LC55">
    <cfRule type="duplicateValues" dxfId="521" priority="174"/>
  </conditionalFormatting>
  <conditionalFormatting sqref="LE55:LM55">
    <cfRule type="duplicateValues" dxfId="520" priority="173"/>
  </conditionalFormatting>
  <conditionalFormatting sqref="LN55">
    <cfRule type="duplicateValues" dxfId="519" priority="86"/>
  </conditionalFormatting>
  <conditionalFormatting sqref="LP55">
    <cfRule type="duplicateValues" dxfId="518" priority="145"/>
  </conditionalFormatting>
  <conditionalFormatting sqref="LQ55:LX55">
    <cfRule type="duplicateValues" dxfId="517" priority="171"/>
  </conditionalFormatting>
  <conditionalFormatting sqref="LZ55:MH55">
    <cfRule type="duplicateValues" dxfId="516" priority="172"/>
  </conditionalFormatting>
  <conditionalFormatting sqref="MI55">
    <cfRule type="duplicateValues" dxfId="515" priority="87"/>
  </conditionalFormatting>
  <conditionalFormatting sqref="MK55">
    <cfRule type="duplicateValues" dxfId="514" priority="144"/>
  </conditionalFormatting>
  <conditionalFormatting sqref="ML55:MS55">
    <cfRule type="duplicateValues" dxfId="513" priority="170"/>
  </conditionalFormatting>
  <conditionalFormatting sqref="MU55:NC55">
    <cfRule type="duplicateValues" dxfId="512" priority="169"/>
  </conditionalFormatting>
  <conditionalFormatting sqref="ND55">
    <cfRule type="duplicateValues" dxfId="511" priority="88"/>
  </conditionalFormatting>
  <conditionalFormatting sqref="NF55">
    <cfRule type="duplicateValues" dxfId="510" priority="143"/>
  </conditionalFormatting>
  <conditionalFormatting sqref="NG55:NN55">
    <cfRule type="duplicateValues" dxfId="509" priority="168"/>
  </conditionalFormatting>
  <conditionalFormatting sqref="NP55:NX55">
    <cfRule type="duplicateValues" dxfId="508" priority="167"/>
  </conditionalFormatting>
  <conditionalFormatting sqref="NY55">
    <cfRule type="duplicateValues" dxfId="507" priority="89"/>
  </conditionalFormatting>
  <conditionalFormatting sqref="OA55">
    <cfRule type="duplicateValues" dxfId="506" priority="142"/>
  </conditionalFormatting>
  <conditionalFormatting sqref="OB55:OI55">
    <cfRule type="duplicateValues" dxfId="505" priority="166"/>
  </conditionalFormatting>
  <conditionalFormatting sqref="OK55:OS55">
    <cfRule type="duplicateValues" dxfId="504" priority="165"/>
  </conditionalFormatting>
  <conditionalFormatting sqref="OT55">
    <cfRule type="duplicateValues" dxfId="503" priority="90"/>
  </conditionalFormatting>
  <conditionalFormatting sqref="OV55">
    <cfRule type="duplicateValues" dxfId="502" priority="141"/>
  </conditionalFormatting>
  <conditionalFormatting sqref="OW55:PD55">
    <cfRule type="duplicateValues" dxfId="501" priority="164"/>
  </conditionalFormatting>
  <conditionalFormatting sqref="PF55:PN55">
    <cfRule type="duplicateValues" dxfId="500" priority="163"/>
  </conditionalFormatting>
  <conditionalFormatting sqref="PO55">
    <cfRule type="duplicateValues" dxfId="499" priority="91"/>
  </conditionalFormatting>
  <conditionalFormatting sqref="PQ55">
    <cfRule type="duplicateValues" dxfId="498" priority="140"/>
  </conditionalFormatting>
  <conditionalFormatting sqref="PR55:PY55">
    <cfRule type="duplicateValues" dxfId="497" priority="162"/>
  </conditionalFormatting>
  <conditionalFormatting sqref="QA55:QI55">
    <cfRule type="duplicateValues" dxfId="496" priority="161"/>
  </conditionalFormatting>
  <conditionalFormatting sqref="QJ55">
    <cfRule type="duplicateValues" dxfId="495" priority="92"/>
  </conditionalFormatting>
  <conditionalFormatting sqref="QL55">
    <cfRule type="duplicateValues" dxfId="494" priority="139"/>
  </conditionalFormatting>
  <conditionalFormatting sqref="QM55:QT55">
    <cfRule type="duplicateValues" dxfId="493" priority="160"/>
  </conditionalFormatting>
  <conditionalFormatting sqref="QV55:RE55">
    <cfRule type="duplicateValues" dxfId="492" priority="159"/>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79" r:id="rId8" name="Group Box 3">
              <controlPr defaultSize="0" print="0" autoFill="0" autoPict="0" altText="">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50185" r:id="rId9" name="Option Button 9">
              <controlPr defaultSize="0" autoFill="0" autoLine="0" autoPict="0" altText="">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50186" r:id="rId10" name="Option Button 10">
              <controlPr defaultSize="0" autoFill="0" autoLine="0" autoPict="0" altText="">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50187" r:id="rId11" name="Option Button 11">
              <controlPr defaultSize="0" autoFill="0" autoLine="0" autoPict="0" altText="">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50188" r:id="rId12" name="Option Button 12">
              <controlPr defaultSize="0" autoFill="0" autoLine="0" autoPict="0" altText="">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50189" r:id="rId13" name="Option Button 13">
              <controlPr defaultSize="0" autoFill="0" autoLine="0" autoPict="0" altText="">
                <anchor moveWithCells="1">
                  <from>
                    <xdr:col>8</xdr:col>
                    <xdr:colOff>762000</xdr:colOff>
                    <xdr:row>15</xdr:row>
                    <xdr:rowOff>30480</xdr:rowOff>
                  </from>
                  <to>
                    <xdr:col>10</xdr:col>
                    <xdr:colOff>312420</xdr:colOff>
                    <xdr:row>16</xdr:row>
                    <xdr:rowOff>0</xdr:rowOff>
                  </to>
                </anchor>
              </controlPr>
            </control>
          </mc:Choice>
        </mc:AlternateContent>
        <mc:AlternateContent xmlns:mc="http://schemas.openxmlformats.org/markup-compatibility/2006">
          <mc:Choice Requires="x14">
            <control shapeId="50190" r:id="rId14" name="Option Button 14">
              <controlPr defaultSize="0" autoFill="0" autoLine="0" autoPict="0" altText="">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50191" r:id="rId15" name="Option Button 15">
              <controlPr defaultSize="0" autoFill="0" autoLine="0" autoPict="0" altText="">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50192" r:id="rId16" name="Option Button 16">
              <controlPr defaultSize="0" autoFill="0" autoLine="0" autoPict="0" altText="">
                <anchor moveWithCells="1">
                  <from>
                    <xdr:col>8</xdr:col>
                    <xdr:colOff>762000</xdr:colOff>
                    <xdr:row>17</xdr:row>
                    <xdr:rowOff>0</xdr:rowOff>
                  </from>
                  <to>
                    <xdr:col>10</xdr:col>
                    <xdr:colOff>388620</xdr:colOff>
                    <xdr:row>18</xdr:row>
                    <xdr:rowOff>0</xdr:rowOff>
                  </to>
                </anchor>
              </controlPr>
            </control>
          </mc:Choice>
        </mc:AlternateContent>
        <mc:AlternateContent xmlns:mc="http://schemas.openxmlformats.org/markup-compatibility/2006">
          <mc:Choice Requires="x14">
            <control shapeId="50193" r:id="rId17" name="Option Button 17">
              <controlPr defaultSize="0" autoFill="0" autoLine="0" autoPict="0" altText="">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50194" r:id="rId18"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0201"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3" r:id="rId20" name="Option Button 27">
              <controlPr defaultSize="0" autoFill="0" autoLine="0" autoPict="0" altText="">
                <anchor moveWithCells="1">
                  <from>
                    <xdr:col>12</xdr:col>
                    <xdr:colOff>68580</xdr:colOff>
                    <xdr:row>15</xdr:row>
                    <xdr:rowOff>7620</xdr:rowOff>
                  </from>
                  <to>
                    <xdr:col>12</xdr:col>
                    <xdr:colOff>114300</xdr:colOff>
                    <xdr:row>15</xdr:row>
                    <xdr:rowOff>68580</xdr:rowOff>
                  </to>
                </anchor>
              </controlPr>
            </control>
          </mc:Choice>
        </mc:AlternateContent>
        <mc:AlternateContent xmlns:mc="http://schemas.openxmlformats.org/markup-compatibility/2006">
          <mc:Choice Requires="x14">
            <control shapeId="50206" r:id="rId21" name="Option Button 30">
              <controlPr defaultSize="0" autoFill="0" autoLine="0" autoPict="0" altText="">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50207" r:id="rId22"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3"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4" name="Group Box 40">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0217" r:id="rId25"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6"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5336046-2B30-407C-BD4E-22715E7A1071}">
            <xm:f>Info!$V$7=2</xm:f>
            <x14:dxf>
              <font>
                <color theme="0" tint="-4.9989318521683403E-2"/>
              </font>
              <border>
                <vertical/>
                <horizontal/>
              </border>
            </x14:dxf>
          </x14:cfRule>
          <xm:sqref>B100:N100</xm:sqref>
        </x14:conditionalFormatting>
        <x14:conditionalFormatting xmlns:xm="http://schemas.microsoft.com/office/excel/2006/main">
          <x14:cfRule type="expression" priority="833" id="{67760967-980E-4E65-96EF-BE436B40B677}">
            <xm:f>$H$34=Formeln!$A$1</xm:f>
            <x14:dxf>
              <fill>
                <patternFill>
                  <bgColor theme="0" tint="-0.14996795556505021"/>
                </patternFill>
              </fill>
            </x14:dxf>
          </x14:cfRule>
          <xm:sqref>H34:K34</xm:sqref>
        </x14:conditionalFormatting>
        <x14:conditionalFormatting xmlns:xm="http://schemas.microsoft.com/office/excel/2006/main">
          <x14:cfRule type="expression" priority="831" id="{751DD67E-9843-4911-878B-2EF0049F9F4B}">
            <xm:f>$H$37=Formeln!$A$1</xm:f>
            <x14:dxf>
              <fill>
                <patternFill>
                  <bgColor theme="0" tint="-0.14996795556505021"/>
                </patternFill>
              </fill>
            </x14:dxf>
          </x14:cfRule>
          <xm:sqref>H37:K37</xm:sqref>
        </x14:conditionalFormatting>
        <x14:conditionalFormatting xmlns:xm="http://schemas.microsoft.com/office/excel/2006/main">
          <x14:cfRule type="expression" priority="485" id="{2D9C7DDD-E479-4D3D-9ECA-D881EA6E51E7}">
            <xm:f>$H$47=Formeln!$A$1</xm:f>
            <x14:dxf>
              <fill>
                <patternFill>
                  <bgColor theme="0" tint="-0.14996795556505021"/>
                </patternFill>
              </fill>
            </x14:dxf>
          </x14:cfRule>
          <xm:sqref>H47:K47</xm:sqref>
        </x14:conditionalFormatting>
        <x14:conditionalFormatting xmlns:xm="http://schemas.microsoft.com/office/excel/2006/main">
          <x14:cfRule type="expression" priority="484" id="{B2F83216-493E-45D1-8C0D-614DB5BC3E76}">
            <xm:f>$H$48=Formeln!$A$1</xm:f>
            <x14:dxf>
              <fill>
                <patternFill>
                  <bgColor theme="0" tint="-0.14996795556505021"/>
                </patternFill>
              </fill>
            </x14:dxf>
          </x14:cfRule>
          <xm:sqref>H48:K48</xm:sqref>
        </x14:conditionalFormatting>
        <x14:conditionalFormatting xmlns:xm="http://schemas.microsoft.com/office/excel/2006/main">
          <x14:cfRule type="expression" priority="823" id="{20A3201D-3A63-409B-8417-1B70CB314E79}">
            <xm:f>$I$103=Formeln!$A$1</xm:f>
            <x14:dxf>
              <fill>
                <patternFill>
                  <bgColor theme="0" tint="-0.14996795556505021"/>
                </patternFill>
              </fill>
            </x14:dxf>
          </x14:cfRule>
          <xm:sqref>I103</xm:sqref>
        </x14:conditionalFormatting>
        <x14:conditionalFormatting xmlns:xm="http://schemas.microsoft.com/office/excel/2006/main">
          <x14:cfRule type="expression" priority="824" id="{1C0C1B90-7EF3-487C-919B-AAEF3EDB3EE2}">
            <xm:f>$I$102=Formeln!$A$1</xm:f>
            <x14:dxf>
              <fill>
                <patternFill>
                  <bgColor theme="0" tint="-0.14996795556505021"/>
                </patternFill>
              </fill>
            </x14:dxf>
          </x14:cfRule>
          <xm:sqref>I102:K102</xm:sqref>
        </x14:conditionalFormatting>
        <x14:conditionalFormatting xmlns:xm="http://schemas.microsoft.com/office/excel/2006/main">
          <x14:cfRule type="expression" priority="480" id="{D6870BF9-B843-4274-A47A-7FA11E240B8D}">
            <xm:f>$J$55=Formeln!$A$1</xm:f>
            <x14:dxf>
              <fill>
                <patternFill>
                  <bgColor theme="0" tint="-0.14996795556505021"/>
                </patternFill>
              </fill>
            </x14:dxf>
          </x14:cfRule>
          <xm:sqref>J55:K55</xm:sqref>
        </x14:conditionalFormatting>
        <x14:conditionalFormatting xmlns:xm="http://schemas.microsoft.com/office/excel/2006/main">
          <x14:cfRule type="expression" priority="479" id="{4E2F2D5D-2E68-460B-A88C-93ADF3952F5A}">
            <xm:f>$J$56=Formeln!$A$1</xm:f>
            <x14:dxf>
              <fill>
                <patternFill>
                  <bgColor theme="0" tint="-0.14996795556505021"/>
                </patternFill>
              </fill>
            </x14:dxf>
          </x14:cfRule>
          <xm:sqref>J56:K56</xm:sqref>
        </x14:conditionalFormatting>
        <x14:conditionalFormatting xmlns:xm="http://schemas.microsoft.com/office/excel/2006/main">
          <x14:cfRule type="expression" priority="478" id="{ACFF4663-B411-46DF-BC93-DE6111AC7770}">
            <xm:f>$J$57=Formeln!$A$1</xm:f>
            <x14:dxf>
              <fill>
                <patternFill>
                  <bgColor theme="0" tint="-0.14996795556505021"/>
                </patternFill>
              </fill>
            </x14:dxf>
          </x14:cfRule>
          <xm:sqref>J57:K57</xm:sqref>
        </x14:conditionalFormatting>
        <x14:conditionalFormatting xmlns:xm="http://schemas.microsoft.com/office/excel/2006/main">
          <x14:cfRule type="expression" priority="821" id="{082AF4D2-02CE-4B97-9A92-FD282B592078}">
            <xm:f>$K$103=Formeln!$A$1</xm:f>
            <x14:dxf>
              <fill>
                <patternFill>
                  <bgColor theme="0" tint="-0.14996795556505021"/>
                </patternFill>
              </fill>
            </x14:dxf>
          </x14:cfRule>
          <xm:sqref>K103</xm:sqref>
        </x14:conditionalFormatting>
        <x14:conditionalFormatting xmlns:xm="http://schemas.microsoft.com/office/excel/2006/main">
          <x14:cfRule type="expression" priority="5" id="{295D0B6E-CA1F-4D20-A2B2-F6F3A08B6C5B}">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8" id="{A1909CC8-2C08-4814-8CEE-56D96CE58255}">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700-000000000000}">
          <x14:formula1>
            <xm:f>Formeln!$A$30:$A$51</xm:f>
          </x14:formula1>
          <xm:sqref>J55:K55</xm:sqref>
        </x14:dataValidation>
        <x14:dataValidation type="list" allowBlank="1" showInputMessage="1" showErrorMessage="1" xr:uid="{00000000-0002-0000-0700-000001000000}">
          <x14:formula1>
            <xm:f>Formeln!$A$23:$A$25</xm:f>
          </x14:formula1>
          <xm:sqref>I103</xm:sqref>
        </x14:dataValidation>
        <x14:dataValidation type="list" allowBlank="1" showInputMessage="1" showErrorMessage="1" xr:uid="{00000000-0002-0000-0700-000002000000}">
          <x14:formula1>
            <xm:f>Formeln!$A$20:$A$22</xm:f>
          </x14:formula1>
          <xm:sqref>H48:K48</xm:sqref>
        </x14:dataValidation>
        <x14:dataValidation type="list" allowBlank="1" showInputMessage="1" showErrorMessage="1" xr:uid="{00000000-0002-0000-0700-000003000000}">
          <x14:formula1>
            <xm:f>Formeln!$A$17:$A$19</xm:f>
          </x14:formula1>
          <xm:sqref>H47:K47</xm:sqref>
        </x14:dataValidation>
        <x14:dataValidation type="list" allowBlank="1" showInputMessage="1" showErrorMessage="1" xr:uid="{00000000-0002-0000-0700-000004000000}">
          <x14:formula1>
            <xm:f>Formeln!$A$9:$A$15</xm:f>
          </x14:formula1>
          <xm:sqref>H37:K37</xm:sqref>
        </x14:dataValidation>
        <x14:dataValidation type="list" allowBlank="1" showInputMessage="1" showErrorMessage="1" xr:uid="{00000000-0002-0000-0700-000005000000}">
          <x14:formula1>
            <xm:f>Formeln!$A$5:$A$8</xm:f>
          </x14:formula1>
          <xm:sqref>H35:K35</xm:sqref>
        </x14:dataValidation>
        <x14:dataValidation type="list" allowBlank="1" showInputMessage="1" showErrorMessage="1" xr:uid="{00000000-0002-0000-0700-000006000000}">
          <x14:formula1>
            <xm:f>Formeln!$A$1:$A$4</xm:f>
          </x14:formula1>
          <xm:sqref>H34:K34</xm:sqref>
        </x14:dataValidation>
        <x14:dataValidation type="list" allowBlank="1" showInputMessage="1" showErrorMessage="1" xr:uid="{00000000-0002-0000-0700-000007000000}">
          <x14:formula1>
            <xm:f>Formeln!$A$106:$A$111</xm:f>
          </x14:formula1>
          <xm:sqref>I102:K102</xm:sqref>
        </x14:dataValidation>
        <x14:dataValidation type="list" allowBlank="1" showInputMessage="1" showErrorMessage="1" xr:uid="{00000000-0002-0000-0700-000008000000}">
          <x14:formula1>
            <xm:f>Formeln!$A$52:$A$103</xm:f>
          </x14:formula1>
          <xm:sqref>J56:K56</xm:sqref>
        </x14:dataValidation>
        <x14:dataValidation type="list" allowBlank="1" showInputMessage="1" showErrorMessage="1" xr:uid="{00000000-0002-0000-0700-000009000000}">
          <x14:formula1>
            <xm:f>Formeln!$C$52:$C$111</xm:f>
          </x14:formula1>
          <xm:sqref>J57:K57</xm:sqref>
        </x14:dataValidation>
        <x14:dataValidation type="list" allowBlank="1" showInputMessage="1" showErrorMessage="1" xr:uid="{00000000-0002-0000-0700-00000A000000}">
          <x14:formula1>
            <xm:f>Formeln!$A$127:$A$138</xm:f>
          </x14:formula1>
          <xm:sqref>K103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N2951"/>
  <sheetViews>
    <sheetView showGridLines="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28" width="8.5546875" style="5" hidden="1" customWidth="1"/>
    <col min="29" max="30" width="8.5546875" style="9" hidden="1" customWidth="1"/>
    <col min="31" max="32" width="0" style="1" hidden="1" customWidth="1"/>
    <col min="33" max="33" width="8.5546875" style="1" hidden="1" customWidth="1"/>
    <col min="34" max="53" width="8.6640625" style="1" hidden="1" customWidth="1"/>
    <col min="54" max="54" width="8.5546875" style="1" hidden="1" customWidth="1"/>
    <col min="55" max="118" width="8.5546875" style="36" hidden="1" customWidth="1"/>
    <col min="119" max="16384" width="8.5546875" style="1" hidden="1"/>
  </cols>
  <sheetData>
    <row r="1" spans="1:31" ht="28.2">
      <c r="N1" s="2" t="str">
        <f>VLOOKUP(279,Sprachindex!$A:$Z,Info!$O$7,FALSE)</f>
        <v>Dachsysteme</v>
      </c>
    </row>
    <row r="2" spans="1:31" ht="28.2">
      <c r="D2" s="18"/>
      <c r="N2" s="2" t="str">
        <f>VLOOKUP(666,Sprachindex!$A:$Z,Info!$O$7,FALSE)</f>
        <v>PREFALZ</v>
      </c>
    </row>
    <row r="3" spans="1:31" ht="15" customHeight="1"/>
    <row r="4" spans="1:31" ht="16.95" customHeight="1">
      <c r="A4" s="70"/>
      <c r="B4" s="70"/>
      <c r="C4" s="70"/>
      <c r="D4" s="70"/>
      <c r="E4" s="70"/>
      <c r="F4" s="70"/>
      <c r="G4" s="70"/>
      <c r="H4" s="70"/>
      <c r="I4" s="70"/>
      <c r="J4" s="70"/>
      <c r="K4" s="70"/>
      <c r="L4" s="70"/>
      <c r="M4" s="70"/>
      <c r="N4" s="204"/>
      <c r="O4" s="71"/>
      <c r="P4" s="71"/>
      <c r="Q4" s="71"/>
      <c r="R4" s="71"/>
      <c r="S4" s="71"/>
      <c r="T4" s="71"/>
      <c r="U4" s="71"/>
      <c r="V4" s="71"/>
      <c r="W4" s="71"/>
      <c r="X4" s="71"/>
      <c r="Y4" s="71"/>
      <c r="Z4" s="71"/>
      <c r="AA4" s="71"/>
      <c r="AB4" s="71"/>
      <c r="AE4" s="3"/>
    </row>
    <row r="5" spans="1:31" ht="16.95" customHeight="1">
      <c r="A5" s="70"/>
      <c r="B5" s="70"/>
      <c r="C5" s="70"/>
      <c r="D5" s="70"/>
      <c r="E5" s="70"/>
      <c r="F5" s="70"/>
      <c r="G5" s="70"/>
      <c r="H5" s="70"/>
      <c r="I5" s="70"/>
      <c r="J5" s="70"/>
      <c r="K5" s="70"/>
      <c r="L5" s="70"/>
      <c r="M5" s="70"/>
      <c r="N5" s="204"/>
      <c r="O5" s="71"/>
      <c r="P5" s="71"/>
      <c r="Q5" s="71"/>
      <c r="R5" s="71"/>
      <c r="S5" s="71"/>
      <c r="T5" s="71"/>
      <c r="U5" s="71"/>
      <c r="V5" s="71"/>
      <c r="W5" s="71"/>
      <c r="X5" s="71"/>
      <c r="Y5" s="71"/>
      <c r="Z5" s="71"/>
      <c r="AA5" s="71"/>
      <c r="AB5" s="71"/>
      <c r="AE5" s="3"/>
    </row>
    <row r="6" spans="1:31" ht="16.95" customHeight="1">
      <c r="A6" s="70"/>
      <c r="B6" s="70"/>
      <c r="C6" s="70"/>
      <c r="D6" s="70"/>
      <c r="E6" s="70"/>
      <c r="F6" s="70"/>
      <c r="G6" s="70"/>
      <c r="H6" s="70"/>
      <c r="I6" s="70"/>
      <c r="J6" s="70"/>
      <c r="K6" s="70"/>
      <c r="L6" s="70"/>
      <c r="M6" s="70"/>
      <c r="N6" s="204"/>
      <c r="O6" s="99"/>
      <c r="P6" s="99"/>
      <c r="Q6" s="99"/>
      <c r="R6" s="99"/>
      <c r="S6" s="99"/>
      <c r="T6" s="99"/>
      <c r="U6" s="99"/>
      <c r="V6" s="99"/>
      <c r="W6" s="99"/>
      <c r="X6" s="99"/>
      <c r="Y6" s="99"/>
      <c r="Z6" s="99"/>
      <c r="AA6" s="99"/>
      <c r="AB6" s="99"/>
      <c r="AE6" s="3"/>
    </row>
    <row r="7" spans="1:31" ht="16.95" customHeight="1">
      <c r="A7" s="70"/>
      <c r="B7" s="70"/>
      <c r="C7" s="70"/>
      <c r="D7" s="70"/>
      <c r="E7" s="70"/>
      <c r="F7" s="70"/>
      <c r="G7" s="70"/>
      <c r="H7" s="70"/>
      <c r="I7" s="70"/>
      <c r="J7" s="70"/>
      <c r="K7" s="70"/>
      <c r="L7" s="70"/>
      <c r="M7" s="70"/>
      <c r="N7" s="204"/>
      <c r="O7" s="99"/>
      <c r="P7" s="99"/>
      <c r="Q7" s="99"/>
      <c r="R7" s="99"/>
      <c r="S7" s="99"/>
      <c r="T7" s="99"/>
      <c r="U7" s="99"/>
      <c r="V7" s="99"/>
      <c r="W7" s="99"/>
      <c r="X7" s="99"/>
      <c r="Y7" s="99"/>
      <c r="Z7" s="99"/>
      <c r="AA7" s="99"/>
      <c r="AB7" s="99"/>
      <c r="AE7" s="3"/>
    </row>
    <row r="8" spans="1:31" ht="16.95" customHeight="1">
      <c r="A8" s="88" t="str">
        <f>VLOOKUP(393,Sprachindex!$A:$Z,Info!$O$7,FALSE)</f>
        <v>Firma / Besteller:</v>
      </c>
      <c r="B8" s="70"/>
      <c r="C8" s="70"/>
      <c r="D8" s="70"/>
      <c r="E8" s="70"/>
      <c r="F8" s="70"/>
      <c r="G8" s="70"/>
      <c r="H8" s="70"/>
      <c r="I8" s="70"/>
      <c r="J8" s="70"/>
      <c r="K8" s="70"/>
      <c r="L8" s="70"/>
      <c r="M8" s="70"/>
      <c r="N8" s="70"/>
      <c r="O8" s="71"/>
      <c r="P8" s="71"/>
      <c r="Q8" s="71"/>
      <c r="R8" s="71"/>
      <c r="S8" s="71"/>
      <c r="T8" s="71"/>
      <c r="U8" s="71"/>
      <c r="V8" s="71"/>
      <c r="W8" s="71"/>
      <c r="X8" s="71"/>
      <c r="Y8" s="71"/>
      <c r="Z8" s="71"/>
      <c r="AA8" s="71"/>
      <c r="AB8" s="93"/>
      <c r="AD8" s="10"/>
    </row>
    <row r="9" spans="1:31" ht="15" customHeight="1">
      <c r="A9" s="70"/>
      <c r="B9" s="74" t="str">
        <f>VLOOKUP(622,Sprachindex!$A:$Z,Info!$O$7,FALSE)</f>
        <v>Name:</v>
      </c>
      <c r="C9" s="585"/>
      <c r="D9" s="586"/>
      <c r="E9" s="587"/>
      <c r="F9" s="70"/>
      <c r="G9" s="87" t="str">
        <f>VLOOKUP(638,Sprachindex!$A:$Z,Info!$O$7,FALSE)</f>
        <v>Oberfläche:</v>
      </c>
      <c r="H9" s="70"/>
      <c r="J9" s="93" t="str">
        <f>VLOOKUP(886,Sprachindex!$A:$Z,Info!$O$7,FALSE)</f>
        <v>Stucco</v>
      </c>
      <c r="K9" s="70"/>
      <c r="L9" s="69" t="str">
        <f>VLOOKUP(433,Sprachindex!$A:$Z,Info!$O$7,FALSE)</f>
        <v>glatt</v>
      </c>
      <c r="M9" s="70"/>
      <c r="N9" s="70"/>
      <c r="O9" s="99">
        <v>0</v>
      </c>
      <c r="P9" s="99"/>
      <c r="Q9" s="99"/>
      <c r="R9" s="99"/>
      <c r="S9" s="99"/>
      <c r="T9" s="99"/>
      <c r="U9" s="99"/>
      <c r="V9" s="99"/>
      <c r="W9" s="99"/>
      <c r="X9" s="99"/>
      <c r="Y9" s="99"/>
      <c r="Z9" s="99"/>
      <c r="AA9" s="99"/>
      <c r="AB9" s="73"/>
      <c r="AC9" s="11"/>
      <c r="AE9" s="4"/>
    </row>
    <row r="10" spans="1:31" ht="15" customHeight="1">
      <c r="A10" s="70"/>
      <c r="B10" s="74" t="str">
        <f>VLOOKUP(884,Sprachindex!$A:$Z,Info!$O$7,FALSE)</f>
        <v>Straße:</v>
      </c>
      <c r="C10" s="585"/>
      <c r="D10" s="586"/>
      <c r="E10" s="587"/>
      <c r="F10" s="70"/>
      <c r="G10" s="70"/>
      <c r="H10" s="70"/>
      <c r="I10" s="70"/>
      <c r="J10" s="71">
        <v>1</v>
      </c>
      <c r="K10" s="70"/>
      <c r="L10" s="70"/>
      <c r="M10" s="70"/>
      <c r="N10" s="70"/>
      <c r="O10" s="71"/>
      <c r="P10" s="71"/>
      <c r="Q10" s="71"/>
      <c r="R10" s="71"/>
      <c r="S10" s="71"/>
      <c r="T10" s="71"/>
      <c r="U10" s="71"/>
      <c r="V10" s="71"/>
      <c r="W10" s="71"/>
      <c r="X10" s="71"/>
      <c r="Y10" s="71"/>
      <c r="Z10" s="71"/>
      <c r="AA10" s="71"/>
      <c r="AB10" s="93"/>
      <c r="AE10" s="4"/>
    </row>
    <row r="11" spans="1:31" ht="15" customHeight="1">
      <c r="A11" s="70"/>
      <c r="B11" s="74" t="str">
        <f>VLOOKUP(641,Sprachindex!$A:$Z,Info!$O$7,FALSE)</f>
        <v>Ort:</v>
      </c>
      <c r="C11" s="585"/>
      <c r="D11" s="586"/>
      <c r="E11" s="587"/>
      <c r="F11" s="70"/>
      <c r="G11" s="87" t="str">
        <f>VLOOKUP(1432,Sprachindex!$A:$Z,Info!$O$7,FALSE)</f>
        <v>Mengenermittlung in:</v>
      </c>
      <c r="H11" s="70"/>
      <c r="I11" s="93"/>
      <c r="J11" s="93" t="str">
        <f>VLOOKUP(992,Sprachindex!$A:$Z,Info!$O$7,FALSE)</f>
        <v>VPE</v>
      </c>
      <c r="K11" s="70"/>
      <c r="L11" s="69" t="str">
        <f>VLOOKUP(878,Sprachindex!$A:$Z,Info!$O$7,FALSE)</f>
        <v>Stk.</v>
      </c>
      <c r="M11" s="70"/>
      <c r="N11" s="70"/>
      <c r="O11" s="99">
        <v>0</v>
      </c>
      <c r="P11" s="99"/>
      <c r="Q11" s="99"/>
      <c r="R11" s="99"/>
      <c r="S11" s="99"/>
      <c r="T11" s="99"/>
      <c r="U11" s="99"/>
      <c r="V11" s="99"/>
      <c r="W11" s="99"/>
      <c r="X11" s="99"/>
      <c r="Y11" s="99"/>
      <c r="Z11" s="99"/>
      <c r="AA11" s="99"/>
      <c r="AB11" s="73"/>
      <c r="AC11" s="11"/>
      <c r="AE11" s="4"/>
    </row>
    <row r="12" spans="1:31" ht="15" customHeight="1">
      <c r="A12" s="70"/>
      <c r="B12" s="70"/>
      <c r="C12" s="70"/>
      <c r="D12" s="70"/>
      <c r="E12" s="70"/>
      <c r="F12" s="70"/>
      <c r="G12" s="70"/>
      <c r="H12" s="70"/>
      <c r="I12" s="74"/>
      <c r="J12" s="71">
        <v>1</v>
      </c>
      <c r="K12" s="70"/>
      <c r="L12" s="70"/>
      <c r="M12" s="70"/>
      <c r="N12" s="70"/>
      <c r="O12" s="71"/>
      <c r="P12" s="71"/>
      <c r="Q12" s="71"/>
      <c r="R12" s="71"/>
      <c r="S12" s="71"/>
      <c r="T12" s="71"/>
      <c r="U12" s="71"/>
      <c r="V12" s="71"/>
      <c r="W12" s="71"/>
      <c r="X12" s="71"/>
      <c r="Y12" s="71"/>
      <c r="Z12" s="71"/>
      <c r="AA12" s="71"/>
      <c r="AB12" s="93"/>
    </row>
    <row r="13" spans="1:31" ht="15" customHeight="1">
      <c r="A13" s="70"/>
      <c r="B13" s="74" t="str">
        <f>VLOOKUP(173,Sprachindex!$A:$Z,Info!$O$7,FALSE)</f>
        <v>Ansprechpartner:</v>
      </c>
      <c r="C13" s="585"/>
      <c r="D13" s="586"/>
      <c r="E13" s="587"/>
      <c r="F13" s="70"/>
      <c r="G13" s="87" t="str">
        <f>VLOOKUP(820,Sprachindex!$A:$Z,Info!$O$7,FALSE)</f>
        <v>Service:</v>
      </c>
      <c r="H13" s="70"/>
      <c r="I13" s="93" t="str">
        <f>VLOOKUP(601,Sprachindex!$A:$Z,Info!$O$7,FALSE)</f>
        <v>Mengenermittlung/Anfrage</v>
      </c>
      <c r="J13" s="69"/>
      <c r="K13" s="70"/>
      <c r="L13" s="69" t="str">
        <f>VLOOKUP(233,Sprachindex!$A:$Z,Info!$O$7,FALSE)</f>
        <v>Bestellung</v>
      </c>
      <c r="M13" s="70"/>
      <c r="N13" s="70"/>
      <c r="O13" s="99"/>
      <c r="P13" s="99"/>
      <c r="Q13" s="99"/>
      <c r="R13" s="99"/>
      <c r="S13" s="99"/>
      <c r="T13" s="99"/>
      <c r="U13" s="99"/>
      <c r="V13" s="99"/>
      <c r="W13" s="99"/>
      <c r="X13" s="99"/>
      <c r="Y13" s="99"/>
      <c r="Z13" s="99"/>
      <c r="AA13" s="99"/>
      <c r="AB13" s="73"/>
      <c r="AC13" s="12"/>
      <c r="AE13" s="4"/>
    </row>
    <row r="14" spans="1:31" ht="15" customHeight="1">
      <c r="A14" s="70"/>
      <c r="B14" s="74" t="str">
        <f>VLOOKUP(901,Sprachindex!$A:$Z,Info!$O$7,FALSE)</f>
        <v>Telefon:</v>
      </c>
      <c r="C14" s="585"/>
      <c r="D14" s="586"/>
      <c r="E14" s="587"/>
      <c r="F14" s="70"/>
      <c r="G14" s="70"/>
      <c r="H14" s="70"/>
      <c r="I14" s="70"/>
      <c r="J14" s="70"/>
      <c r="K14" s="70"/>
      <c r="L14" s="70"/>
      <c r="M14" s="70"/>
      <c r="N14" s="70"/>
      <c r="O14" s="71"/>
      <c r="P14" s="71"/>
      <c r="Q14" s="71"/>
      <c r="R14" s="71"/>
      <c r="S14" s="71"/>
      <c r="T14" s="71"/>
      <c r="U14" s="71"/>
      <c r="V14" s="71"/>
      <c r="W14" s="71"/>
      <c r="X14" s="71"/>
      <c r="Y14" s="71"/>
      <c r="Z14" s="71"/>
      <c r="AA14" s="71"/>
      <c r="AB14" s="73"/>
      <c r="AE14" s="4"/>
    </row>
    <row r="15" spans="1:31" ht="15" customHeight="1">
      <c r="A15" s="70"/>
      <c r="B15" s="74" t="str">
        <f>VLOOKUP(1698,Sprachindex!$A:$Z,Info!$O$7,FALSE)</f>
        <v>eMail:</v>
      </c>
      <c r="C15" s="585"/>
      <c r="D15" s="586"/>
      <c r="E15" s="587"/>
      <c r="F15" s="70"/>
      <c r="G15" s="94" t="str">
        <f>VLOOKUP(385,Sprachindex!$A:$Z,Info!$O$7,FALSE)</f>
        <v>Farbe:</v>
      </c>
      <c r="H15" s="70"/>
      <c r="I15" s="70"/>
      <c r="J15" s="70"/>
      <c r="K15" s="70"/>
      <c r="L15" s="70"/>
      <c r="M15" s="70"/>
      <c r="N15" s="70"/>
      <c r="O15" s="71"/>
      <c r="P15" s="71"/>
      <c r="Q15" s="71"/>
      <c r="R15" s="71"/>
      <c r="S15" s="71"/>
      <c r="T15" s="71"/>
      <c r="U15" s="71"/>
      <c r="V15" s="71"/>
      <c r="W15" s="71"/>
      <c r="X15" s="71"/>
      <c r="Y15" s="71"/>
      <c r="Z15" s="71"/>
      <c r="AA15" s="71"/>
      <c r="AB15" s="93"/>
      <c r="AE15" s="4"/>
    </row>
    <row r="16" spans="1:31" ht="15" customHeight="1">
      <c r="A16" s="70"/>
      <c r="B16" s="70"/>
      <c r="C16" s="70"/>
      <c r="D16" s="70"/>
      <c r="E16" s="70"/>
      <c r="F16" s="70"/>
      <c r="G16" s="70" t="str">
        <f>VLOOKUP(25,Sprachindex!$A:$Z,Info!$O$7,FALSE)</f>
        <v>01 P.10 Braun</v>
      </c>
      <c r="H16" s="70"/>
      <c r="I16" s="69" t="str">
        <f>VLOOKUP(51,Sprachindex!$A:$Z,Info!$O$7,FALSE)</f>
        <v>11 P.10 Nussbraun</v>
      </c>
      <c r="J16" s="70"/>
      <c r="K16" s="69" t="str">
        <f>VLOOKUP(112,Sprachindex!$A:$Z,Info!$O$7,FALSE)</f>
        <v>46 Patinagrün</v>
      </c>
      <c r="L16" s="70"/>
      <c r="M16" s="70"/>
      <c r="N16" s="70"/>
      <c r="O16" s="71"/>
      <c r="P16" s="71"/>
      <c r="Q16" s="71"/>
      <c r="R16" s="71"/>
      <c r="S16" s="71"/>
      <c r="T16" s="71"/>
      <c r="U16" s="71"/>
      <c r="V16" s="71"/>
      <c r="W16" s="71"/>
      <c r="X16" s="71"/>
      <c r="Y16" s="71"/>
      <c r="Z16" s="71"/>
      <c r="AA16" s="71"/>
      <c r="AB16" s="73"/>
    </row>
    <row r="17" spans="1:118" ht="15" customHeight="1">
      <c r="A17" s="88" t="str">
        <f>VLOOKUP(580,Sprachindex!$A:$Z,Info!$O$7,FALSE)</f>
        <v>Lieferadresse:</v>
      </c>
      <c r="B17" s="70"/>
      <c r="C17" s="70"/>
      <c r="D17" s="70"/>
      <c r="E17" s="70"/>
      <c r="F17" s="70"/>
      <c r="G17" s="70" t="str">
        <f>VLOOKUP(27,Sprachindex!$A:$Z,Info!$O$7,FALSE)</f>
        <v>02 P.10 Anthrazit</v>
      </c>
      <c r="H17" s="70"/>
      <c r="I17" s="69" t="str">
        <f>VLOOKUP(35,Sprachindex!$A:$Z,Info!$O$7,FALSE)</f>
        <v>06 P.10 Moosgrün</v>
      </c>
      <c r="J17" s="70"/>
      <c r="K17" s="69" t="str">
        <f>VLOOKUP(72,Sprachindex!$A:$Z,Info!$O$7,FALSE)</f>
        <v>23 Schwarzgrau</v>
      </c>
      <c r="L17" s="70"/>
      <c r="M17" s="70"/>
      <c r="N17" s="70"/>
      <c r="O17" s="71"/>
      <c r="P17" s="71"/>
      <c r="Q17" s="71"/>
      <c r="R17" s="71"/>
      <c r="S17" s="71"/>
      <c r="T17" s="71"/>
      <c r="U17" s="71"/>
      <c r="V17" s="71"/>
      <c r="W17" s="71"/>
      <c r="X17" s="71"/>
      <c r="Y17" s="71"/>
      <c r="Z17" s="71"/>
      <c r="AA17" s="71"/>
      <c r="AB17" s="73"/>
      <c r="AD17" s="10"/>
    </row>
    <row r="18" spans="1:118" ht="15" customHeight="1">
      <c r="A18" s="70"/>
      <c r="B18" s="74" t="str">
        <f>VLOOKUP(622,Sprachindex!$A:$Z,Info!$O$7,FALSE)</f>
        <v>Name:</v>
      </c>
      <c r="C18" s="585"/>
      <c r="D18" s="586"/>
      <c r="E18" s="587"/>
      <c r="F18" s="70"/>
      <c r="G18" s="70" t="str">
        <f>VLOOKUP(28,Sprachindex!$A:$Z,Info!$O$7,FALSE)</f>
        <v>03 P.10 Schwarz</v>
      </c>
      <c r="H18" s="70"/>
      <c r="I18" s="69" t="str">
        <f>VLOOKUP(38,Sprachindex!$A:$Z,Info!$O$7,FALSE)</f>
        <v>08 P.10 Zinkgrau</v>
      </c>
      <c r="J18" s="70"/>
      <c r="K18" s="69" t="str">
        <f>VLOOKUP(113,Sprachindex!$A:$Z,Info!$O$7,FALSE)</f>
        <v>47 Patinagrau</v>
      </c>
      <c r="L18" s="70"/>
      <c r="M18" s="70"/>
      <c r="N18" s="70"/>
      <c r="O18" s="95"/>
      <c r="P18" s="95"/>
      <c r="Q18" s="95"/>
      <c r="R18" s="95"/>
      <c r="S18" s="95"/>
      <c r="T18" s="95"/>
      <c r="U18" s="95"/>
      <c r="V18" s="95"/>
      <c r="W18" s="95"/>
      <c r="X18" s="95"/>
      <c r="Y18" s="95"/>
      <c r="Z18" s="95"/>
      <c r="AA18" s="95"/>
      <c r="AB18" s="93"/>
      <c r="AE18" s="4"/>
    </row>
    <row r="19" spans="1:118" ht="15" customHeight="1">
      <c r="A19" s="70"/>
      <c r="B19" s="74" t="str">
        <f>VLOOKUP(540,Sprachindex!$A:$Z,Info!$O$7,FALSE)</f>
        <v>Kommission:</v>
      </c>
      <c r="C19" s="585"/>
      <c r="D19" s="586"/>
      <c r="E19" s="587"/>
      <c r="F19" s="70"/>
      <c r="G19" s="70" t="str">
        <f>VLOOKUP(30,Sprachindex!$A:$Z,Info!$O$7,FALSE)</f>
        <v>04 P.10 Ziegelrot</v>
      </c>
      <c r="H19" s="70"/>
      <c r="I19" s="69" t="str">
        <f>VLOOKUP(42,Sprachindex!$A:$Z,Info!$O$7,FALSE)</f>
        <v>10 P.10 Prefaweiß</v>
      </c>
      <c r="J19" s="70"/>
      <c r="K19" s="69" t="str">
        <f>VLOOKUP(59,Sprachindex!$A:$Z,Info!$O$7,FALSE)</f>
        <v>17 P.10 Reinweiß</v>
      </c>
      <c r="L19" s="70"/>
      <c r="M19" s="70"/>
      <c r="N19" s="70"/>
      <c r="O19" s="71"/>
      <c r="P19" s="71"/>
      <c r="Q19" s="71"/>
      <c r="R19" s="71"/>
      <c r="S19" s="71"/>
      <c r="T19" s="71"/>
      <c r="U19" s="71"/>
      <c r="V19" s="71"/>
      <c r="W19" s="71"/>
      <c r="X19" s="71"/>
      <c r="Y19" s="71"/>
      <c r="Z19" s="71"/>
      <c r="AA19" s="71"/>
      <c r="AB19" s="73"/>
      <c r="AC19" s="152"/>
      <c r="AE19" s="4"/>
    </row>
    <row r="20" spans="1:118" ht="15" customHeight="1">
      <c r="A20" s="70"/>
      <c r="B20" s="74" t="str">
        <f>VLOOKUP(884,Sprachindex!$A:$Z,Info!$O$7,FALSE)</f>
        <v>Straße:</v>
      </c>
      <c r="C20" s="585"/>
      <c r="D20" s="586"/>
      <c r="E20" s="587"/>
      <c r="F20" s="70"/>
      <c r="G20" s="70" t="str">
        <f>VLOOKUP(33,Sprachindex!$A:$Z,Info!$O$7,FALSE)</f>
        <v>05 P.10 Oxydrot</v>
      </c>
      <c r="H20" s="70"/>
      <c r="I20" s="70" t="str">
        <f>VLOOKUP(54,Sprachindex!$A:$Z,Info!$O$7,FALSE)</f>
        <v>13 Naturblank</v>
      </c>
      <c r="J20" s="70"/>
      <c r="K20" s="69" t="str">
        <f>VLOOKUP(63,Sprachindex!$A:$Z,Info!$O$7,FALSE)</f>
        <v>19 P.10 Dunkelgrau</v>
      </c>
      <c r="L20" s="70"/>
      <c r="M20" s="70"/>
      <c r="N20" s="70"/>
      <c r="O20" s="71"/>
      <c r="P20" s="71"/>
      <c r="Q20" s="71"/>
      <c r="R20" s="71"/>
      <c r="S20" s="71"/>
      <c r="T20" s="71"/>
      <c r="U20" s="71"/>
      <c r="V20" s="71"/>
      <c r="W20" s="71"/>
      <c r="X20" s="71"/>
      <c r="Y20" s="71"/>
      <c r="Z20" s="71"/>
      <c r="AA20" s="71"/>
      <c r="AB20" s="73"/>
      <c r="AC20" s="152"/>
      <c r="AE20" s="4"/>
    </row>
    <row r="21" spans="1:118" ht="15" customHeight="1">
      <c r="A21" s="70"/>
      <c r="B21" s="74" t="str">
        <f>VLOOKUP(641,Sprachindex!$A:$Z,Info!$O$7,FALSE)</f>
        <v>Ort:</v>
      </c>
      <c r="C21" s="585"/>
      <c r="D21" s="586"/>
      <c r="E21" s="587"/>
      <c r="F21" s="70"/>
      <c r="G21" s="70" t="str">
        <f>VLOOKUP(37,Sprachindex!$A:$Z,Info!$O$7,FALSE)</f>
        <v>07 P.10 Hellgrau</v>
      </c>
      <c r="H21" s="70"/>
      <c r="I21" s="69" t="str">
        <f>VLOOKUP(52,Sprachindex!$A:$Z,Info!$O$7,FALSE)</f>
        <v>12 Silbermetallic</v>
      </c>
      <c r="J21" s="70"/>
      <c r="K21" s="69" t="str">
        <f>VLOOKUP(2656,Sprachindex!$A:$Z,Info!$O$7,FALSE)</f>
        <v>P.10 Bronze</v>
      </c>
      <c r="L21" s="106"/>
      <c r="M21" s="70"/>
      <c r="N21" s="70"/>
      <c r="O21" s="99">
        <v>0</v>
      </c>
      <c r="P21" s="99"/>
      <c r="Q21" s="99"/>
      <c r="R21" s="99"/>
      <c r="S21" s="99"/>
      <c r="T21" s="99"/>
      <c r="U21" s="99"/>
      <c r="V21" s="99"/>
      <c r="W21" s="99"/>
      <c r="X21" s="99"/>
      <c r="Y21" s="99"/>
      <c r="Z21" s="99"/>
      <c r="AA21" s="99"/>
      <c r="AB21" s="93"/>
      <c r="AC21" s="152"/>
      <c r="AE21" s="4"/>
    </row>
    <row r="22" spans="1:118" ht="15" customHeight="1">
      <c r="A22" s="70"/>
      <c r="B22" s="74"/>
      <c r="C22" s="70"/>
      <c r="D22" s="70"/>
      <c r="E22" s="70"/>
      <c r="F22" s="70"/>
      <c r="G22" s="69" t="str">
        <f>VLOOKUP(110,Sprachindex!$A:$Z,Info!$O$7,FALSE)</f>
        <v>43 P.10 Steingrau</v>
      </c>
      <c r="H22" s="70"/>
      <c r="I22" s="69" t="str">
        <f>VLOOKUP(111,Sprachindex!$A:$Z,Info!$O$7,FALSE)</f>
        <v>45 Bronze</v>
      </c>
      <c r="J22" s="70"/>
      <c r="K22" s="70"/>
      <c r="L22" s="70"/>
      <c r="M22" s="70"/>
      <c r="N22" s="70"/>
      <c r="O22" s="71"/>
      <c r="P22" s="71"/>
      <c r="Q22" s="71"/>
      <c r="R22" s="71"/>
      <c r="S22" s="71"/>
      <c r="T22" s="71"/>
      <c r="U22" s="71"/>
      <c r="V22" s="71"/>
      <c r="W22" s="71"/>
      <c r="X22" s="71"/>
      <c r="Y22" s="71"/>
      <c r="Z22" s="71"/>
      <c r="AA22" s="71"/>
      <c r="AB22" s="73"/>
      <c r="AC22" s="152"/>
      <c r="AE22" s="4"/>
    </row>
    <row r="23" spans="1:118" ht="15" customHeight="1">
      <c r="A23" s="70"/>
      <c r="B23" s="74"/>
      <c r="C23" s="70"/>
      <c r="D23" s="70"/>
      <c r="E23" s="70"/>
      <c r="F23" s="70"/>
      <c r="G23" s="69"/>
      <c r="H23" s="70"/>
      <c r="I23" s="69"/>
      <c r="J23" s="70"/>
      <c r="K23" s="70"/>
      <c r="L23" s="70"/>
      <c r="M23" s="70"/>
      <c r="N23" s="70"/>
      <c r="O23" s="71"/>
      <c r="P23" s="71"/>
      <c r="Q23" s="71"/>
      <c r="R23" s="71"/>
      <c r="S23" s="71"/>
      <c r="T23" s="71"/>
      <c r="U23" s="71"/>
      <c r="V23" s="71"/>
      <c r="W23" s="71"/>
      <c r="X23" s="71"/>
      <c r="Y23" s="71"/>
      <c r="Z23" s="71"/>
      <c r="AA23" s="71"/>
      <c r="AB23" s="73"/>
      <c r="AC23" s="152"/>
      <c r="AE23" s="4"/>
    </row>
    <row r="24" spans="1:118" s="5" customFormat="1" ht="15" customHeight="1">
      <c r="A24" s="88" t="str">
        <f>VLOOKUP(1427,Sprachindex!$A:$Z,Info!$O$7,FALSE)</f>
        <v>Projektdaten:</v>
      </c>
      <c r="B24" s="74"/>
      <c r="C24" s="70"/>
      <c r="D24" s="70"/>
      <c r="E24" s="70"/>
      <c r="F24" s="70"/>
      <c r="G24" s="88" t="str">
        <f>VLOOKUP(1428,Sprachindex!$A:$Z,Info!$O$7,FALSE)</f>
        <v>techn. Ausarbeitung PREFA:</v>
      </c>
      <c r="H24" s="74"/>
      <c r="I24" s="70"/>
      <c r="J24" s="70"/>
      <c r="K24" s="70"/>
      <c r="L24" s="70"/>
      <c r="M24" s="70"/>
      <c r="N24" s="70"/>
      <c r="O24" s="71"/>
      <c r="P24" s="71"/>
      <c r="Q24" s="71"/>
      <c r="R24" s="71"/>
      <c r="S24" s="71"/>
      <c r="T24" s="71"/>
      <c r="U24" s="71"/>
      <c r="V24" s="71"/>
      <c r="W24" s="71"/>
      <c r="X24" s="71"/>
      <c r="Y24" s="71"/>
      <c r="Z24" s="71"/>
      <c r="AA24" s="71"/>
      <c r="AB24" s="93"/>
      <c r="AC24" s="152"/>
      <c r="AD24" s="54"/>
      <c r="AE24" s="14"/>
      <c r="BC24" s="507"/>
      <c r="BD24" s="507"/>
      <c r="BE24" s="507"/>
      <c r="BF24" s="507"/>
      <c r="BG24" s="507"/>
      <c r="BH24" s="507"/>
      <c r="BI24" s="507"/>
      <c r="BJ24" s="507"/>
      <c r="BK24" s="507"/>
      <c r="BL24" s="507"/>
      <c r="BM24" s="507"/>
      <c r="BN24" s="507"/>
      <c r="BO24" s="507"/>
      <c r="BP24" s="507"/>
      <c r="BQ24" s="507"/>
      <c r="BR24" s="507"/>
      <c r="BS24" s="507"/>
      <c r="BT24" s="507"/>
      <c r="BU24" s="507"/>
      <c r="BV24" s="507"/>
      <c r="BW24" s="507"/>
      <c r="BX24" s="507"/>
      <c r="BY24" s="507"/>
      <c r="BZ24" s="507"/>
      <c r="CA24" s="507"/>
      <c r="CB24" s="507"/>
      <c r="CC24" s="507"/>
      <c r="CD24" s="507"/>
      <c r="CE24" s="507"/>
      <c r="CF24" s="507"/>
      <c r="CG24" s="507"/>
      <c r="CH24" s="507"/>
      <c r="CI24" s="507"/>
      <c r="CJ24" s="507"/>
      <c r="CK24" s="507"/>
      <c r="CL24" s="507"/>
      <c r="CM24" s="507"/>
      <c r="CN24" s="507"/>
      <c r="CO24" s="507"/>
      <c r="CP24" s="507"/>
      <c r="CQ24" s="507"/>
      <c r="CR24" s="507"/>
      <c r="CS24" s="507"/>
      <c r="CT24" s="507"/>
      <c r="CU24" s="507"/>
      <c r="CV24" s="507"/>
      <c r="CW24" s="507"/>
      <c r="CX24" s="507"/>
      <c r="CY24" s="507"/>
      <c r="CZ24" s="507"/>
      <c r="DA24" s="507"/>
      <c r="DB24" s="507"/>
      <c r="DC24" s="507"/>
      <c r="DD24" s="507"/>
      <c r="DE24" s="507"/>
      <c r="DF24" s="507"/>
      <c r="DG24" s="507"/>
      <c r="DH24" s="507"/>
      <c r="DI24" s="507"/>
      <c r="DJ24" s="507"/>
      <c r="DK24" s="507"/>
      <c r="DL24" s="507"/>
      <c r="DM24" s="507"/>
      <c r="DN24" s="507"/>
    </row>
    <row r="25" spans="1:118" s="5" customFormat="1" ht="15" customHeight="1">
      <c r="A25" s="1"/>
      <c r="B25" s="584" t="str">
        <f>VLOOKUP(1430,Sprachindex!$A:$Z,Info!$O$7,FALSE)</f>
        <v>Beschreibung</v>
      </c>
      <c r="C25" s="585"/>
      <c r="D25" s="586"/>
      <c r="E25" s="587"/>
      <c r="F25" s="70"/>
      <c r="G25" s="88"/>
      <c r="H25" s="74" t="str">
        <f>VLOOKUP(1429,Sprachindex!$A:$Z,Info!$O$7,FALSE)</f>
        <v>Bearbeiter:</v>
      </c>
      <c r="I25" s="450"/>
      <c r="J25" s="70"/>
      <c r="K25" s="70"/>
      <c r="L25" s="70"/>
      <c r="M25" s="70"/>
      <c r="N25" s="70"/>
      <c r="O25" s="71"/>
      <c r="P25" s="71"/>
      <c r="Q25" s="71"/>
      <c r="R25" s="71"/>
      <c r="S25" s="71"/>
      <c r="T25" s="71"/>
      <c r="U25" s="71"/>
      <c r="V25" s="71"/>
      <c r="W25" s="71"/>
      <c r="X25" s="71"/>
      <c r="Y25" s="71"/>
      <c r="Z25" s="71"/>
      <c r="AA25" s="71"/>
      <c r="AB25" s="73"/>
      <c r="AC25" s="152"/>
      <c r="AD25" s="54"/>
      <c r="AE25" s="14"/>
      <c r="BC25" s="507"/>
      <c r="BD25" s="507"/>
      <c r="BE25" s="507"/>
      <c r="BF25" s="507"/>
      <c r="BG25" s="507"/>
      <c r="BH25" s="507"/>
      <c r="BI25" s="507"/>
      <c r="BJ25" s="507"/>
      <c r="BK25" s="507"/>
      <c r="BL25" s="507"/>
      <c r="BM25" s="507"/>
      <c r="BN25" s="507"/>
      <c r="BO25" s="507"/>
      <c r="BP25" s="507"/>
      <c r="BQ25" s="507"/>
      <c r="BR25" s="507"/>
      <c r="BS25" s="507"/>
      <c r="BT25" s="507"/>
      <c r="BU25" s="507"/>
      <c r="BV25" s="507"/>
      <c r="BW25" s="507"/>
      <c r="BX25" s="507"/>
      <c r="BY25" s="507"/>
      <c r="BZ25" s="507"/>
      <c r="CA25" s="507"/>
      <c r="CB25" s="507"/>
      <c r="CC25" s="507"/>
      <c r="CD25" s="507"/>
      <c r="CE25" s="507"/>
      <c r="CF25" s="507"/>
      <c r="CG25" s="507"/>
      <c r="CH25" s="507"/>
      <c r="CI25" s="507"/>
      <c r="CJ25" s="507"/>
      <c r="CK25" s="507"/>
      <c r="CL25" s="507"/>
      <c r="CM25" s="507"/>
      <c r="CN25" s="507"/>
      <c r="CO25" s="507"/>
      <c r="CP25" s="507"/>
      <c r="CQ25" s="507"/>
      <c r="CR25" s="507"/>
      <c r="CS25" s="507"/>
      <c r="CT25" s="507"/>
      <c r="CU25" s="507"/>
      <c r="CV25" s="507"/>
      <c r="CW25" s="507"/>
      <c r="CX25" s="507"/>
      <c r="CY25" s="507"/>
      <c r="CZ25" s="507"/>
      <c r="DA25" s="507"/>
      <c r="DB25" s="507"/>
      <c r="DC25" s="507"/>
      <c r="DD25" s="507"/>
      <c r="DE25" s="507"/>
      <c r="DF25" s="507"/>
      <c r="DG25" s="507"/>
      <c r="DH25" s="507"/>
      <c r="DI25" s="507"/>
      <c r="DJ25" s="507"/>
      <c r="DK25" s="507"/>
      <c r="DL25" s="507"/>
      <c r="DM25" s="507"/>
      <c r="DN25" s="507"/>
    </row>
    <row r="26" spans="1:118" s="5" customFormat="1" ht="15" customHeight="1">
      <c r="A26" s="1"/>
      <c r="B26" s="584"/>
      <c r="C26" s="585"/>
      <c r="D26" s="586"/>
      <c r="E26" s="587"/>
      <c r="F26" s="70"/>
      <c r="G26" s="88"/>
      <c r="H26" s="74" t="str">
        <f>VLOOKUP(2243,Sprachindex!$A:$Z,Info!$O$7,FALSE)</f>
        <v>Projekt-ID:</v>
      </c>
      <c r="I26" s="450"/>
      <c r="J26" s="70"/>
      <c r="K26" s="70"/>
      <c r="L26" s="70"/>
      <c r="M26" s="70"/>
      <c r="N26" s="70"/>
      <c r="O26" s="71"/>
      <c r="P26" s="71"/>
      <c r="Q26" s="71"/>
      <c r="R26" s="71"/>
      <c r="S26" s="71"/>
      <c r="T26" s="71"/>
      <c r="U26" s="71"/>
      <c r="V26" s="71"/>
      <c r="W26" s="71"/>
      <c r="X26" s="71"/>
      <c r="Y26" s="71"/>
      <c r="Z26" s="71"/>
      <c r="AA26" s="71"/>
      <c r="AB26" s="73"/>
      <c r="AC26" s="152"/>
      <c r="AD26" s="54"/>
      <c r="AE26" s="14"/>
      <c r="BC26" s="507"/>
      <c r="BD26" s="507"/>
      <c r="BE26" s="507"/>
      <c r="BF26" s="507"/>
      <c r="BG26" s="507"/>
      <c r="BH26" s="507"/>
      <c r="BI26" s="507"/>
      <c r="BJ26" s="507"/>
      <c r="BK26" s="507"/>
      <c r="BL26" s="507"/>
      <c r="BM26" s="507"/>
      <c r="BN26" s="507"/>
      <c r="BO26" s="507"/>
      <c r="BP26" s="507"/>
      <c r="BQ26" s="507"/>
      <c r="BR26" s="507"/>
      <c r="BS26" s="507"/>
      <c r="BT26" s="507"/>
      <c r="BU26" s="507"/>
      <c r="BV26" s="507"/>
      <c r="BW26" s="507"/>
      <c r="BX26" s="507"/>
      <c r="BY26" s="507"/>
      <c r="BZ26" s="507"/>
      <c r="CA26" s="507"/>
      <c r="CB26" s="507"/>
      <c r="CC26" s="507"/>
      <c r="CD26" s="507"/>
      <c r="CE26" s="507"/>
      <c r="CF26" s="507"/>
      <c r="CG26" s="507"/>
      <c r="CH26" s="507"/>
      <c r="CI26" s="507"/>
      <c r="CJ26" s="507"/>
      <c r="CK26" s="507"/>
      <c r="CL26" s="507"/>
      <c r="CM26" s="507"/>
      <c r="CN26" s="507"/>
      <c r="CO26" s="507"/>
      <c r="CP26" s="507"/>
      <c r="CQ26" s="507"/>
      <c r="CR26" s="507"/>
      <c r="CS26" s="507"/>
      <c r="CT26" s="507"/>
      <c r="CU26" s="507"/>
      <c r="CV26" s="507"/>
      <c r="CW26" s="507"/>
      <c r="CX26" s="507"/>
      <c r="CY26" s="507"/>
      <c r="CZ26" s="507"/>
      <c r="DA26" s="507"/>
      <c r="DB26" s="507"/>
      <c r="DC26" s="507"/>
      <c r="DD26" s="507"/>
      <c r="DE26" s="507"/>
      <c r="DF26" s="507"/>
      <c r="DG26" s="507"/>
      <c r="DH26" s="507"/>
      <c r="DI26" s="507"/>
      <c r="DJ26" s="507"/>
      <c r="DK26" s="507"/>
      <c r="DL26" s="507"/>
      <c r="DM26" s="507"/>
      <c r="DN26" s="507"/>
    </row>
    <row r="27" spans="1:118" s="5" customFormat="1" ht="15" customHeight="1">
      <c r="A27" s="1"/>
      <c r="B27" s="584"/>
      <c r="C27" s="585"/>
      <c r="D27" s="586"/>
      <c r="E27" s="587"/>
      <c r="F27" s="70"/>
      <c r="G27" s="88"/>
      <c r="H27" s="74" t="str">
        <f>VLOOKUP(286,Sprachindex!$A:$Z,Info!$O$7,FALSE)</f>
        <v>Datum:</v>
      </c>
      <c r="I27" s="550">
        <f ca="1">TODAY()</f>
        <v>45580</v>
      </c>
      <c r="J27" s="70"/>
      <c r="K27" s="70"/>
      <c r="L27" s="70"/>
      <c r="M27" s="70"/>
      <c r="N27" s="70"/>
      <c r="O27" s="71"/>
      <c r="P27" s="71"/>
      <c r="Q27" s="71"/>
      <c r="R27" s="71"/>
      <c r="S27" s="71"/>
      <c r="T27" s="71"/>
      <c r="U27" s="71"/>
      <c r="V27" s="71"/>
      <c r="W27" s="71"/>
      <c r="X27" s="71"/>
      <c r="Y27" s="71"/>
      <c r="Z27" s="71"/>
      <c r="AA27" s="71"/>
      <c r="AB27" s="93"/>
      <c r="AC27" s="152"/>
      <c r="AD27" s="54"/>
      <c r="AE27" s="4"/>
      <c r="AF27" s="4"/>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507"/>
      <c r="BY27" s="507"/>
      <c r="BZ27" s="507"/>
      <c r="CA27" s="507"/>
      <c r="CB27" s="507"/>
      <c r="CC27" s="507"/>
      <c r="CD27" s="507"/>
      <c r="CE27" s="507"/>
      <c r="CF27" s="507"/>
      <c r="CG27" s="507"/>
      <c r="CH27" s="507"/>
      <c r="CI27" s="507"/>
      <c r="CJ27" s="507"/>
      <c r="CK27" s="507"/>
      <c r="CL27" s="507"/>
      <c r="CM27" s="507"/>
      <c r="CN27" s="507"/>
      <c r="CO27" s="507"/>
      <c r="CP27" s="507"/>
      <c r="CQ27" s="507"/>
      <c r="CR27" s="507"/>
      <c r="CS27" s="507"/>
      <c r="CT27" s="507"/>
      <c r="CU27" s="507"/>
      <c r="CV27" s="507"/>
      <c r="CW27" s="507"/>
      <c r="CX27" s="507"/>
      <c r="CY27" s="507"/>
      <c r="CZ27" s="507"/>
      <c r="DA27" s="507"/>
      <c r="DB27" s="507"/>
      <c r="DC27" s="507"/>
      <c r="DD27" s="507"/>
      <c r="DE27" s="507"/>
      <c r="DF27" s="507"/>
      <c r="DG27" s="507"/>
      <c r="DH27" s="507"/>
      <c r="DI27" s="507"/>
      <c r="DJ27" s="507"/>
      <c r="DK27" s="507"/>
      <c r="DL27" s="507"/>
      <c r="DM27" s="507"/>
      <c r="DN27" s="507"/>
    </row>
    <row r="28" spans="1:118" s="5" customFormat="1" ht="15" customHeight="1">
      <c r="A28" s="1"/>
      <c r="B28" s="584"/>
      <c r="C28" s="585"/>
      <c r="D28" s="586"/>
      <c r="E28" s="587"/>
      <c r="F28" s="70"/>
      <c r="L28" s="70"/>
      <c r="M28" s="70"/>
      <c r="N28" s="70"/>
      <c r="O28" s="71"/>
      <c r="P28" s="71"/>
      <c r="Q28" s="71"/>
      <c r="R28" s="71"/>
      <c r="S28" s="71"/>
      <c r="T28" s="71"/>
      <c r="U28" s="71"/>
      <c r="V28" s="71"/>
      <c r="W28" s="71"/>
      <c r="X28" s="71"/>
      <c r="Y28" s="71"/>
      <c r="Z28" s="71"/>
      <c r="AA28" s="71"/>
      <c r="AB28" s="73"/>
      <c r="AC28" s="152"/>
      <c r="AD28" s="54"/>
      <c r="AE28" s="14"/>
      <c r="BC28" s="507"/>
      <c r="BD28" s="507"/>
      <c r="BE28" s="507"/>
      <c r="BF28" s="507"/>
      <c r="BG28" s="507"/>
      <c r="BH28" s="507"/>
      <c r="BI28" s="507"/>
      <c r="BJ28" s="507"/>
      <c r="BK28" s="507"/>
      <c r="BL28" s="507"/>
      <c r="BM28" s="507"/>
      <c r="BN28" s="507"/>
      <c r="BO28" s="507"/>
      <c r="BP28" s="507"/>
      <c r="BQ28" s="507"/>
      <c r="BR28" s="507"/>
      <c r="BS28" s="507"/>
      <c r="BT28" s="507"/>
      <c r="BU28" s="507"/>
      <c r="BV28" s="507"/>
      <c r="BW28" s="507"/>
      <c r="BX28" s="507"/>
      <c r="BY28" s="507"/>
      <c r="BZ28" s="507"/>
      <c r="CA28" s="507"/>
      <c r="CB28" s="507"/>
      <c r="CC28" s="507"/>
      <c r="CD28" s="507"/>
      <c r="CE28" s="507"/>
      <c r="CF28" s="507"/>
      <c r="CG28" s="507"/>
      <c r="CH28" s="507"/>
      <c r="CI28" s="507"/>
      <c r="CJ28" s="507"/>
      <c r="CK28" s="507"/>
      <c r="CL28" s="507"/>
      <c r="CM28" s="507"/>
      <c r="CN28" s="507"/>
      <c r="CO28" s="507"/>
      <c r="CP28" s="507"/>
      <c r="CQ28" s="507"/>
      <c r="CR28" s="507"/>
      <c r="CS28" s="507"/>
      <c r="CT28" s="507"/>
      <c r="CU28" s="507"/>
      <c r="CV28" s="507"/>
      <c r="CW28" s="507"/>
      <c r="CX28" s="507"/>
      <c r="CY28" s="507"/>
      <c r="CZ28" s="507"/>
      <c r="DA28" s="507"/>
      <c r="DB28" s="507"/>
      <c r="DC28" s="507"/>
      <c r="DD28" s="507"/>
      <c r="DE28" s="507"/>
      <c r="DF28" s="507"/>
      <c r="DG28" s="507"/>
      <c r="DH28" s="507"/>
      <c r="DI28" s="507"/>
      <c r="DJ28" s="507"/>
      <c r="DK28" s="507"/>
      <c r="DL28" s="507"/>
      <c r="DM28" s="507"/>
      <c r="DN28" s="507"/>
    </row>
    <row r="29" spans="1:118" ht="15" customHeight="1" thickBot="1">
      <c r="A29" s="100" t="str">
        <f>VLOOKUP(392,Sprachindex!$A:$Z,Info!$O$7,FALSE)</f>
        <v>Filter:</v>
      </c>
      <c r="B29" s="620"/>
      <c r="C29" s="620"/>
      <c r="D29" s="620"/>
      <c r="E29" s="620"/>
      <c r="F29" s="70"/>
      <c r="G29" s="70"/>
      <c r="H29" s="70"/>
      <c r="I29" s="70"/>
      <c r="J29" s="70"/>
      <c r="K29" s="70"/>
      <c r="L29" s="70"/>
      <c r="M29" s="70"/>
      <c r="N29" s="70"/>
      <c r="O29" s="71"/>
      <c r="P29" s="71"/>
      <c r="Q29" s="71"/>
      <c r="R29" s="71"/>
      <c r="S29" s="71"/>
      <c r="T29" s="71"/>
      <c r="U29" s="71"/>
      <c r="V29" s="71"/>
      <c r="W29" s="71"/>
      <c r="X29" s="71"/>
      <c r="Y29" s="71"/>
      <c r="Z29" s="71"/>
      <c r="AA29" s="71"/>
      <c r="AB29" s="93"/>
      <c r="AC29" s="152"/>
      <c r="AD29" s="591" t="s">
        <v>25</v>
      </c>
      <c r="AE29" s="591"/>
      <c r="AH29" s="1" t="s">
        <v>26</v>
      </c>
      <c r="BC29" s="36" t="s">
        <v>27</v>
      </c>
      <c r="BW29" s="36" t="s">
        <v>105</v>
      </c>
      <c r="BX29" s="36" t="s">
        <v>106</v>
      </c>
      <c r="BY29" s="36" t="s">
        <v>26</v>
      </c>
      <c r="CS29" s="36" t="s">
        <v>27</v>
      </c>
    </row>
    <row r="30" spans="1:118" ht="35.1" customHeight="1" thickBot="1">
      <c r="A30" s="169" t="str">
        <f>VLOOKUP(598,Sprachindex!$A:$Z,Info!$O$7,FALSE)</f>
        <v>Menge</v>
      </c>
      <c r="B30" s="118" t="str">
        <f>VLOOKUP(332,Sprachindex!$A:$Z,Info!$O$7,FALSE)</f>
        <v>Einheit</v>
      </c>
      <c r="C30" s="118" t="str">
        <f>VLOOKUP(136,Sprachindex!$A:$Z,Info!$O$7,FALSE)</f>
        <v>Abbildung</v>
      </c>
      <c r="D30" s="118" t="str">
        <f>VLOOKUP(177,Sprachindex!$A:$Z,Info!$O$7,FALSE)</f>
        <v>Artikel-Nr.</v>
      </c>
      <c r="E30" s="592" t="str">
        <f>VLOOKUP(234,Sprachindex!$A:$Z,Info!$O$7,FALSE)</f>
        <v>Bezeichnung</v>
      </c>
      <c r="F30" s="593"/>
      <c r="G30" s="593"/>
      <c r="H30" s="593"/>
      <c r="I30" s="593"/>
      <c r="J30" s="593"/>
      <c r="K30" s="594"/>
      <c r="L30" s="118" t="str">
        <f>VLOOKUP(903,Sprachindex!$A:$Z,Info!$O$7,FALSE)</f>
        <v>Total</v>
      </c>
      <c r="M30" s="118" t="str">
        <f>VLOOKUP(332,Sprachindex!$A:$Z,Info!$O$7,FALSE)</f>
        <v>Einheit</v>
      </c>
      <c r="N30" s="444" t="str">
        <f>VLOOKUP(377,Sprachindex!$A:$Z,Info!$O$7,FALSE)</f>
        <v>Eventual</v>
      </c>
      <c r="O30" s="201" t="str">
        <f>VLOOKUP(1786,Sprachindex!$A:$Z,Info!$O$7,FALSE)</f>
        <v>Preis</v>
      </c>
      <c r="R30" s="78" t="s">
        <v>30</v>
      </c>
      <c r="S30" s="78" t="s">
        <v>30</v>
      </c>
      <c r="T30" s="195"/>
      <c r="U30" s="195"/>
      <c r="V30" s="195"/>
      <c r="W30" s="195"/>
      <c r="X30" s="195"/>
      <c r="Y30" s="195"/>
      <c r="Z30" s="195"/>
      <c r="AA30" s="195"/>
      <c r="AB30" s="93"/>
      <c r="AC30" s="135"/>
      <c r="AD30" s="163" t="s">
        <v>31</v>
      </c>
      <c r="AE30" s="163" t="s">
        <v>107</v>
      </c>
      <c r="AH30" s="521" t="s">
        <v>108</v>
      </c>
      <c r="AI30" s="522" t="s">
        <v>109</v>
      </c>
      <c r="AJ30" s="522" t="s">
        <v>110</v>
      </c>
      <c r="AK30" s="522" t="s">
        <v>111</v>
      </c>
      <c r="AL30" s="522" t="s">
        <v>112</v>
      </c>
      <c r="AM30" s="522" t="s">
        <v>113</v>
      </c>
      <c r="AN30" s="522" t="s">
        <v>114</v>
      </c>
      <c r="AO30" s="522" t="s">
        <v>115</v>
      </c>
      <c r="AP30" s="522" t="s">
        <v>116</v>
      </c>
      <c r="AQ30" s="522" t="s">
        <v>117</v>
      </c>
      <c r="AR30" s="522" t="s">
        <v>118</v>
      </c>
      <c r="AS30" s="522" t="s">
        <v>95</v>
      </c>
      <c r="AT30" s="522" t="s">
        <v>119</v>
      </c>
      <c r="AU30" s="522" t="s">
        <v>120</v>
      </c>
      <c r="AV30" s="522" t="s">
        <v>121</v>
      </c>
      <c r="AW30" s="522" t="s">
        <v>122</v>
      </c>
      <c r="AX30" s="523" t="s">
        <v>123</v>
      </c>
      <c r="AY30" s="523" t="s">
        <v>124</v>
      </c>
      <c r="AZ30" s="523" t="s">
        <v>125</v>
      </c>
      <c r="BA30" s="126" t="s">
        <v>126</v>
      </c>
      <c r="BC30" s="511" t="s">
        <v>108</v>
      </c>
      <c r="BD30" s="512" t="s">
        <v>109</v>
      </c>
      <c r="BE30" s="512" t="s">
        <v>110</v>
      </c>
      <c r="BF30" s="512" t="s">
        <v>111</v>
      </c>
      <c r="BG30" s="512" t="s">
        <v>112</v>
      </c>
      <c r="BH30" s="512" t="s">
        <v>113</v>
      </c>
      <c r="BI30" s="512" t="s">
        <v>114</v>
      </c>
      <c r="BJ30" s="512" t="s">
        <v>115</v>
      </c>
      <c r="BK30" s="512" t="s">
        <v>116</v>
      </c>
      <c r="BL30" s="512" t="s">
        <v>117</v>
      </c>
      <c r="BM30" s="512" t="s">
        <v>118</v>
      </c>
      <c r="BN30" s="512" t="s">
        <v>95</v>
      </c>
      <c r="BO30" s="512" t="s">
        <v>119</v>
      </c>
      <c r="BP30" s="512" t="s">
        <v>120</v>
      </c>
      <c r="BQ30" s="512" t="s">
        <v>121</v>
      </c>
      <c r="BR30" s="512" t="s">
        <v>122</v>
      </c>
      <c r="BS30" s="512" t="s">
        <v>123</v>
      </c>
      <c r="BT30" s="512" t="s">
        <v>124</v>
      </c>
      <c r="BU30" s="513" t="s">
        <v>125</v>
      </c>
      <c r="BV30" s="506" t="s">
        <v>126</v>
      </c>
      <c r="BX30" s="508" t="s">
        <v>108</v>
      </c>
      <c r="BY30" s="509" t="s">
        <v>109</v>
      </c>
      <c r="BZ30" s="509" t="s">
        <v>110</v>
      </c>
      <c r="CA30" s="509" t="s">
        <v>111</v>
      </c>
      <c r="CB30" s="509" t="s">
        <v>112</v>
      </c>
      <c r="CC30" s="509" t="s">
        <v>113</v>
      </c>
      <c r="CD30" s="509" t="s">
        <v>114</v>
      </c>
      <c r="CE30" s="509" t="s">
        <v>115</v>
      </c>
      <c r="CF30" s="509" t="s">
        <v>116</v>
      </c>
      <c r="CG30" s="509" t="s">
        <v>117</v>
      </c>
      <c r="CH30" s="509" t="s">
        <v>118</v>
      </c>
      <c r="CI30" s="509" t="s">
        <v>95</v>
      </c>
      <c r="CJ30" s="509" t="s">
        <v>119</v>
      </c>
      <c r="CK30" s="509" t="s">
        <v>120</v>
      </c>
      <c r="CL30" s="509" t="s">
        <v>121</v>
      </c>
      <c r="CM30" s="509" t="s">
        <v>122</v>
      </c>
      <c r="CN30" s="510" t="s">
        <v>123</v>
      </c>
      <c r="CO30" s="510" t="s">
        <v>124</v>
      </c>
      <c r="CP30" s="510" t="s">
        <v>125</v>
      </c>
      <c r="CQ30" s="506" t="s">
        <v>126</v>
      </c>
      <c r="CS30" s="511" t="s">
        <v>108</v>
      </c>
      <c r="CT30" s="512" t="s">
        <v>109</v>
      </c>
      <c r="CU30" s="512" t="s">
        <v>110</v>
      </c>
      <c r="CV30" s="512" t="s">
        <v>111</v>
      </c>
      <c r="CW30" s="512" t="s">
        <v>112</v>
      </c>
      <c r="CX30" s="512" t="s">
        <v>113</v>
      </c>
      <c r="CY30" s="512" t="s">
        <v>114</v>
      </c>
      <c r="CZ30" s="512" t="s">
        <v>115</v>
      </c>
      <c r="DA30" s="512" t="s">
        <v>116</v>
      </c>
      <c r="DB30" s="512" t="s">
        <v>117</v>
      </c>
      <c r="DC30" s="512" t="s">
        <v>118</v>
      </c>
      <c r="DD30" s="512" t="s">
        <v>95</v>
      </c>
      <c r="DE30" s="512" t="s">
        <v>119</v>
      </c>
      <c r="DF30" s="512" t="s">
        <v>120</v>
      </c>
      <c r="DG30" s="512" t="s">
        <v>121</v>
      </c>
      <c r="DH30" s="512" t="s">
        <v>122</v>
      </c>
      <c r="DI30" s="512" t="s">
        <v>123</v>
      </c>
      <c r="DJ30" s="512" t="s">
        <v>124</v>
      </c>
      <c r="DK30" s="513" t="s">
        <v>125</v>
      </c>
      <c r="DL30" s="506" t="s">
        <v>126</v>
      </c>
    </row>
    <row r="31" spans="1:118" ht="32.1" customHeight="1">
      <c r="A31" s="445"/>
      <c r="B31" s="120" t="str">
        <f>VLOOKUP(531,Sprachindex!$A:$Z,Info!$O$7,FALSE)</f>
        <v>kg</v>
      </c>
      <c r="C31" s="107"/>
      <c r="D31" s="107" t="str">
        <f>IF(AND($J31=Formeln!$A$288,$O$9=1),$BW31,IF(AND($J31=Formeln!$A$288,$O$9=2),$BB31,IF(AND($J31=Formeln!$A$289,$O$9=1),$DM31,IF(AND($J31=Formeln!$A$289,$O$9=2),$CR31,""))))</f>
        <v/>
      </c>
      <c r="E31" s="618" t="str">
        <f>VLOOKUP(673,Sprachindex!$A:$Z,Info!$O$7,FALSE)</f>
        <v>PREFALZ Farbaluminiumband; 0,7 × 500 mm</v>
      </c>
      <c r="F31" s="619"/>
      <c r="G31" s="619"/>
      <c r="H31" s="619"/>
      <c r="I31" s="619"/>
      <c r="J31" s="616"/>
      <c r="K31" s="617"/>
      <c r="L31" s="120" t="str">
        <f>IF(A31=0,"",IF($O$11=1,AD31,AE31))</f>
        <v/>
      </c>
      <c r="M31" s="446" t="str">
        <f>B31</f>
        <v>kg</v>
      </c>
      <c r="N31" s="437"/>
      <c r="O31" s="202"/>
      <c r="R31" s="200"/>
      <c r="S31" s="195"/>
      <c r="T31" s="195"/>
      <c r="U31" s="195"/>
      <c r="V31" s="195"/>
      <c r="W31" s="195"/>
      <c r="X31" s="195"/>
      <c r="Z31" s="195"/>
      <c r="AA31" s="195"/>
      <c r="AB31" s="99"/>
      <c r="AC31" s="195" t="s">
        <v>128</v>
      </c>
      <c r="AD31" s="228">
        <f>IF(J31=$AC$31,ROUNDUP(A31/60,0)*60,IF(J31=$AC$32,ROUNDUP(A31/500,0)*500,0))</f>
        <v>0</v>
      </c>
      <c r="AE31" s="160">
        <f t="shared" ref="AE31:AE38" si="0">ROUNDUP($A31,0)</f>
        <v>0</v>
      </c>
      <c r="AF31" s="8" t="b">
        <f>IF(J31=Formeln!$A$288,IF(A31&gt;60, Formeln!$A$119, Formeln!$A$118),IF(J31=Formeln!$A$289,IF(A31&gt;500, Formeln!$A$119, Formeln!$A$118)))</f>
        <v>0</v>
      </c>
      <c r="AH31" t="s">
        <v>129</v>
      </c>
      <c r="AI31" t="s">
        <v>130</v>
      </c>
      <c r="AJ31" t="s">
        <v>131</v>
      </c>
      <c r="AK31" t="s">
        <v>132</v>
      </c>
      <c r="AL31" t="s">
        <v>133</v>
      </c>
      <c r="AM31" t="s">
        <v>134</v>
      </c>
      <c r="AN31" t="s">
        <v>135</v>
      </c>
      <c r="AO31" t="s">
        <v>136</v>
      </c>
      <c r="AP31" t="s">
        <v>137</v>
      </c>
      <c r="AQ31" t="s">
        <v>138</v>
      </c>
      <c r="AR31" t="s">
        <v>139</v>
      </c>
      <c r="AS31" t="s">
        <v>140</v>
      </c>
      <c r="AT31" t="s">
        <v>141</v>
      </c>
      <c r="AU31" t="s">
        <v>142</v>
      </c>
      <c r="AV31" t="s">
        <v>143</v>
      </c>
      <c r="AW31" t="s">
        <v>144</v>
      </c>
      <c r="AX31" t="s">
        <v>145</v>
      </c>
      <c r="AY31" t="s">
        <v>146</v>
      </c>
      <c r="AZ31" t="s">
        <v>147</v>
      </c>
      <c r="BA31" s="524" t="s">
        <v>148</v>
      </c>
      <c r="BB31" s="56" t="str">
        <f>IF($O$21=1,AH31,IF($O$21=2,AI31,IF($O$21=3,AJ31,IF($O$21=4,AK31,IF($O$21=5,AL31,IF($O$21=6,AM31,IF($O$21=7,AN31,IF($O$21=8,AO31,IF($O$21=9,AP31,IF($O$21=10,AQ31,IF($O$21=11,AR31,IF($O$21=12,AS31,IF($O$21=13,AT31,IF($O$21=14,AU31,IF($O$21=15,AV31,IF($O$21=16,AW31,IF($O$21=17,AX31,IF($O$21=18,AY31,IF($O$21=19,AZ31,IF($O$21=20,BA31,""))))))))))))))))))))</f>
        <v/>
      </c>
      <c r="BC31" s="129" t="s">
        <v>149</v>
      </c>
      <c r="BD31" s="129" t="s">
        <v>150</v>
      </c>
      <c r="BE31" s="129" t="s">
        <v>151</v>
      </c>
      <c r="BF31" s="129" t="s">
        <v>152</v>
      </c>
      <c r="BG31" s="129" t="s">
        <v>153</v>
      </c>
      <c r="BH31" s="129" t="s">
        <v>154</v>
      </c>
      <c r="BI31" s="129" t="s">
        <v>155</v>
      </c>
      <c r="BJ31" s="129" t="s">
        <v>156</v>
      </c>
      <c r="BK31" s="129" t="s">
        <v>157</v>
      </c>
      <c r="BL31" s="129" t="s">
        <v>158</v>
      </c>
      <c r="BM31" s="129" t="s">
        <v>159</v>
      </c>
      <c r="BN31" s="129" t="s">
        <v>160</v>
      </c>
      <c r="BO31" s="129" t="s">
        <v>161</v>
      </c>
      <c r="BP31" s="129" t="s">
        <v>162</v>
      </c>
      <c r="BQ31" s="515"/>
      <c r="BR31" s="515"/>
      <c r="BS31" s="515"/>
      <c r="BT31" s="515" t="s">
        <v>163</v>
      </c>
      <c r="BU31" s="515" t="s">
        <v>164</v>
      </c>
      <c r="BV31" s="520" t="s">
        <v>165</v>
      </c>
      <c r="BW31" s="514" t="str">
        <f>IF($O$21=1,BC31,IF($O$21=2,BD31,IF($O$21=3,BE31,IF($O$21=4,BF31,IF($O$21=5,BG31,IF($O$21=6,BH31,IF($O$21=7,BI31,IF($O$21=8,BJ31,IF($O$21=9,BK31,IF($O$21=10,BL31,IF($O$21=11,BM31,IF($O$21=12,BN31,IF($O$21=13,BO31,IF($O$21=14,BP31,IF($O$21=15,BQ31,IF($O$21=16,BR31,IF($O$21=17,BS31,IF($O$21=18,BT31,IF($O$21=19,BU31,IF($O$21=20,BV31,""))))))))))))))))))))</f>
        <v/>
      </c>
      <c r="BX31" s="129" t="s">
        <v>166</v>
      </c>
      <c r="BY31" s="129" t="s">
        <v>167</v>
      </c>
      <c r="BZ31" s="129" t="s">
        <v>168</v>
      </c>
      <c r="CA31" s="129" t="s">
        <v>169</v>
      </c>
      <c r="CB31" s="129" t="s">
        <v>170</v>
      </c>
      <c r="CC31" s="129" t="s">
        <v>171</v>
      </c>
      <c r="CD31" s="129" t="s">
        <v>172</v>
      </c>
      <c r="CE31" s="129" t="s">
        <v>173</v>
      </c>
      <c r="CF31" s="129" t="s">
        <v>174</v>
      </c>
      <c r="CG31" s="129" t="s">
        <v>175</v>
      </c>
      <c r="CH31" s="129" t="s">
        <v>176</v>
      </c>
      <c r="CI31" s="129" t="s">
        <v>177</v>
      </c>
      <c r="CJ31" s="129" t="s">
        <v>178</v>
      </c>
      <c r="CK31" s="129" t="s">
        <v>179</v>
      </c>
      <c r="CL31" s="129" t="s">
        <v>180</v>
      </c>
      <c r="CM31" s="129" t="s">
        <v>181</v>
      </c>
      <c r="CN31" s="129" t="s">
        <v>182</v>
      </c>
      <c r="CO31" s="129" t="s">
        <v>183</v>
      </c>
      <c r="CP31" s="129" t="s">
        <v>184</v>
      </c>
      <c r="CQ31" s="519" t="s">
        <v>185</v>
      </c>
      <c r="CR31" s="514" t="str">
        <f>IF($O$21=1,BX31,IF($O$21=2,BY31,IF($O$21=3,BZ31,IF($O$21=4,CA31,IF($O$21=5,CB31,IF($O$21=6,CC31,IF($O$21=7,CD31,IF($O$21=8,CE31,IF($O$21=9,CF31,IF($O$21=10,CG31,IF($O$21=11,CH31,IF($O$21=12,CI31,IF($O$21=13,CJ31,IF($O$21=14,CK31,IF($O$21=15,CL31,IF($O$21=16,CM31,IF($O$21=17,CN31,IF($O$21=18,CO31,IF($O$21=19,CP31,IF($O$21=20,CQ31,""))))))))))))))))))))</f>
        <v/>
      </c>
      <c r="CS31" s="129" t="s">
        <v>186</v>
      </c>
      <c r="CT31" s="129" t="s">
        <v>187</v>
      </c>
      <c r="CU31" s="129" t="s">
        <v>188</v>
      </c>
      <c r="CV31" s="129" t="s">
        <v>189</v>
      </c>
      <c r="CW31" s="129" t="s">
        <v>190</v>
      </c>
      <c r="CX31" s="129" t="s">
        <v>154</v>
      </c>
      <c r="CY31" s="129" t="s">
        <v>191</v>
      </c>
      <c r="CZ31" s="129" t="s">
        <v>192</v>
      </c>
      <c r="DA31" s="129" t="s">
        <v>193</v>
      </c>
      <c r="DB31" s="129" t="s">
        <v>194</v>
      </c>
      <c r="DC31" s="129" t="s">
        <v>195</v>
      </c>
      <c r="DD31" s="129" t="s">
        <v>196</v>
      </c>
      <c r="DE31" s="129" t="s">
        <v>197</v>
      </c>
      <c r="DF31" s="129" t="s">
        <v>198</v>
      </c>
      <c r="DG31" s="515"/>
      <c r="DH31" s="515"/>
      <c r="DI31" s="515"/>
      <c r="DJ31" s="515" t="s">
        <v>199</v>
      </c>
      <c r="DK31" s="515" t="s">
        <v>200</v>
      </c>
      <c r="DL31" s="520" t="s">
        <v>201</v>
      </c>
      <c r="DM31" s="514" t="str">
        <f>IF($O$21=1,CS31,IF($O$21=2,CT31,IF($O$21=3,CU31,IF($O$21=4,CV31,IF($O$21=5,CW31,IF($O$21=6,CX31,IF($O$21=7,CY31,IF($O$21=8,CZ31,IF($O$21=9,DA31,IF($O$21=10,DB31,IF($O$21=11,DC31,IF($O$21=12,DD31,IF($O$21=13,DE31,IF($O$21=14,DF31,IF($O$21=15,DG31,IF($O$21=16,DH31,IF($O$21=17,DI31,IF($O$21=18,DJ31,IF($O$21=19,DK31,IF($O$21=20,DL31,""))))))))))))))))))))</f>
        <v/>
      </c>
    </row>
    <row r="32" spans="1:118" ht="32.1" customHeight="1">
      <c r="A32" s="98"/>
      <c r="B32" s="120" t="str">
        <f>VLOOKUP(531,Sprachindex!$A:$Z,Info!$O$7,FALSE)</f>
        <v>kg</v>
      </c>
      <c r="C32" s="107"/>
      <c r="D32" s="78" t="str">
        <f>IF(AND($J32=Formeln!$A$288,$O$9=1),$BW32,IF(AND($J32=Formeln!$A$288,$O$9=2),$BB32,IF(AND($J32=Formeln!$A$289,$O$9=1),$DM32,IF(AND($J32=Formeln!$A$289,$O$9=2),$CR32,""))))</f>
        <v/>
      </c>
      <c r="E32" s="581" t="str">
        <f>VLOOKUP(674,Sprachindex!$A:$Z,Info!$O$7,FALSE)</f>
        <v>PREFALZ Farbaluminiumband; 0,7 × 650 mm</v>
      </c>
      <c r="F32" s="582"/>
      <c r="G32" s="582"/>
      <c r="H32" s="582"/>
      <c r="I32" s="582"/>
      <c r="J32" s="572"/>
      <c r="K32" s="573"/>
      <c r="L32" s="79" t="str">
        <f t="shared" ref="L32:L33" si="1">IF(A32=0,"",IF($O$11=1,AD32,AE32))</f>
        <v/>
      </c>
      <c r="M32" s="433" t="str">
        <f t="shared" ref="M32:M84" si="2">B32</f>
        <v>kg</v>
      </c>
      <c r="N32" s="80"/>
      <c r="O32" s="202"/>
      <c r="R32" s="200"/>
      <c r="S32" s="195"/>
      <c r="T32" s="195"/>
      <c r="U32" s="195"/>
      <c r="V32" s="195"/>
      <c r="W32" s="195"/>
      <c r="X32" s="195"/>
      <c r="Z32" s="195"/>
      <c r="AA32" s="195"/>
      <c r="AB32" s="99"/>
      <c r="AC32" s="195" t="s">
        <v>127</v>
      </c>
      <c r="AD32" s="228">
        <f>IF(J32=$AC$31,ROUNDUP(A32/60,0)*60,IF(J32=$AC$32,ROUNDUP(A32/500,0)*500,0))</f>
        <v>0</v>
      </c>
      <c r="AE32" s="149">
        <f t="shared" si="0"/>
        <v>0</v>
      </c>
      <c r="AF32" s="8" t="b">
        <f>IF(J32=Formeln!$A$288,IF(A32&gt;60, Formeln!$A$119, Formeln!$A$118),IF(J32=Formeln!$A$289,IF(A32&gt;500, Formeln!$A$119, Formeln!$A$118)))</f>
        <v>0</v>
      </c>
      <c r="AH32" t="s">
        <v>202</v>
      </c>
      <c r="AI32" t="s">
        <v>203</v>
      </c>
      <c r="AJ32" t="s">
        <v>204</v>
      </c>
      <c r="AK32" t="s">
        <v>205</v>
      </c>
      <c r="AL32" t="s">
        <v>206</v>
      </c>
      <c r="AM32" t="s">
        <v>207</v>
      </c>
      <c r="AN32" t="s">
        <v>208</v>
      </c>
      <c r="AO32" t="s">
        <v>209</v>
      </c>
      <c r="AP32" t="s">
        <v>210</v>
      </c>
      <c r="AQ32" t="s">
        <v>211</v>
      </c>
      <c r="AR32" t="s">
        <v>212</v>
      </c>
      <c r="AS32" t="s">
        <v>213</v>
      </c>
      <c r="AT32" t="s">
        <v>214</v>
      </c>
      <c r="AU32" t="s">
        <v>215</v>
      </c>
      <c r="AV32" s="525"/>
      <c r="AW32" t="s">
        <v>216</v>
      </c>
      <c r="AX32" t="s">
        <v>217</v>
      </c>
      <c r="AY32" t="s">
        <v>218</v>
      </c>
      <c r="AZ32" t="s">
        <v>219</v>
      </c>
      <c r="BA32" s="524" t="s">
        <v>220</v>
      </c>
      <c r="BB32" s="56" t="str">
        <f>IF($O$21=1,AH32,IF($O$21=2,AI32,IF($O$21=3,AJ32,IF($O$21=4,AK32,IF($O$21=5,AL32,IF($O$21=6,AM32,IF($O$21=7,AN32,IF($O$21=8,AO32,IF($O$21=9,AP32,IF($O$21=10,AQ32,IF($O$21=11,AR32,IF($O$21=12,AS32,IF($O$21=13,AT32,IF($O$21=14,AU32,IF($O$21=15,AV32,IF($O$21=16,AW32,IF($O$21=17,AX32,IF($O$21=18,AY32,IF($O$21=19,AZ32,IF($O$21=20,BA32,""))))))))))))))))))))</f>
        <v/>
      </c>
      <c r="BC32" s="129" t="s">
        <v>221</v>
      </c>
      <c r="BD32" s="129" t="s">
        <v>222</v>
      </c>
      <c r="BE32" s="129" t="s">
        <v>223</v>
      </c>
      <c r="BF32" s="129" t="s">
        <v>224</v>
      </c>
      <c r="BG32" s="129" t="s">
        <v>225</v>
      </c>
      <c r="BH32" s="129" t="s">
        <v>226</v>
      </c>
      <c r="BI32" s="129" t="s">
        <v>227</v>
      </c>
      <c r="BJ32" s="129" t="s">
        <v>228</v>
      </c>
      <c r="BK32" s="129" t="s">
        <v>229</v>
      </c>
      <c r="BL32" s="129" t="s">
        <v>230</v>
      </c>
      <c r="BM32" s="129" t="s">
        <v>231</v>
      </c>
      <c r="BN32" s="129" t="s">
        <v>232</v>
      </c>
      <c r="BO32" s="129" t="s">
        <v>233</v>
      </c>
      <c r="BP32" s="129" t="s">
        <v>234</v>
      </c>
      <c r="BQ32" s="515"/>
      <c r="BR32" s="515"/>
      <c r="BS32" s="515"/>
      <c r="BT32" s="515" t="s">
        <v>235</v>
      </c>
      <c r="BU32" s="515" t="s">
        <v>236</v>
      </c>
      <c r="BV32" s="520" t="s">
        <v>237</v>
      </c>
      <c r="BW32" s="514" t="str">
        <f t="shared" ref="BW32:BW33" si="3">IF($O$21=1,BC32,IF($O$21=2,BD32,IF($O$21=3,BE32,IF($O$21=4,BF32,IF($O$21=5,BG32,IF($O$21=6,BH32,IF($O$21=7,BI32,IF($O$21=8,BJ32,IF($O$21=9,BK32,IF($O$21=10,BL32,IF($O$21=11,BM32,IF($O$21=12,BN32,IF($O$21=13,BO32,IF($O$21=14,BP32,IF($O$21=15,BQ32,IF($O$21=16,BR32,IF($O$21=17,BS32,IF($O$21=18,BT32,IF($O$21=19,BU32,IF($O$21=20,BV32,""))))))))))))))))))))</f>
        <v/>
      </c>
      <c r="BX32" s="129" t="s">
        <v>238</v>
      </c>
      <c r="BY32" s="129" t="s">
        <v>239</v>
      </c>
      <c r="BZ32" s="129" t="s">
        <v>240</v>
      </c>
      <c r="CA32" s="129" t="s">
        <v>241</v>
      </c>
      <c r="CB32" s="129" t="s">
        <v>242</v>
      </c>
      <c r="CC32" s="129" t="s">
        <v>243</v>
      </c>
      <c r="CD32" s="129" t="s">
        <v>244</v>
      </c>
      <c r="CE32" s="129" t="s">
        <v>245</v>
      </c>
      <c r="CF32" s="129" t="s">
        <v>246</v>
      </c>
      <c r="CG32" s="129" t="s">
        <v>247</v>
      </c>
      <c r="CH32" s="129" t="s">
        <v>248</v>
      </c>
      <c r="CI32" s="129" t="s">
        <v>249</v>
      </c>
      <c r="CJ32" s="129" t="s">
        <v>250</v>
      </c>
      <c r="CK32" s="129" t="s">
        <v>251</v>
      </c>
      <c r="CL32" s="515"/>
      <c r="CM32" s="129" t="s">
        <v>252</v>
      </c>
      <c r="CN32" s="129" t="s">
        <v>253</v>
      </c>
      <c r="CO32" s="129" t="s">
        <v>254</v>
      </c>
      <c r="CP32" s="129" t="s">
        <v>255</v>
      </c>
      <c r="CQ32" s="519" t="s">
        <v>256</v>
      </c>
      <c r="CR32" s="514" t="str">
        <f t="shared" ref="CR32:CR33" si="4">IF($O$21=1,BX32,IF($O$21=2,BY32,IF($O$21=3,BZ32,IF($O$21=4,CA32,IF($O$21=5,CB32,IF($O$21=6,CC32,IF($O$21=7,CD32,IF($O$21=8,CE32,IF($O$21=9,CF32,IF($O$21=10,CG32,IF($O$21=11,CH32,IF($O$21=12,CI32,IF($O$21=13,CJ32,IF($O$21=14,CK32,IF($O$21=15,CL32,IF($O$21=16,CM32,IF($O$21=17,CN32,IF($O$21=18,CO32,IF($O$21=19,CP32,IF($O$21=20,CQ32,""))))))))))))))))))))</f>
        <v/>
      </c>
      <c r="CS32" s="129" t="s">
        <v>257</v>
      </c>
      <c r="CT32" s="129" t="s">
        <v>258</v>
      </c>
      <c r="CU32" s="129" t="s">
        <v>259</v>
      </c>
      <c r="CV32" s="129" t="s">
        <v>260</v>
      </c>
      <c r="CW32" s="129" t="s">
        <v>261</v>
      </c>
      <c r="CX32" s="129" t="s">
        <v>262</v>
      </c>
      <c r="CY32" s="129" t="s">
        <v>263</v>
      </c>
      <c r="CZ32" s="129" t="s">
        <v>264</v>
      </c>
      <c r="DA32" s="129" t="s">
        <v>265</v>
      </c>
      <c r="DB32" s="129" t="s">
        <v>266</v>
      </c>
      <c r="DC32" s="129" t="s">
        <v>267</v>
      </c>
      <c r="DD32" s="129" t="s">
        <v>268</v>
      </c>
      <c r="DE32" s="129" t="s">
        <v>269</v>
      </c>
      <c r="DF32" s="129" t="s">
        <v>270</v>
      </c>
      <c r="DG32" s="515"/>
      <c r="DH32" s="515"/>
      <c r="DI32" s="515"/>
      <c r="DJ32" s="515" t="s">
        <v>271</v>
      </c>
      <c r="DK32" s="515" t="s">
        <v>272</v>
      </c>
      <c r="DL32" s="520" t="s">
        <v>273</v>
      </c>
      <c r="DM32" s="514" t="str">
        <f t="shared" ref="DM32:DM33" si="5">IF($O$21=1,CS32,IF($O$21=2,CT32,IF($O$21=3,CU32,IF($O$21=4,CV32,IF($O$21=5,CW32,IF($O$21=6,CX32,IF($O$21=7,CY32,IF($O$21=8,CZ32,IF($O$21=9,DA32,IF($O$21=10,DB32,IF($O$21=11,DC32,IF($O$21=12,DD32,IF($O$21=13,DE32,IF($O$21=14,DF32,IF($O$21=15,DG32,IF($O$21=16,DH32,IF($O$21=17,DI32,IF($O$21=18,DJ32,IF($O$21=19,DK32,IF($O$21=20,DL32,""))))))))))))))))))))</f>
        <v/>
      </c>
    </row>
    <row r="33" spans="1:117" ht="32.1" customHeight="1">
      <c r="A33" s="98"/>
      <c r="B33" s="120" t="str">
        <f>VLOOKUP(531,Sprachindex!$A:$Z,Info!$O$7,FALSE)</f>
        <v>kg</v>
      </c>
      <c r="C33" s="107"/>
      <c r="D33" s="78" t="str">
        <f>IF(AND($J33=Formeln!$A$288,$O$9=1),$BW33,IF(AND($J33=Formeln!$A$288,$O$9=2),$BB33,IF(AND($J33=Formeln!$A$289,$O$9=1),$DM33,IF(AND($J33=Formeln!$A$289,$O$9=2),$CR33,""))))</f>
        <v/>
      </c>
      <c r="E33" s="581" t="str">
        <f>VLOOKUP(672,Sprachindex!$A:$Z,Info!$O$7,FALSE)</f>
        <v>PREFALZ Farbaluminiumband; 0,7 × 1.000 mm (für Zusatzverblechungen)</v>
      </c>
      <c r="F33" s="582"/>
      <c r="G33" s="582"/>
      <c r="H33" s="582"/>
      <c r="I33" s="582"/>
      <c r="J33" s="572"/>
      <c r="K33" s="573"/>
      <c r="L33" s="79" t="str">
        <f t="shared" si="1"/>
        <v/>
      </c>
      <c r="M33" s="433" t="str">
        <f t="shared" si="2"/>
        <v>kg</v>
      </c>
      <c r="N33" s="80"/>
      <c r="O33" s="202"/>
      <c r="R33" s="200"/>
      <c r="S33" s="195"/>
      <c r="T33" s="195"/>
      <c r="U33" s="195"/>
      <c r="V33" s="195"/>
      <c r="W33" s="195"/>
      <c r="X33" s="195"/>
      <c r="Y33" s="195"/>
      <c r="Z33" s="195"/>
      <c r="AA33" s="195"/>
      <c r="AB33" s="99"/>
      <c r="AC33" s="1"/>
      <c r="AD33" s="228">
        <f>IF(J33=$AC$31,ROUNDUP(A33/60,0)*60,IF(J33=$AC$32,ROUNDUP(A33/500,0)*500,0))</f>
        <v>0</v>
      </c>
      <c r="AE33" s="149">
        <f t="shared" si="0"/>
        <v>0</v>
      </c>
      <c r="AF33" s="8" t="b">
        <f>IF(J33=Formeln!$A$288,IF(A33&gt;60, Formeln!$A$119, Formeln!$A$118),IF(J33=Formeln!$A$289,IF(A33&gt;500, Formeln!$A$119, Formeln!$A$118)))</f>
        <v>0</v>
      </c>
      <c r="AH33" t="s">
        <v>274</v>
      </c>
      <c r="AI33" t="s">
        <v>275</v>
      </c>
      <c r="AJ33" t="s">
        <v>276</v>
      </c>
      <c r="AK33" t="s">
        <v>277</v>
      </c>
      <c r="AL33" t="s">
        <v>278</v>
      </c>
      <c r="AM33" t="s">
        <v>279</v>
      </c>
      <c r="AN33" t="s">
        <v>280</v>
      </c>
      <c r="AO33" t="s">
        <v>281</v>
      </c>
      <c r="AP33" t="s">
        <v>282</v>
      </c>
      <c r="AQ33" t="s">
        <v>283</v>
      </c>
      <c r="AR33" t="s">
        <v>284</v>
      </c>
      <c r="AS33" t="s">
        <v>285</v>
      </c>
      <c r="AT33" t="s">
        <v>286</v>
      </c>
      <c r="AU33" t="s">
        <v>287</v>
      </c>
      <c r="AV33" t="s">
        <v>288</v>
      </c>
      <c r="AW33" t="s">
        <v>289</v>
      </c>
      <c r="AX33" t="s">
        <v>290</v>
      </c>
      <c r="AY33" t="s">
        <v>291</v>
      </c>
      <c r="AZ33" t="s">
        <v>84</v>
      </c>
      <c r="BA33" s="524" t="s">
        <v>292</v>
      </c>
      <c r="BB33" s="56" t="str">
        <f>IF($O$21=1,AH33,IF($O$21=2,AI33,IF($O$21=3,AJ33,IF($O$21=4,AK33,IF($O$21=5,AL33,IF($O$21=6,AM33,IF($O$21=7,AN33,IF($O$21=8,AO33,IF($O$21=9,AP33,IF($O$21=10,AQ33,IF($O$21=11,AR33,IF($O$21=12,AS33,IF($O$21=13,AT33,IF($O$21=14,AU33,IF($O$21=15,AV33,IF($O$21=16,AW33,IF($O$21=17,AX33,IF($O$21=18,AY33,IF($O$21=19,AZ33,IF($O$21=20,BA33,""))))))))))))))))))))</f>
        <v/>
      </c>
      <c r="BC33" s="129" t="s">
        <v>293</v>
      </c>
      <c r="BD33" s="129" t="s">
        <v>294</v>
      </c>
      <c r="BE33" s="129" t="s">
        <v>295</v>
      </c>
      <c r="BF33" s="129" t="s">
        <v>296</v>
      </c>
      <c r="BG33" s="129" t="s">
        <v>297</v>
      </c>
      <c r="BH33" s="129" t="s">
        <v>298</v>
      </c>
      <c r="BI33" s="129" t="s">
        <v>299</v>
      </c>
      <c r="BJ33" s="129" t="s">
        <v>300</v>
      </c>
      <c r="BK33" s="129" t="s">
        <v>301</v>
      </c>
      <c r="BL33" s="129" t="s">
        <v>302</v>
      </c>
      <c r="BM33" s="129" t="s">
        <v>303</v>
      </c>
      <c r="BN33" s="129" t="s">
        <v>304</v>
      </c>
      <c r="BO33" s="129" t="s">
        <v>305</v>
      </c>
      <c r="BP33" s="129" t="s">
        <v>306</v>
      </c>
      <c r="BQ33" s="515"/>
      <c r="BR33" s="515"/>
      <c r="BS33" s="515"/>
      <c r="BT33" s="515" t="s">
        <v>307</v>
      </c>
      <c r="BU33" s="515" t="s">
        <v>94</v>
      </c>
      <c r="BV33" s="520" t="s">
        <v>308</v>
      </c>
      <c r="BW33" s="514" t="str">
        <f t="shared" si="3"/>
        <v/>
      </c>
      <c r="BX33" s="129" t="s">
        <v>309</v>
      </c>
      <c r="BY33" s="129" t="s">
        <v>310</v>
      </c>
      <c r="BZ33" s="129" t="s">
        <v>311</v>
      </c>
      <c r="CA33" s="129" t="s">
        <v>312</v>
      </c>
      <c r="CB33" s="129" t="s">
        <v>313</v>
      </c>
      <c r="CC33" s="129" t="s">
        <v>314</v>
      </c>
      <c r="CD33" s="129" t="s">
        <v>315</v>
      </c>
      <c r="CE33" s="129" t="s">
        <v>316</v>
      </c>
      <c r="CF33" s="129" t="s">
        <v>317</v>
      </c>
      <c r="CG33" s="129" t="s">
        <v>318</v>
      </c>
      <c r="CH33" s="129" t="s">
        <v>319</v>
      </c>
      <c r="CI33" s="129" t="s">
        <v>320</v>
      </c>
      <c r="CJ33" s="129" t="s">
        <v>321</v>
      </c>
      <c r="CK33" s="129" t="s">
        <v>322</v>
      </c>
      <c r="CL33" s="129" t="s">
        <v>323</v>
      </c>
      <c r="CM33" s="129" t="s">
        <v>324</v>
      </c>
      <c r="CN33" s="129" t="s">
        <v>325</v>
      </c>
      <c r="CO33" s="129" t="s">
        <v>326</v>
      </c>
      <c r="CP33" s="129" t="s">
        <v>327</v>
      </c>
      <c r="CQ33" s="519" t="s">
        <v>328</v>
      </c>
      <c r="CR33" s="514" t="str">
        <f t="shared" si="4"/>
        <v/>
      </c>
      <c r="CS33" s="129" t="s">
        <v>329</v>
      </c>
      <c r="CT33" s="129" t="s">
        <v>330</v>
      </c>
      <c r="CU33" s="129" t="s">
        <v>331</v>
      </c>
      <c r="CV33" s="129" t="s">
        <v>332</v>
      </c>
      <c r="CW33" s="129" t="s">
        <v>333</v>
      </c>
      <c r="CX33" s="129" t="s">
        <v>334</v>
      </c>
      <c r="CY33" s="129" t="s">
        <v>335</v>
      </c>
      <c r="CZ33" s="129" t="s">
        <v>336</v>
      </c>
      <c r="DA33" s="129" t="s">
        <v>337</v>
      </c>
      <c r="DB33" s="129" t="s">
        <v>338</v>
      </c>
      <c r="DC33" s="129" t="s">
        <v>339</v>
      </c>
      <c r="DD33" s="129"/>
      <c r="DE33" s="129" t="s">
        <v>340</v>
      </c>
      <c r="DF33" s="129" t="s">
        <v>341</v>
      </c>
      <c r="DG33" s="515"/>
      <c r="DH33" s="515"/>
      <c r="DI33" s="515"/>
      <c r="DJ33" s="515" t="s">
        <v>342</v>
      </c>
      <c r="DK33" s="515" t="s">
        <v>343</v>
      </c>
      <c r="DL33" s="520" t="s">
        <v>344</v>
      </c>
      <c r="DM33" s="514" t="str">
        <f t="shared" si="5"/>
        <v/>
      </c>
    </row>
    <row r="34" spans="1:117" ht="32.1" customHeight="1">
      <c r="A34" s="98"/>
      <c r="B34" s="79" t="str">
        <f>VLOOKUP(878,Sprachindex!$A:$Z,Info!$O$7,FALSE)</f>
        <v>Stk.</v>
      </c>
      <c r="C34" s="78"/>
      <c r="D34" s="78">
        <v>534004</v>
      </c>
      <c r="E34" s="561" t="str">
        <f>VLOOKUP(631,Sprachindex!$A:$Z,Info!$O$7,FALSE)</f>
        <v>Niro-Winkelstehfalzhaft</v>
      </c>
      <c r="F34" s="562"/>
      <c r="G34" s="562"/>
      <c r="H34" s="562"/>
      <c r="I34" s="562"/>
      <c r="J34" s="562"/>
      <c r="K34" s="563"/>
      <c r="L34" s="79" t="str">
        <f>IF(A34=0,"",IF($O$11=1,AD34,AE34))</f>
        <v/>
      </c>
      <c r="M34" s="433" t="str">
        <f t="shared" si="2"/>
        <v>Stk.</v>
      </c>
      <c r="N34" s="80"/>
      <c r="O34" s="202" t="str">
        <f t="shared" ref="O34:O35" si="6">IF(ISNUMBER(A34),$L34*R34, "")</f>
        <v/>
      </c>
      <c r="R34" s="200">
        <v>7.0000000000000007E-2</v>
      </c>
      <c r="S34" s="195"/>
      <c r="T34" s="195"/>
      <c r="U34" s="195"/>
      <c r="V34" s="195"/>
      <c r="W34" s="195"/>
      <c r="X34" s="195"/>
      <c r="Y34" s="195"/>
      <c r="Z34" s="195"/>
      <c r="AA34" s="195"/>
      <c r="AB34" s="71"/>
      <c r="AC34" s="1"/>
      <c r="AD34" s="149">
        <f>ROUNDUP($A34/500,0)*500</f>
        <v>0</v>
      </c>
      <c r="AE34" s="149">
        <f t="shared" si="0"/>
        <v>0</v>
      </c>
    </row>
    <row r="35" spans="1:117" ht="32.1" customHeight="1">
      <c r="A35" s="98"/>
      <c r="B35" s="79" t="str">
        <f>VLOOKUP(878,Sprachindex!$A:$Z,Info!$O$7,FALSE)</f>
        <v>Stk.</v>
      </c>
      <c r="C35" s="78"/>
      <c r="D35" s="78">
        <v>535004</v>
      </c>
      <c r="E35" s="561" t="str">
        <f>VLOOKUP(630,Sprachindex!$A:$Z,Info!$O$7,FALSE)</f>
        <v>Niro-Winkelschiebehaft (Scharenlänge bis 12 m)</v>
      </c>
      <c r="F35" s="562"/>
      <c r="G35" s="562"/>
      <c r="H35" s="562"/>
      <c r="I35" s="562"/>
      <c r="J35" s="562"/>
      <c r="K35" s="563"/>
      <c r="L35" s="79" t="str">
        <f>IF(A35=0,"",IF($O$11=1,AD35,AE35))</f>
        <v/>
      </c>
      <c r="M35" s="433" t="str">
        <f t="shared" si="2"/>
        <v>Stk.</v>
      </c>
      <c r="N35" s="80"/>
      <c r="O35" s="202" t="str">
        <f t="shared" si="6"/>
        <v/>
      </c>
      <c r="R35" s="200">
        <v>0.28999999999999998</v>
      </c>
      <c r="S35" s="195"/>
      <c r="T35" s="195"/>
      <c r="U35" s="195"/>
      <c r="V35" s="195"/>
      <c r="W35" s="195"/>
      <c r="X35" s="195"/>
      <c r="Y35" s="195"/>
      <c r="Z35" s="195"/>
      <c r="AA35" s="195"/>
      <c r="AB35" s="71"/>
      <c r="AC35" s="1"/>
      <c r="AD35" s="149">
        <f>ROUNDUP($A35/500,0)*500</f>
        <v>0</v>
      </c>
      <c r="AE35" s="149">
        <f t="shared" si="0"/>
        <v>0</v>
      </c>
    </row>
    <row r="36" spans="1:117" ht="32.1" customHeight="1">
      <c r="A36" s="98"/>
      <c r="B36" s="79" t="str">
        <f>VLOOKUP(878,Sprachindex!$A:$Z,Info!$O$7,FALSE)</f>
        <v>Stk.</v>
      </c>
      <c r="C36" s="78"/>
      <c r="D36" s="78">
        <v>535005</v>
      </c>
      <c r="E36" s="561" t="str">
        <f>VLOOKUP(629,Sprachindex!$A:$Z,Info!$O$7,FALSE)</f>
        <v>Niro-Winkellangschiebehaft (Scharenlänge bis 15 m)</v>
      </c>
      <c r="F36" s="562"/>
      <c r="G36" s="562"/>
      <c r="H36" s="562"/>
      <c r="I36" s="562"/>
      <c r="J36" s="562"/>
      <c r="K36" s="563"/>
      <c r="L36" s="79" t="str">
        <f>IF(A36=0,"",IF($O$11=1,AD36,AE36))</f>
        <v/>
      </c>
      <c r="M36" s="433" t="str">
        <f t="shared" si="2"/>
        <v>Stk.</v>
      </c>
      <c r="N36" s="80"/>
      <c r="O36" s="202" t="str">
        <f>IF(ISNUMBER(L36),$L36*R36, "")</f>
        <v/>
      </c>
      <c r="R36" s="200">
        <v>0.63</v>
      </c>
      <c r="S36" s="195"/>
      <c r="T36" s="195"/>
      <c r="U36" s="195"/>
      <c r="V36" s="195"/>
      <c r="W36" s="195"/>
      <c r="X36" s="195"/>
      <c r="Y36" s="195"/>
      <c r="Z36" s="195"/>
      <c r="AA36" s="195"/>
      <c r="AB36" s="71"/>
      <c r="AC36" s="1"/>
      <c r="AD36" s="149">
        <f>ROUNDUP($A36/500,0)*500</f>
        <v>0</v>
      </c>
      <c r="AE36" s="149">
        <f t="shared" si="0"/>
        <v>0</v>
      </c>
    </row>
    <row r="37" spans="1:117" ht="32.1" customHeight="1">
      <c r="A37" s="98"/>
      <c r="B37" s="79" t="str">
        <f>VLOOKUP(878,Sprachindex!$A:$Z,Info!$O$7,FALSE)</f>
        <v>Stk.</v>
      </c>
      <c r="C37" s="78"/>
      <c r="D37" s="78">
        <v>534001</v>
      </c>
      <c r="E37" s="561" t="str">
        <f>VLOOKUP(627,Sprachindex!$A:$Z,Info!$O$7,FALSE)</f>
        <v>Niro-Hosenhaft</v>
      </c>
      <c r="F37" s="562"/>
      <c r="G37" s="562"/>
      <c r="H37" s="562"/>
      <c r="I37" s="562"/>
      <c r="J37" s="562"/>
      <c r="K37" s="563"/>
      <c r="L37" s="79" t="str">
        <f>IF(A37=0,"",IF($O$11=1,AD37,AE37))</f>
        <v/>
      </c>
      <c r="M37" s="433" t="str">
        <f t="shared" si="2"/>
        <v>Stk.</v>
      </c>
      <c r="N37" s="80"/>
      <c r="O37" s="202" t="str">
        <f>IF(ISNUMBER(L37),$L37*R37, "")</f>
        <v/>
      </c>
      <c r="R37" s="200">
        <v>0.28999999999999998</v>
      </c>
      <c r="S37" s="195"/>
      <c r="T37" s="195"/>
      <c r="U37" s="195"/>
      <c r="V37" s="195"/>
      <c r="W37" s="195"/>
      <c r="X37" s="195"/>
      <c r="Y37" s="195"/>
      <c r="Z37" s="195"/>
      <c r="AA37" s="195"/>
      <c r="AB37" s="71"/>
      <c r="AC37" s="1"/>
      <c r="AD37" s="149">
        <f>ROUNDUP($A37/250,0)*250</f>
        <v>0</v>
      </c>
      <c r="AE37" s="149">
        <f t="shared" si="0"/>
        <v>0</v>
      </c>
    </row>
    <row r="38" spans="1:117" ht="32.1" customHeight="1">
      <c r="A38" s="98"/>
      <c r="B38" s="79" t="str">
        <f>VLOOKUP(878,Sprachindex!$A:$Z,Info!$O$7,FALSE)</f>
        <v>Stk.</v>
      </c>
      <c r="C38" s="78"/>
      <c r="D38" s="78">
        <v>535001</v>
      </c>
      <c r="E38" s="561" t="str">
        <f>VLOOKUP(628,Sprachindex!$A:$Z,Info!$O$7,FALSE)</f>
        <v>Niro-Hosenschiebehaft</v>
      </c>
      <c r="F38" s="562"/>
      <c r="G38" s="562"/>
      <c r="H38" s="562"/>
      <c r="I38" s="562"/>
      <c r="J38" s="562"/>
      <c r="K38" s="563"/>
      <c r="L38" s="79" t="str">
        <f>IF(A38=0,"",IF($O$11=1,AD38,AE38))</f>
        <v/>
      </c>
      <c r="M38" s="433" t="str">
        <f t="shared" si="2"/>
        <v>Stk.</v>
      </c>
      <c r="N38" s="80"/>
      <c r="O38" s="202" t="str">
        <f t="shared" ref="O38:O47" si="7">IF(ISNUMBER(A38),$L38*R38, "")</f>
        <v/>
      </c>
      <c r="R38" s="200">
        <v>0.5</v>
      </c>
      <c r="S38" s="195"/>
      <c r="T38" s="195"/>
      <c r="U38" s="195"/>
      <c r="V38" s="195"/>
      <c r="W38" s="195"/>
      <c r="X38" s="195"/>
      <c r="Y38" s="195"/>
      <c r="Z38" s="195"/>
      <c r="AA38" s="195"/>
      <c r="AB38" s="71"/>
      <c r="AC38" s="1"/>
      <c r="AD38" s="149">
        <f>ROUNDUP($A38/250,0)*250</f>
        <v>0</v>
      </c>
      <c r="AE38" s="149">
        <f t="shared" si="0"/>
        <v>0</v>
      </c>
      <c r="AF38" s="6">
        <f>IF(H38=Formeln!A2,570,IF(H38=Formeln!A3,480,IF(H38=Formeln!A4,380,0)))</f>
        <v>0</v>
      </c>
    </row>
    <row r="39" spans="1:117" ht="32.1" customHeight="1">
      <c r="A39" s="98"/>
      <c r="B39" s="79" t="str">
        <f>VLOOKUP(531,Sprachindex!$A:$Z,Info!$O$7,FALSE)</f>
        <v>kg</v>
      </c>
      <c r="C39" s="78"/>
      <c r="D39" s="78" t="str">
        <f>IF(H39=Formeln!A2,340397,IF(H39=Formeln!A3,340398,""))</f>
        <v/>
      </c>
      <c r="E39" s="561" t="str">
        <f>VLOOKUP(706,Sprachindex!$A:$Z,Info!$O$7,FALSE)</f>
        <v>Rillennagel (Niro)</v>
      </c>
      <c r="F39" s="562"/>
      <c r="G39" s="562"/>
      <c r="H39" s="572"/>
      <c r="I39" s="573"/>
      <c r="J39" s="573"/>
      <c r="K39" s="574"/>
      <c r="L39" s="79" t="str">
        <f>IF(A39=0,"",IF(H39=Formeln!$A$1,"",IF($O$11=1,AD39,AE39)))</f>
        <v/>
      </c>
      <c r="M39" s="433" t="str">
        <f t="shared" si="2"/>
        <v>kg</v>
      </c>
      <c r="N39" s="80"/>
      <c r="O39" s="202" t="str">
        <f>IF(ISNUMBER(L39), IF(H39=Formeln!A16, $L39*S39, $L39*R39), "")</f>
        <v/>
      </c>
      <c r="R39" s="200">
        <v>30.9</v>
      </c>
      <c r="S39" s="195"/>
      <c r="T39" s="195"/>
      <c r="U39" s="195"/>
      <c r="V39" s="195"/>
      <c r="W39" s="195"/>
      <c r="X39" s="195"/>
      <c r="Y39" s="195"/>
      <c r="Z39" s="195"/>
      <c r="AA39" s="195"/>
      <c r="AB39" s="71"/>
      <c r="AC39" s="1"/>
      <c r="AD39" s="148">
        <f>IF(OR($H39=Formeln!$A$2,$H39=Formeln!$A$3),ROUNDUP($A39/2.5,0)*2.5,ROUNDUP($A39/2,0)*2)</f>
        <v>0</v>
      </c>
      <c r="AE39" s="148">
        <f>ROUNDUP($A39,2)</f>
        <v>0</v>
      </c>
      <c r="AF39" s="6">
        <f>IF(H39=Formeln!A2,570,IF(H39=Formeln!A3,480,IF(H39=Formeln!A4,380,0)))</f>
        <v>0</v>
      </c>
    </row>
    <row r="40" spans="1:117" ht="32.1" customHeight="1">
      <c r="A40" s="98"/>
      <c r="B40" s="79" t="str">
        <f>VLOOKUP(878,Sprachindex!$A:$Z,Info!$O$7,FALSE)</f>
        <v>Stk.</v>
      </c>
      <c r="C40" s="78"/>
      <c r="D40" s="81" t="str">
        <f>IF(H40=Formeln!A6,341395,IF(H40=Formeln!A7,341396,IF(H40=Formeln!A8,341398,"")))</f>
        <v/>
      </c>
      <c r="E40" s="561" t="str">
        <f>VLOOKUP(2186,Sprachindex!$A:$Z,Info!$O$7,FALSE)</f>
        <v>Rillennägel gebunden</v>
      </c>
      <c r="F40" s="562"/>
      <c r="G40" s="562"/>
      <c r="H40" s="572"/>
      <c r="I40" s="573"/>
      <c r="J40" s="573"/>
      <c r="K40" s="574"/>
      <c r="L40" s="141" t="str">
        <f>IF($A40=0,"",IF($H40=Formeln!$A$5,"",IF($O$11=1,AD40,AE40)))</f>
        <v/>
      </c>
      <c r="M40" s="433" t="str">
        <f t="shared" si="2"/>
        <v>Stk.</v>
      </c>
      <c r="N40" s="80"/>
      <c r="O40" s="202" t="str">
        <f>IF(ISNUMBER(A40),IF(H40=Formeln!A7,$L40*S40/1000,IF(H40=Formeln!A6,$L40*R40/1000,L40*T40/1000))," ")</f>
        <v xml:space="preserve"> </v>
      </c>
      <c r="R40" s="200">
        <v>34.4</v>
      </c>
      <c r="S40" s="195">
        <v>51.6</v>
      </c>
      <c r="T40" s="135">
        <v>64.400000000000006</v>
      </c>
      <c r="U40" s="195"/>
      <c r="V40" s="195"/>
      <c r="W40" s="195"/>
      <c r="X40" s="195"/>
      <c r="Y40" s="195"/>
      <c r="Z40" s="195"/>
      <c r="AA40" s="195"/>
      <c r="AC40" s="135"/>
      <c r="AD40" s="148">
        <f>ROUNDUP($A40/$AF40,0)*$AF40</f>
        <v>0</v>
      </c>
      <c r="AE40" s="149">
        <f>ROUNDUP($A40/1000,0)*1000</f>
        <v>0</v>
      </c>
      <c r="AF40" s="150">
        <f>IF($H40=Formeln!$A$7,2400,3200)</f>
        <v>3200</v>
      </c>
    </row>
    <row r="41" spans="1:117" ht="32.1" customHeight="1">
      <c r="A41" s="98"/>
      <c r="B41" s="79" t="str">
        <f>VLOOKUP(878,Sprachindex!$A:$Z,Info!$O$7,FALSE)</f>
        <v>Stk.</v>
      </c>
      <c r="C41" s="78"/>
      <c r="D41" s="78">
        <v>534005</v>
      </c>
      <c r="E41" s="561" t="str">
        <f>VLOOKUP(1945,Sprachindex!$A:$Z,Info!$O$7,FALSE)</f>
        <v>Niro-Winkelstehfalzhaft für Befestigung mit Schrauben</v>
      </c>
      <c r="F41" s="562"/>
      <c r="G41" s="562"/>
      <c r="H41" s="562"/>
      <c r="I41" s="562"/>
      <c r="J41" s="562"/>
      <c r="K41" s="563"/>
      <c r="L41" s="79" t="str">
        <f t="shared" ref="L41:L47" si="8">IF(A41=0,"",IF($O$11=1,AD41,AE41))</f>
        <v/>
      </c>
      <c r="M41" s="433" t="str">
        <f t="shared" si="2"/>
        <v>Stk.</v>
      </c>
      <c r="N41" s="80"/>
      <c r="O41" s="202" t="str">
        <f t="shared" si="7"/>
        <v/>
      </c>
      <c r="R41" s="200">
        <v>0.13</v>
      </c>
      <c r="S41" s="195"/>
      <c r="T41" s="195"/>
      <c r="U41" s="195"/>
      <c r="V41" s="195"/>
      <c r="W41" s="195"/>
      <c r="X41" s="195"/>
      <c r="Y41" s="195"/>
      <c r="Z41" s="195"/>
      <c r="AA41" s="195"/>
      <c r="AB41" s="71"/>
      <c r="AC41" s="1"/>
      <c r="AD41" s="149">
        <f>ROUNDUP($A41/500,0)*500</f>
        <v>0</v>
      </c>
      <c r="AE41" s="149">
        <f>ROUNDUP($A41,0)</f>
        <v>0</v>
      </c>
    </row>
    <row r="42" spans="1:117" ht="32.1" customHeight="1">
      <c r="A42" s="98"/>
      <c r="B42" s="79" t="str">
        <f>VLOOKUP(878,Sprachindex!$A:$Z,Info!$O$7,FALSE)</f>
        <v>Stk.</v>
      </c>
      <c r="C42" s="78"/>
      <c r="D42" s="78">
        <v>535006</v>
      </c>
      <c r="E42" s="561" t="str">
        <f>VLOOKUP(1946,Sprachindex!$A:$Z,Info!$O$7,FALSE)</f>
        <v>Niro-Winkelschiebehaft für Befestigung mit Schrauben</v>
      </c>
      <c r="F42" s="562"/>
      <c r="G42" s="562"/>
      <c r="H42" s="562"/>
      <c r="I42" s="562"/>
      <c r="J42" s="562"/>
      <c r="K42" s="563"/>
      <c r="L42" s="79" t="str">
        <f t="shared" si="8"/>
        <v/>
      </c>
      <c r="M42" s="433" t="str">
        <f t="shared" si="2"/>
        <v>Stk.</v>
      </c>
      <c r="N42" s="80"/>
      <c r="O42" s="202" t="str">
        <f t="shared" si="7"/>
        <v/>
      </c>
      <c r="R42" s="200">
        <v>0.3</v>
      </c>
      <c r="S42" s="195"/>
      <c r="T42" s="195"/>
      <c r="U42" s="195"/>
      <c r="V42" s="195"/>
      <c r="W42" s="195"/>
      <c r="X42" s="195"/>
      <c r="Y42" s="195"/>
      <c r="Z42" s="195"/>
      <c r="AA42" s="195"/>
      <c r="AB42" s="71"/>
      <c r="AC42" s="1"/>
      <c r="AD42" s="149">
        <f>ROUNDUP($A42/500,0)*500</f>
        <v>0</v>
      </c>
      <c r="AE42" s="149">
        <f>ROUNDUP($A42,0)</f>
        <v>0</v>
      </c>
    </row>
    <row r="43" spans="1:117" ht="32.1" customHeight="1">
      <c r="A43" s="98"/>
      <c r="B43" s="79" t="str">
        <f>VLOOKUP(878,Sprachindex!$A:$Z,Info!$O$7,FALSE)</f>
        <v>Stk.</v>
      </c>
      <c r="C43" s="78"/>
      <c r="D43" s="78">
        <v>535007</v>
      </c>
      <c r="E43" s="561" t="str">
        <f>VLOOKUP(1947,Sprachindex!$A:$Z,Info!$O$7,FALSE)</f>
        <v>Niro-Winkellangschiebehaft für Befestigung mit Schrauben</v>
      </c>
      <c r="F43" s="562"/>
      <c r="G43" s="562"/>
      <c r="H43" s="562"/>
      <c r="I43" s="562"/>
      <c r="J43" s="562"/>
      <c r="K43" s="563"/>
      <c r="L43" s="79" t="str">
        <f t="shared" si="8"/>
        <v/>
      </c>
      <c r="M43" s="433" t="str">
        <f t="shared" si="2"/>
        <v>Stk.</v>
      </c>
      <c r="N43" s="80"/>
      <c r="O43" s="202" t="str">
        <f t="shared" si="7"/>
        <v/>
      </c>
      <c r="R43" s="200">
        <v>0.78</v>
      </c>
      <c r="S43" s="195"/>
      <c r="T43" s="195"/>
      <c r="U43" s="195"/>
      <c r="V43" s="195"/>
      <c r="W43" s="195"/>
      <c r="X43" s="195"/>
      <c r="Y43" s="195"/>
      <c r="Z43" s="195"/>
      <c r="AA43" s="195"/>
      <c r="AB43" s="71"/>
      <c r="AC43" s="1"/>
      <c r="AD43" s="149">
        <f>ROUNDUP($A43/500,0)*500</f>
        <v>0</v>
      </c>
      <c r="AE43" s="149">
        <f>ROUNDUP($A43,0)</f>
        <v>0</v>
      </c>
    </row>
    <row r="44" spans="1:117" ht="32.1" customHeight="1">
      <c r="A44" s="98"/>
      <c r="B44" s="79" t="str">
        <f>VLOOKUP(878,Sprachindex!$A:$Z,Info!$O$7,FALSE)</f>
        <v>Stk.</v>
      </c>
      <c r="C44" s="78"/>
      <c r="D44" s="81">
        <v>340399</v>
      </c>
      <c r="E44" s="561" t="str">
        <f>VLOOKUP(1957,Sprachindex!$A:$Z,Info!$O$7,FALSE)</f>
        <v>Senkkopfschrauben</v>
      </c>
      <c r="F44" s="562"/>
      <c r="G44" s="562"/>
      <c r="H44" s="572" t="s">
        <v>345</v>
      </c>
      <c r="I44" s="573"/>
      <c r="J44" s="573"/>
      <c r="K44" s="574"/>
      <c r="L44" s="79" t="str">
        <f t="shared" si="8"/>
        <v/>
      </c>
      <c r="M44" s="433" t="str">
        <f t="shared" si="2"/>
        <v>Stk.</v>
      </c>
      <c r="N44" s="80"/>
      <c r="O44" s="202" t="str">
        <f t="shared" si="7"/>
        <v/>
      </c>
      <c r="R44" s="200">
        <v>0.05</v>
      </c>
      <c r="S44" s="195"/>
      <c r="T44" s="195"/>
      <c r="U44" s="195"/>
      <c r="V44" s="195"/>
      <c r="W44" s="195"/>
      <c r="X44" s="195"/>
      <c r="Y44" s="195"/>
      <c r="Z44" s="195"/>
      <c r="AA44" s="195"/>
      <c r="AC44" s="135"/>
      <c r="AD44" s="149">
        <f>ROUNDUP($A44/500,0)*500</f>
        <v>0</v>
      </c>
      <c r="AE44" s="149">
        <f>ROUNDUP($A44,0)</f>
        <v>0</v>
      </c>
      <c r="AF44" s="150">
        <f>IF($H44=Formeln!$A$7,2400,3200)</f>
        <v>3200</v>
      </c>
      <c r="AH44" s="526" t="s">
        <v>108</v>
      </c>
      <c r="AI44" s="526" t="s">
        <v>109</v>
      </c>
      <c r="AJ44" s="526" t="s">
        <v>110</v>
      </c>
      <c r="AK44" s="526" t="s">
        <v>111</v>
      </c>
      <c r="AL44" s="526" t="s">
        <v>112</v>
      </c>
      <c r="AM44" s="526" t="s">
        <v>113</v>
      </c>
      <c r="AN44" s="526" t="s">
        <v>114</v>
      </c>
      <c r="AO44" s="526" t="s">
        <v>115</v>
      </c>
      <c r="AP44" s="526" t="s">
        <v>116</v>
      </c>
      <c r="AQ44" s="526" t="s">
        <v>117</v>
      </c>
      <c r="AR44" s="526" t="s">
        <v>118</v>
      </c>
      <c r="AS44" s="526" t="s">
        <v>95</v>
      </c>
      <c r="AT44" s="526" t="s">
        <v>119</v>
      </c>
      <c r="AU44" s="526" t="s">
        <v>120</v>
      </c>
      <c r="AV44" s="526" t="s">
        <v>121</v>
      </c>
      <c r="AW44" s="526" t="s">
        <v>122</v>
      </c>
      <c r="AX44" s="526" t="s">
        <v>123</v>
      </c>
      <c r="AY44" s="526" t="s">
        <v>124</v>
      </c>
      <c r="AZ44" s="526" t="s">
        <v>125</v>
      </c>
      <c r="BA44" s="526" t="s">
        <v>126</v>
      </c>
    </row>
    <row r="45" spans="1:117" ht="32.1" customHeight="1">
      <c r="A45" s="98"/>
      <c r="B45" s="79" t="str">
        <f>VLOOKUP(878,Sprachindex!$A:$Z,Info!$O$7,FALSE)</f>
        <v>Stk.</v>
      </c>
      <c r="C45" s="78"/>
      <c r="D45" s="78">
        <f>IF($O$21=1,AH45,IF($O$21=2,AI45,IF($O$21=3,AJ45,IF($O$21=4,AK45,IF($O$21=5,AL45,IF($O$21=6,AM45,IF($O$21=7,AN45,IF($O$21=8,AO45,IF($O$21=9,AP45,IF($O$21=10,AQ45,IF($O$21=11,AR45,IF($O$21=12,AS45,IF($O$21=13,AT45,IF($O$21=14,AU45,IF($O$21=15,AV45,IF($O$21=16,AW45,IF($O$21=17,AX45,IF($O$21=18,AY45,IF($O$21=19,AZ45,IF($O$21=20,AU45,0))))))))))))))))))))</f>
        <v>0</v>
      </c>
      <c r="E45" s="561" t="str">
        <f>VLOOKUP(409,Sprachindex!$A:$Z,Info!$O$7,FALSE)</f>
        <v>Froschmaullukenhaube</v>
      </c>
      <c r="F45" s="562"/>
      <c r="G45" s="562"/>
      <c r="H45" s="562"/>
      <c r="I45" s="562"/>
      <c r="J45" s="610" t="str">
        <f>VLOOKUP(2950,Sprachindex!$A:$Z,Info!$O$7,FALSE)</f>
        <v>nur in 45 Bronze verfügbar</v>
      </c>
      <c r="K45" s="611"/>
      <c r="L45" s="79" t="str">
        <f t="shared" si="8"/>
        <v/>
      </c>
      <c r="M45" s="433" t="str">
        <f t="shared" si="2"/>
        <v>Stk.</v>
      </c>
      <c r="N45" s="80"/>
      <c r="O45" s="202" t="str">
        <f t="shared" si="7"/>
        <v/>
      </c>
      <c r="R45" s="200">
        <v>24.65</v>
      </c>
      <c r="S45" s="195"/>
      <c r="T45" s="195"/>
      <c r="U45" s="195"/>
      <c r="V45" s="195"/>
      <c r="W45" s="195"/>
      <c r="X45" s="195"/>
      <c r="Y45" s="195"/>
      <c r="Z45" s="195"/>
      <c r="AA45" s="195"/>
      <c r="AB45" s="71"/>
      <c r="AC45" s="1"/>
      <c r="AD45" s="149">
        <f>ROUNDUP($A45/20,0)*20</f>
        <v>0</v>
      </c>
      <c r="AE45" s="149">
        <f>ROUNDUP($A45,0)</f>
        <v>0</v>
      </c>
      <c r="AH45">
        <v>110103</v>
      </c>
      <c r="AI45">
        <v>110100</v>
      </c>
      <c r="AJ45">
        <v>110108</v>
      </c>
      <c r="AK45">
        <v>110105</v>
      </c>
      <c r="AL45">
        <v>110101</v>
      </c>
      <c r="AM45">
        <v>110102</v>
      </c>
      <c r="AN45">
        <v>110104</v>
      </c>
      <c r="AO45">
        <v>110106</v>
      </c>
      <c r="AP45">
        <v>110107</v>
      </c>
      <c r="AQ45">
        <v>121000</v>
      </c>
      <c r="AR45">
        <v>121001</v>
      </c>
      <c r="AS45"/>
      <c r="AT45">
        <v>512054</v>
      </c>
      <c r="AU45">
        <v>121003</v>
      </c>
      <c r="AV45"/>
      <c r="AW45" t="s">
        <v>346</v>
      </c>
      <c r="AX45" t="s">
        <v>347</v>
      </c>
      <c r="AY45" t="s">
        <v>348</v>
      </c>
      <c r="AZ45">
        <v>121005</v>
      </c>
      <c r="BA45"/>
    </row>
    <row r="46" spans="1:117" ht="32.1" customHeight="1">
      <c r="A46" s="98"/>
      <c r="B46" s="79" t="str">
        <f>VLOOKUP(1512,Sprachindex!$A:$Z,Info!$O$7,FALSE)</f>
        <v>lfm</v>
      </c>
      <c r="C46" s="82"/>
      <c r="D46" s="78">
        <f>IF($O$21=1,AH46,IF($O$21=2,AI46,IF($O$21=3,AJ46,IF($O$21=4,AK46,IF($O$21=5,AL46,IF($O$21=6,AM46,IF($O$21=7,AN46,IF($O$21=8,AO46,IF($O$21=9,AP46,IF($O$21=10,AQ46,IF($O$21=11,AR46,IF($O$21=12,AS46,IF($O$21=13,AT46,IF($O$21=14,AU46,IF($O$21=15,AV46,IF($O$21=16,AW46,IF($O$21=17,AX46,0)))))))))))))))))</f>
        <v>0</v>
      </c>
      <c r="E46" s="561" t="str">
        <f>VLOOKUP(336,Sprachindex!$A:$Z,Info!$O$7,FALSE)</f>
        <v>Einlaufblech (glatt; 230 × 2.000 × 0,7 mm)</v>
      </c>
      <c r="F46" s="562"/>
      <c r="G46" s="562"/>
      <c r="H46" s="562"/>
      <c r="I46" s="562"/>
      <c r="J46" s="562"/>
      <c r="K46" s="563"/>
      <c r="L46" s="79" t="str">
        <f t="shared" si="8"/>
        <v/>
      </c>
      <c r="M46" s="433" t="str">
        <f t="shared" si="2"/>
        <v>lfm</v>
      </c>
      <c r="N46" s="80"/>
      <c r="O46" s="202" t="str">
        <f t="shared" si="7"/>
        <v/>
      </c>
      <c r="R46" s="200">
        <v>8.65</v>
      </c>
      <c r="S46" s="195"/>
      <c r="T46" s="195"/>
      <c r="U46" s="195"/>
      <c r="V46" s="195"/>
      <c r="W46" s="195"/>
      <c r="X46" s="195"/>
      <c r="Y46" s="195"/>
      <c r="Z46" s="195"/>
      <c r="AA46" s="195"/>
      <c r="AB46" s="71"/>
      <c r="AC46" s="1"/>
      <c r="AD46" s="147">
        <f>ROUNDUP($A46/2,0)*2</f>
        <v>0</v>
      </c>
      <c r="AE46" s="147">
        <f>ROUNDUP($A46/2,0)*2</f>
        <v>0</v>
      </c>
      <c r="AH46">
        <v>212101</v>
      </c>
      <c r="AI46">
        <v>212100</v>
      </c>
      <c r="AJ46">
        <v>212104</v>
      </c>
      <c r="AK46"/>
      <c r="AL46"/>
      <c r="AM46">
        <v>212102</v>
      </c>
      <c r="AN46"/>
      <c r="AO46">
        <v>212106</v>
      </c>
      <c r="AP46"/>
      <c r="AQ46"/>
      <c r="AR46"/>
      <c r="AS46"/>
      <c r="AT46"/>
      <c r="AU46"/>
      <c r="AV46"/>
      <c r="AW46"/>
      <c r="AX46"/>
      <c r="AY46"/>
      <c r="AZ46">
        <v>212103</v>
      </c>
      <c r="BA46"/>
    </row>
    <row r="47" spans="1:117" ht="32.1" customHeight="1" thickBot="1">
      <c r="A47" s="98"/>
      <c r="B47" s="79" t="str">
        <f>VLOOKUP(1512,Sprachindex!$A:$Z,Info!$O$7,FALSE)</f>
        <v>lfm</v>
      </c>
      <c r="C47" s="78"/>
      <c r="D47" s="78">
        <v>507300</v>
      </c>
      <c r="E47" s="561" t="str">
        <f>VLOOKUP(985,Sprachindex!$A:$Z,Info!$O$7,FALSE)</f>
        <v>Vogelschutzgitter (125 × 2.000 × 0,7 mm)</v>
      </c>
      <c r="F47" s="562"/>
      <c r="G47" s="562"/>
      <c r="H47" s="562"/>
      <c r="I47" s="562"/>
      <c r="J47" s="562"/>
      <c r="K47" s="563"/>
      <c r="L47" s="79" t="str">
        <f t="shared" si="8"/>
        <v/>
      </c>
      <c r="M47" s="433" t="str">
        <f t="shared" si="2"/>
        <v>lfm</v>
      </c>
      <c r="N47" s="80"/>
      <c r="O47" s="202" t="str">
        <f t="shared" si="7"/>
        <v/>
      </c>
      <c r="R47" s="200">
        <v>4.01</v>
      </c>
      <c r="S47" s="195"/>
      <c r="T47" s="195"/>
      <c r="U47" s="195"/>
      <c r="V47" s="195"/>
      <c r="W47" s="195"/>
      <c r="X47" s="195"/>
      <c r="Y47" s="195"/>
      <c r="Z47" s="195"/>
      <c r="AA47" s="195"/>
      <c r="AB47" s="71"/>
      <c r="AC47" s="1"/>
      <c r="AD47" s="149">
        <f>ROUNDUP($A47/2,0)*2</f>
        <v>0</v>
      </c>
      <c r="AE47" s="149">
        <f>ROUNDUP($A47/2,0)*2</f>
        <v>0</v>
      </c>
    </row>
    <row r="48" spans="1:117" ht="32.1" customHeight="1" thickBot="1">
      <c r="A48" s="98"/>
      <c r="B48" s="79" t="str">
        <f>VLOOKUP(1512,Sprachindex!$A:$Z,Info!$O$7,FALSE)</f>
        <v>lfm</v>
      </c>
      <c r="C48" s="78"/>
      <c r="D48" s="78">
        <f>IF(H48=Formeln!A10,507403,IF(H48=Formeln!A11,507404,IF(H48=Formeln!A12,507402,IF(H48=Formeln!A13,507405,IF(H48=Formeln!A14,507412,IF(H48=Formeln!A15,507413,0))))))</f>
        <v>0</v>
      </c>
      <c r="E48" s="561" t="str">
        <f>VLOOKUP(586,Sprachindex!$A:$Z,Info!$O$7,FALSE)</f>
        <v>Lüftungsband</v>
      </c>
      <c r="F48" s="562"/>
      <c r="G48" s="562"/>
      <c r="H48" s="572"/>
      <c r="I48" s="573"/>
      <c r="J48" s="573"/>
      <c r="K48" s="574"/>
      <c r="L48" s="79" t="str">
        <f>IF($H48=Formeln!$A$9," ",IF(A48=0,"",IF($O$11=1,AD48,AE48)))</f>
        <v xml:space="preserve"> </v>
      </c>
      <c r="M48" s="433" t="str">
        <f t="shared" si="2"/>
        <v>lfm</v>
      </c>
      <c r="N48" s="80"/>
      <c r="O48" s="202" t="str">
        <f>IF(ISNUMBER(A48), IF(H48=Formeln!A12, $L48*S48, $L48*R48), "")</f>
        <v/>
      </c>
      <c r="R48" s="200">
        <v>13.23</v>
      </c>
      <c r="S48" s="195">
        <v>21.27</v>
      </c>
      <c r="T48" s="195"/>
      <c r="U48" s="195"/>
      <c r="V48" s="195"/>
      <c r="W48" s="195"/>
      <c r="X48" s="195"/>
      <c r="Y48" s="195"/>
      <c r="Z48" s="195"/>
      <c r="AA48" s="195"/>
      <c r="AB48" s="71"/>
      <c r="AC48" s="1"/>
      <c r="AD48" s="149">
        <f>ROUNDUP($A48/40,0)*40</f>
        <v>0</v>
      </c>
      <c r="AE48" s="149">
        <f>$A48</f>
        <v>0</v>
      </c>
      <c r="AH48" s="526" t="s">
        <v>108</v>
      </c>
      <c r="AI48" s="526" t="s">
        <v>109</v>
      </c>
      <c r="AJ48" s="526" t="s">
        <v>110</v>
      </c>
      <c r="AK48" s="526" t="s">
        <v>111</v>
      </c>
      <c r="AL48" s="526" t="s">
        <v>112</v>
      </c>
      <c r="AM48" s="526" t="s">
        <v>113</v>
      </c>
      <c r="AN48" s="526" t="s">
        <v>114</v>
      </c>
      <c r="AO48" s="526" t="s">
        <v>115</v>
      </c>
      <c r="AP48" s="526" t="s">
        <v>116</v>
      </c>
      <c r="AQ48" s="526" t="s">
        <v>117</v>
      </c>
      <c r="AR48" s="526" t="s">
        <v>118</v>
      </c>
      <c r="AS48" s="526" t="s">
        <v>95</v>
      </c>
      <c r="AT48" s="526" t="s">
        <v>119</v>
      </c>
      <c r="AU48" s="526" t="s">
        <v>120</v>
      </c>
      <c r="AV48" s="526" t="s">
        <v>121</v>
      </c>
      <c r="AW48" s="526" t="s">
        <v>122</v>
      </c>
      <c r="AX48" s="526" t="s">
        <v>123</v>
      </c>
      <c r="AY48" s="526" t="s">
        <v>124</v>
      </c>
      <c r="AZ48" s="526" t="s">
        <v>125</v>
      </c>
      <c r="BA48" s="526" t="s">
        <v>126</v>
      </c>
      <c r="BC48" s="508" t="s">
        <v>108</v>
      </c>
      <c r="BD48" s="509" t="s">
        <v>109</v>
      </c>
      <c r="BE48" s="509" t="s">
        <v>110</v>
      </c>
      <c r="BF48" s="509" t="s">
        <v>111</v>
      </c>
      <c r="BG48" s="509" t="s">
        <v>112</v>
      </c>
      <c r="BH48" s="509" t="s">
        <v>113</v>
      </c>
      <c r="BI48" s="509" t="s">
        <v>114</v>
      </c>
      <c r="BJ48" s="509" t="s">
        <v>115</v>
      </c>
      <c r="BK48" s="509" t="s">
        <v>116</v>
      </c>
      <c r="BL48" s="509" t="s">
        <v>117</v>
      </c>
      <c r="BM48" s="509" t="s">
        <v>118</v>
      </c>
      <c r="BN48" s="509" t="s">
        <v>95</v>
      </c>
      <c r="BO48" s="509" t="s">
        <v>119</v>
      </c>
      <c r="BP48" s="509" t="s">
        <v>120</v>
      </c>
      <c r="BQ48" s="509" t="s">
        <v>121</v>
      </c>
      <c r="BR48" s="509" t="s">
        <v>122</v>
      </c>
      <c r="BS48" s="510" t="s">
        <v>123</v>
      </c>
      <c r="BT48" s="506"/>
      <c r="BU48" s="506"/>
      <c r="BV48" s="506"/>
      <c r="BX48" s="508" t="s">
        <v>108</v>
      </c>
      <c r="BY48" s="509" t="s">
        <v>109</v>
      </c>
      <c r="BZ48" s="509" t="s">
        <v>110</v>
      </c>
      <c r="CA48" s="509" t="s">
        <v>111</v>
      </c>
      <c r="CB48" s="509" t="s">
        <v>112</v>
      </c>
      <c r="CC48" s="509" t="s">
        <v>113</v>
      </c>
      <c r="CD48" s="509" t="s">
        <v>114</v>
      </c>
      <c r="CE48" s="509" t="s">
        <v>115</v>
      </c>
      <c r="CF48" s="509" t="s">
        <v>116</v>
      </c>
      <c r="CG48" s="509" t="s">
        <v>117</v>
      </c>
      <c r="CH48" s="509" t="s">
        <v>118</v>
      </c>
      <c r="CI48" s="509" t="s">
        <v>95</v>
      </c>
      <c r="CJ48" s="509" t="s">
        <v>119</v>
      </c>
      <c r="CK48" s="509" t="s">
        <v>120</v>
      </c>
      <c r="CL48" s="509" t="s">
        <v>121</v>
      </c>
      <c r="CM48" s="509" t="s">
        <v>122</v>
      </c>
      <c r="CN48" s="510" t="s">
        <v>123</v>
      </c>
    </row>
    <row r="49" spans="1:93" ht="32.1" customHeight="1">
      <c r="A49" s="98"/>
      <c r="B49" s="79" t="str">
        <f>VLOOKUP(878,Sprachindex!$A:$Z,Info!$O$7,FALSE)</f>
        <v>Stk.</v>
      </c>
      <c r="C49" s="78"/>
      <c r="D49" s="78">
        <f>IF($O$21=1,AH49,IF($O$21=2,AI49,IF($O$21=3,AJ49,IF($O$21=4,AK49,IF($O$21=5,AL49,IF($O$21=6,AM49,IF($O$21=7,AN49,IF($O$21=8,AO49,IF($O$21=9,AP49,IF($O$21=10,AQ49,IF($O$21=11,AR49,IF($O$21=12,AS49,IF($O$21=13,AT49,IF($O$21=14,AU49,IF($O$21=15,AV49,IF($O$21=16,AW49,IF($O$21=17,AX49,IF($O$21=18,AY49,IF($O$21=19,AZ49,IF($O$21=20,AU49,0))))))))))))))))))))</f>
        <v>0</v>
      </c>
      <c r="E49" s="561" t="str">
        <f>VLOOKUP(366,Sprachindex!$A:$Z,Info!$O$7,FALSE)</f>
        <v>Entlüftungsrohr (⌀ 100; passend für HT-Rohr [NW 110])</v>
      </c>
      <c r="F49" s="562"/>
      <c r="G49" s="562"/>
      <c r="H49" s="562"/>
      <c r="I49" s="562"/>
      <c r="J49" s="610" t="str">
        <f>VLOOKUP(2950,Sprachindex!$A:$Z,Info!$O$7,FALSE)</f>
        <v>nur in 45 Bronze verfügbar</v>
      </c>
      <c r="K49" s="611"/>
      <c r="L49" s="79" t="str">
        <f>IF(A49=0,"",IF($O$11=1,AD49,AE49))</f>
        <v/>
      </c>
      <c r="M49" s="433" t="str">
        <f t="shared" si="2"/>
        <v>Stk.</v>
      </c>
      <c r="N49" s="80"/>
      <c r="O49" s="202" t="str">
        <f>IF(ISNUMBER(A49),$L49*R49, "")</f>
        <v/>
      </c>
      <c r="R49" s="200">
        <v>76.77</v>
      </c>
      <c r="S49" s="195"/>
      <c r="T49" s="195"/>
      <c r="U49" s="195"/>
      <c r="V49" s="195"/>
      <c r="W49" s="195"/>
      <c r="X49" s="195"/>
      <c r="Y49" s="195"/>
      <c r="Z49" s="195"/>
      <c r="AA49" s="195"/>
      <c r="AB49" s="71"/>
      <c r="AC49" s="1"/>
      <c r="AD49" s="149">
        <f t="shared" ref="AD49:AE54" si="9">ROUNDUP($A49,0)</f>
        <v>0</v>
      </c>
      <c r="AE49" s="149">
        <f t="shared" si="9"/>
        <v>0</v>
      </c>
      <c r="AH49">
        <v>110203</v>
      </c>
      <c r="AI49">
        <v>110200</v>
      </c>
      <c r="AJ49">
        <v>110208</v>
      </c>
      <c r="AK49">
        <v>110205</v>
      </c>
      <c r="AL49">
        <v>110201</v>
      </c>
      <c r="AM49">
        <v>110202</v>
      </c>
      <c r="AN49">
        <v>110204</v>
      </c>
      <c r="AO49">
        <v>110206</v>
      </c>
      <c r="AP49">
        <v>110207</v>
      </c>
      <c r="AQ49" t="s">
        <v>349</v>
      </c>
      <c r="AR49" t="s">
        <v>350</v>
      </c>
      <c r="AS49" t="s">
        <v>351</v>
      </c>
      <c r="AT49" t="s">
        <v>352</v>
      </c>
      <c r="AU49">
        <v>121013</v>
      </c>
      <c r="AV49"/>
      <c r="AW49" t="s">
        <v>353</v>
      </c>
      <c r="AX49" t="s">
        <v>354</v>
      </c>
      <c r="AY49" t="s">
        <v>355</v>
      </c>
      <c r="AZ49" t="s">
        <v>356</v>
      </c>
      <c r="BA49"/>
    </row>
    <row r="50" spans="1:93" ht="32.1" customHeight="1">
      <c r="A50" s="98"/>
      <c r="B50" s="79" t="str">
        <f>VLOOKUP(878,Sprachindex!$A:$Z,Info!$O$7,FALSE)</f>
        <v>Stk.</v>
      </c>
      <c r="C50" s="78"/>
      <c r="D50" s="78">
        <f>IF($O$21=1,AH50,IF($O$21=2,AI50,IF($O$21=3,AJ50,IF($O$21=4,AK50,IF($O$21=5,AL50,IF($O$21=6,AM50,IF($O$21=7,AN50,IF($O$21=8,AO50,IF($O$21=9,AP50,IF($O$21=10,AQ50,IF($O$21=11,AR50,IF($O$21=12,AS50,IF($O$21=13,AT50,IF($O$21=14,AU50,IF($O$21=15,AV50,IF($O$21=16,AW50,IF($O$21=17,AX50,IF($O$21=18,AY50,IF($O$21=19,AZ50,IF($O$21=20,AU50,0))))))))))))))))))))</f>
        <v>0</v>
      </c>
      <c r="E50" s="561" t="str">
        <f>VLOOKUP(368,Sprachindex!$A:$Z,Info!$O$7,FALSE)</f>
        <v>Entlüftungsrohr (⌀ 120; passend für HT-Rohr [NW 125])</v>
      </c>
      <c r="F50" s="562"/>
      <c r="G50" s="562"/>
      <c r="H50" s="562"/>
      <c r="I50" s="562"/>
      <c r="J50" s="610" t="str">
        <f>VLOOKUP(2950,Sprachindex!$A:$Z,Info!$O$7,FALSE)</f>
        <v>nur in 45 Bronze verfügbar</v>
      </c>
      <c r="K50" s="611"/>
      <c r="L50" s="79" t="str">
        <f>IF(A50=0,"",IF($O$11=1,AD50,AE50))</f>
        <v/>
      </c>
      <c r="M50" s="433" t="str">
        <f t="shared" si="2"/>
        <v>Stk.</v>
      </c>
      <c r="N50" s="80"/>
      <c r="O50" s="202" t="str">
        <f>IF(ISNUMBER(A50),$L50*R50, "")</f>
        <v/>
      </c>
      <c r="R50" s="200">
        <v>81.41</v>
      </c>
      <c r="S50" s="195"/>
      <c r="T50" s="195"/>
      <c r="U50" s="195"/>
      <c r="V50" s="195"/>
      <c r="W50" s="195"/>
      <c r="X50" s="195"/>
      <c r="Y50" s="195"/>
      <c r="Z50" s="195"/>
      <c r="AA50" s="195"/>
      <c r="AB50" s="71"/>
      <c r="AC50" s="1"/>
      <c r="AD50" s="149">
        <f t="shared" si="9"/>
        <v>0</v>
      </c>
      <c r="AE50" s="149">
        <f t="shared" si="9"/>
        <v>0</v>
      </c>
      <c r="AH50">
        <v>110213</v>
      </c>
      <c r="AI50">
        <v>110210</v>
      </c>
      <c r="AJ50">
        <v>110218</v>
      </c>
      <c r="AK50">
        <v>110215</v>
      </c>
      <c r="AL50">
        <v>110211</v>
      </c>
      <c r="AM50">
        <v>110212</v>
      </c>
      <c r="AN50">
        <v>110214</v>
      </c>
      <c r="AO50">
        <v>110216</v>
      </c>
      <c r="AP50" t="s">
        <v>357</v>
      </c>
      <c r="AQ50" t="s">
        <v>358</v>
      </c>
      <c r="AR50" t="s">
        <v>359</v>
      </c>
      <c r="AS50" t="s">
        <v>360</v>
      </c>
      <c r="AT50"/>
      <c r="AU50">
        <v>121023</v>
      </c>
      <c r="AV50"/>
      <c r="AW50" t="s">
        <v>361</v>
      </c>
      <c r="AX50" s="64" t="s">
        <v>362</v>
      </c>
      <c r="AY50" t="s">
        <v>363</v>
      </c>
      <c r="AZ50" t="s">
        <v>364</v>
      </c>
      <c r="BA50"/>
      <c r="BB50" s="1" t="s">
        <v>26</v>
      </c>
      <c r="BS50" s="516" t="s">
        <v>365</v>
      </c>
      <c r="BT50" s="516"/>
      <c r="BU50" s="516"/>
      <c r="BV50" s="516"/>
      <c r="BW50" s="36" t="s">
        <v>27</v>
      </c>
      <c r="CO50" s="516" t="s">
        <v>366</v>
      </c>
    </row>
    <row r="51" spans="1:93" ht="32.1" customHeight="1">
      <c r="A51" s="98"/>
      <c r="B51" s="79" t="str">
        <f>VLOOKUP(878,Sprachindex!$A:$Z,Info!$O$7,FALSE)</f>
        <v>Stk.</v>
      </c>
      <c r="C51" s="81"/>
      <c r="D51" s="83">
        <v>340943</v>
      </c>
      <c r="E51" s="561" t="str">
        <f>VLOOKUP(379,Sprachindex!$A:$Z,Info!$O$7,FALSE)</f>
        <v>Faltmanschette (Ø 100–130)</v>
      </c>
      <c r="F51" s="562"/>
      <c r="G51" s="562"/>
      <c r="H51" s="562"/>
      <c r="I51" s="562"/>
      <c r="J51" s="562"/>
      <c r="K51" s="563"/>
      <c r="L51" s="79" t="str">
        <f>IF(A51=0,"",IF($O$11=1,AD51,AE51))</f>
        <v/>
      </c>
      <c r="M51" s="433" t="str">
        <f t="shared" si="2"/>
        <v>Stk.</v>
      </c>
      <c r="N51" s="80"/>
      <c r="O51" s="202" t="str">
        <f>IF(ISNUMBER(A51),$L51*R51, "")</f>
        <v/>
      </c>
      <c r="R51" s="200">
        <v>37.729999999999997</v>
      </c>
      <c r="S51" s="195"/>
      <c r="T51" s="195"/>
      <c r="U51" s="195"/>
      <c r="V51" s="195"/>
      <c r="W51" s="195"/>
      <c r="X51" s="195"/>
      <c r="Y51" s="195"/>
      <c r="Z51" s="195"/>
      <c r="AA51" s="195"/>
      <c r="AC51" s="135"/>
      <c r="AD51" s="149">
        <f t="shared" si="9"/>
        <v>0</v>
      </c>
      <c r="AE51" s="149">
        <f t="shared" si="9"/>
        <v>0</v>
      </c>
      <c r="AF51" s="145"/>
      <c r="AH51" s="526" t="s">
        <v>108</v>
      </c>
      <c r="AI51" s="526" t="s">
        <v>109</v>
      </c>
      <c r="AJ51" s="526" t="s">
        <v>110</v>
      </c>
      <c r="AK51" s="526" t="s">
        <v>111</v>
      </c>
      <c r="AL51" s="526" t="s">
        <v>112</v>
      </c>
      <c r="AM51" s="526" t="s">
        <v>113</v>
      </c>
      <c r="AN51" s="526" t="s">
        <v>114</v>
      </c>
      <c r="AO51" s="526" t="s">
        <v>115</v>
      </c>
      <c r="AP51" s="526" t="s">
        <v>116</v>
      </c>
      <c r="AQ51" s="526" t="s">
        <v>117</v>
      </c>
      <c r="AR51" s="526" t="s">
        <v>118</v>
      </c>
      <c r="AS51" s="526" t="s">
        <v>95</v>
      </c>
      <c r="AT51" s="526" t="s">
        <v>119</v>
      </c>
      <c r="AU51" s="526" t="s">
        <v>120</v>
      </c>
      <c r="AV51" s="526" t="s">
        <v>121</v>
      </c>
      <c r="AW51" s="526" t="s">
        <v>122</v>
      </c>
      <c r="AX51" s="526" t="s">
        <v>123</v>
      </c>
      <c r="AY51" s="526" t="s">
        <v>124</v>
      </c>
      <c r="AZ51" s="526" t="s">
        <v>125</v>
      </c>
      <c r="BA51" s="526" t="s">
        <v>126</v>
      </c>
      <c r="BB51" s="47"/>
    </row>
    <row r="52" spans="1:93" ht="32.1" customHeight="1">
      <c r="A52" s="98"/>
      <c r="B52" s="79" t="str">
        <f>VLOOKUP(878,Sprachindex!$A:$Z,Info!$O$7,FALSE)</f>
        <v>Stk.</v>
      </c>
      <c r="C52" s="78"/>
      <c r="D52" s="78">
        <f>IF($O$21=1,AH52,IF($O$21=2,AI52,IF($O$21=3,AJ52,IF($O$21=4,AK52,IF($O$21=5,AL52,IF($O$21=6,AM52,IF($O$21=7,AN52,IF($O$21=8,AO52,IF($O$21=9,AP52,IF($O$21=10,AQ52,IF($O$21=11,AR52,IF($O$21=12,AS52,IF($O$21=13,AT52,IF($O$21=14,AU52,IF($O$21=15,AV52,IF($O$21=16,AW52,IF($O$21=17,AX52,IF($O$21=18,AY52,IF($O$21=19,AZ52,IF($O$21=20,AU52,0))))))))))))))))))))</f>
        <v>0</v>
      </c>
      <c r="E52" s="561" t="str">
        <f>VLOOKUP(257,Sprachindex!$A:$Z,Info!$O$7,FALSE)</f>
        <v>Dachlukendeckel mit Holzrahmen  (Innenmaß: 600 × 600 mm)</v>
      </c>
      <c r="F52" s="562"/>
      <c r="G52" s="562"/>
      <c r="H52" s="562"/>
      <c r="I52" s="562"/>
      <c r="J52" s="610" t="str">
        <f>VLOOKUP(2950,Sprachindex!$A:$Z,Info!$O$7,FALSE)</f>
        <v>nur in 45 Bronze verfügbar</v>
      </c>
      <c r="K52" s="611"/>
      <c r="L52" s="79" t="str">
        <f>IF(A52=0,"",IF($O$11=1,AD52,AE52))</f>
        <v/>
      </c>
      <c r="M52" s="433" t="str">
        <f t="shared" si="2"/>
        <v>Stk.</v>
      </c>
      <c r="N52" s="80"/>
      <c r="O52" s="202" t="str">
        <f>IF(ISNUMBER(A52),$L52*R52, "")</f>
        <v/>
      </c>
      <c r="R52" s="200">
        <v>133.30000000000001</v>
      </c>
      <c r="S52" s="195"/>
      <c r="T52" s="195"/>
      <c r="U52" s="195"/>
      <c r="V52" s="195"/>
      <c r="W52" s="195"/>
      <c r="X52" s="195"/>
      <c r="Z52" s="195"/>
      <c r="AA52" s="195"/>
      <c r="AB52" s="71"/>
      <c r="AC52" s="1"/>
      <c r="AD52" s="149">
        <f t="shared" si="9"/>
        <v>0</v>
      </c>
      <c r="AE52" s="149">
        <f t="shared" si="9"/>
        <v>0</v>
      </c>
      <c r="AH52" t="s">
        <v>367</v>
      </c>
      <c r="AI52" t="s">
        <v>368</v>
      </c>
      <c r="AJ52" t="s">
        <v>369</v>
      </c>
      <c r="AK52" t="s">
        <v>370</v>
      </c>
      <c r="AL52" t="s">
        <v>371</v>
      </c>
      <c r="AM52" t="s">
        <v>372</v>
      </c>
      <c r="AN52" t="s">
        <v>373</v>
      </c>
      <c r="AO52" t="s">
        <v>374</v>
      </c>
      <c r="AP52" t="s">
        <v>375</v>
      </c>
      <c r="AQ52" t="s">
        <v>376</v>
      </c>
      <c r="AR52" t="s">
        <v>377</v>
      </c>
      <c r="AS52" t="s">
        <v>378</v>
      </c>
      <c r="AT52"/>
      <c r="AU52" t="s">
        <v>379</v>
      </c>
      <c r="AV52"/>
      <c r="AW52" t="s">
        <v>380</v>
      </c>
      <c r="AX52" t="s">
        <v>381</v>
      </c>
      <c r="AY52" t="s">
        <v>382</v>
      </c>
      <c r="AZ52" t="s">
        <v>383</v>
      </c>
      <c r="BA52"/>
      <c r="BB52" s="56">
        <f>IF($O$21=1,AH52,IF($O$21=2,AI52,IF($O$21=3,AJ52,IF($O$21=4,AK52,IF($O$21=5,AL52,IF($O$21=6,AM52,IF($O$21=7,AN52,IF($O$21=8,AO52,IF($O$21=9,AP52,IF($O$21=10,AQ52,IF($O$21=11,AR52,IF($O$21=12,AS52,IF($O$21=13,AT52,IF($O$21=14,AU52,IF($O$21=15,AV52,IF($O$21=16,AW52,IF($O$21=17,AX52,0)))))))))))))))))</f>
        <v>0</v>
      </c>
      <c r="BC52" s="129"/>
      <c r="BD52" s="129"/>
      <c r="BE52" s="129"/>
      <c r="BF52" s="129"/>
      <c r="BG52" s="129"/>
      <c r="BH52" s="129"/>
      <c r="BI52" s="129"/>
      <c r="BJ52" s="129"/>
      <c r="BK52" s="129"/>
      <c r="BN52" s="129"/>
      <c r="BW52" s="514"/>
      <c r="BX52" s="129"/>
      <c r="BY52" s="129"/>
      <c r="BZ52" s="129"/>
      <c r="CA52" s="129"/>
      <c r="CB52" s="129"/>
      <c r="CC52" s="129"/>
      <c r="CD52" s="129"/>
      <c r="CE52" s="129"/>
      <c r="CF52" s="129"/>
      <c r="CG52" s="129"/>
      <c r="CH52" s="129"/>
      <c r="CI52" s="129"/>
      <c r="CO52" s="514"/>
    </row>
    <row r="53" spans="1:93" ht="32.1" customHeight="1">
      <c r="A53" s="98"/>
      <c r="B53" s="79" t="str">
        <f>VLOOKUP(878,Sprachindex!$A:$Z,Info!$O$7,FALSE)</f>
        <v>Stk.</v>
      </c>
      <c r="C53" s="78"/>
      <c r="D53" s="78">
        <v>426003</v>
      </c>
      <c r="E53" s="561" t="str">
        <f>VLOOKUP(2224,Sprachindex!$A:$Z,Info!$O$7,FALSE)</f>
        <v>Holzrahmen (Innenmaß: 595x595 mm)</v>
      </c>
      <c r="F53" s="562"/>
      <c r="G53" s="562"/>
      <c r="H53" s="562"/>
      <c r="I53" s="562"/>
      <c r="J53" s="562"/>
      <c r="K53" s="563"/>
      <c r="L53" s="79" t="str">
        <f>IF(A53=0,"",IF($O$11=1,AD53,AE53))</f>
        <v/>
      </c>
      <c r="M53" s="433" t="str">
        <f t="shared" si="2"/>
        <v>Stk.</v>
      </c>
      <c r="N53" s="80"/>
      <c r="O53" s="202" t="str">
        <f>IF(ISNUMBER(A53),$L53*R53, "")</f>
        <v/>
      </c>
      <c r="R53" s="200">
        <v>25.62</v>
      </c>
      <c r="S53" s="195"/>
      <c r="T53" s="195"/>
      <c r="U53" s="195"/>
      <c r="V53" s="195"/>
      <c r="W53" s="195"/>
      <c r="X53" s="195"/>
      <c r="Y53" s="195"/>
      <c r="Z53" s="195"/>
      <c r="AA53" s="195"/>
      <c r="AB53" s="71"/>
      <c r="AC53" s="1"/>
      <c r="AD53" s="149">
        <f t="shared" si="9"/>
        <v>0</v>
      </c>
      <c r="AE53" s="149">
        <f t="shared" si="9"/>
        <v>0</v>
      </c>
      <c r="AH53"/>
      <c r="AI53"/>
      <c r="AJ53"/>
      <c r="AK53"/>
      <c r="AL53"/>
      <c r="AM53"/>
      <c r="AN53"/>
      <c r="AO53"/>
      <c r="AP53"/>
      <c r="AQ53"/>
      <c r="AR53"/>
      <c r="AS53"/>
      <c r="AT53"/>
      <c r="AU53"/>
      <c r="AV53"/>
      <c r="AW53"/>
      <c r="AX53"/>
      <c r="AY53"/>
      <c r="AZ53"/>
      <c r="BA53"/>
      <c r="BB53" s="56"/>
      <c r="BC53" s="129"/>
      <c r="BD53" s="129"/>
      <c r="BE53" s="129"/>
      <c r="BF53" s="129"/>
      <c r="BG53" s="129"/>
      <c r="BH53" s="129"/>
      <c r="BI53" s="129"/>
      <c r="BJ53" s="129"/>
      <c r="BK53" s="129"/>
      <c r="BN53" s="129"/>
      <c r="BW53" s="514"/>
      <c r="BX53" s="129"/>
      <c r="BY53" s="129"/>
      <c r="BZ53" s="129"/>
      <c r="CA53" s="129"/>
      <c r="CB53" s="129"/>
      <c r="CC53" s="129"/>
      <c r="CD53" s="129"/>
      <c r="CE53" s="129"/>
      <c r="CF53" s="129"/>
      <c r="CG53" s="129"/>
      <c r="CH53" s="129"/>
      <c r="CI53" s="129"/>
      <c r="CO53" s="514"/>
    </row>
    <row r="54" spans="1:93" ht="32.1" customHeight="1" thickBot="1">
      <c r="A54" s="98"/>
      <c r="B54" s="79" t="str">
        <f>VLOOKUP(878,Sprachindex!$A:$Z,Info!$O$7,FALSE)</f>
        <v>Stk.</v>
      </c>
      <c r="C54" s="78"/>
      <c r="D54" s="78">
        <f>IF(J54=Formeln!C34,Formeln!B34,IF(J54=Formeln!C35,Formeln!B35,IF(J54=Formeln!C36,Formeln!B36,IF(J54=Formeln!C37,Formeln!B37,IF(J54=Formeln!C38,Formeln!B38,IF(J54=Formeln!C39,Formeln!B39,IF(J54=Formeln!C40,Formeln!B40,IF(J54=Formeln!C41,Formeln!B41,IF(J54=Formeln!C42,Formeln!B42,IF(J54=Formeln!C43,Formeln!B43,0))))))))))</f>
        <v>0</v>
      </c>
      <c r="E54" s="561" t="str">
        <f>VLOOKUP(252,Sprachindex!$A:$Z,Info!$O$7,FALSE)</f>
        <v>Dachflächenfenstereinfassung für PREFALZ</v>
      </c>
      <c r="F54" s="562"/>
      <c r="G54" s="562"/>
      <c r="H54" s="562"/>
      <c r="I54" s="562"/>
      <c r="J54" s="614"/>
      <c r="K54" s="615"/>
      <c r="L54" s="79" t="str">
        <f>IF(A54=0,"",IF(J54=Formeln!$C$33,"",IF($O$11=1,AD54,AE54)))</f>
        <v/>
      </c>
      <c r="M54" s="433" t="str">
        <f t="shared" si="2"/>
        <v>Stk.</v>
      </c>
      <c r="N54" s="80"/>
      <c r="O54" s="202" t="str">
        <f>IF(ISNUMBER(A54),IF(J54=Formeln!C34,R54*L54,IF(J54=Formeln!C35,S54*L54,IF(J54=Formeln!C36,T54*L54,IF(J54=Formeln!C37,U54*L54,IF(J54=Formeln!C38,V54*L54,IF(J54=Formeln!C39,W54*L54,IF(J54=Formeln!C40,X54*L54,IF(J54=Formeln!C41,Y54*L54,IF(J54=Formeln!C42,Z54*L54,IF(J54=Formeln!C43,AA54*L54," "))))))))))," ")</f>
        <v xml:space="preserve"> </v>
      </c>
      <c r="R54" s="200">
        <v>347.66</v>
      </c>
      <c r="S54" s="195">
        <v>381.76</v>
      </c>
      <c r="T54" s="195">
        <v>388.01</v>
      </c>
      <c r="U54" s="195">
        <v>406.79</v>
      </c>
      <c r="V54" s="195">
        <v>397.41</v>
      </c>
      <c r="W54" s="195">
        <v>415.82</v>
      </c>
      <c r="X54" s="195">
        <v>415.82</v>
      </c>
      <c r="Y54" s="195">
        <v>432.82</v>
      </c>
      <c r="Z54" s="195">
        <v>431.82</v>
      </c>
      <c r="AA54" s="195">
        <v>450.6</v>
      </c>
      <c r="AB54" s="71"/>
      <c r="AC54" s="1"/>
      <c r="AD54" s="149">
        <f t="shared" si="9"/>
        <v>0</v>
      </c>
      <c r="AE54" s="149">
        <f t="shared" si="9"/>
        <v>0</v>
      </c>
      <c r="AH54"/>
      <c r="AI54"/>
      <c r="AJ54"/>
      <c r="AK54"/>
      <c r="AL54"/>
      <c r="AM54"/>
      <c r="AN54"/>
      <c r="AO54"/>
      <c r="AP54"/>
      <c r="AQ54"/>
      <c r="AR54"/>
      <c r="AS54"/>
      <c r="AT54"/>
      <c r="AU54"/>
      <c r="AV54"/>
      <c r="AW54"/>
      <c r="AX54"/>
      <c r="AY54"/>
      <c r="AZ54"/>
      <c r="BA54"/>
      <c r="BB54" s="128"/>
      <c r="BC54" s="129"/>
      <c r="BD54" s="129"/>
      <c r="BE54" s="129"/>
      <c r="BF54" s="129"/>
      <c r="BG54" s="129"/>
      <c r="BH54" s="129"/>
      <c r="BI54" s="129"/>
      <c r="BJ54" s="129"/>
      <c r="BK54" s="129"/>
      <c r="BN54" s="129"/>
      <c r="BW54" s="518"/>
      <c r="BX54" s="129"/>
      <c r="BY54" s="129"/>
      <c r="BZ54" s="129"/>
      <c r="CA54" s="129"/>
      <c r="CB54" s="129"/>
      <c r="CC54" s="129"/>
      <c r="CD54" s="129"/>
      <c r="CE54" s="129"/>
      <c r="CF54" s="129"/>
      <c r="CG54" s="129"/>
      <c r="CH54" s="129"/>
      <c r="CI54" s="129"/>
      <c r="CO54" s="518"/>
    </row>
    <row r="55" spans="1:93" ht="32.1" customHeight="1" thickBot="1">
      <c r="A55" s="98"/>
      <c r="B55" s="79" t="str">
        <f>VLOOKUP(878,Sprachindex!$A:$Z,Info!$O$7,FALSE)</f>
        <v>Stk.</v>
      </c>
      <c r="C55" s="78"/>
      <c r="D55" s="78">
        <v>420510</v>
      </c>
      <c r="E55" s="561" t="str">
        <f>VLOOKUP(381,Sprachindex!$A:$Z,Info!$O$7,FALSE)</f>
        <v>Falzgel in Kartusche</v>
      </c>
      <c r="F55" s="562"/>
      <c r="G55" s="562"/>
      <c r="H55" s="562"/>
      <c r="I55" s="562"/>
      <c r="J55" s="562"/>
      <c r="K55" s="563"/>
      <c r="L55" s="79" t="str">
        <f t="shared" ref="L55:L79" si="10">IF(A55=0,"",IF($O$11=1,AD55,AE55))</f>
        <v/>
      </c>
      <c r="M55" s="433" t="str">
        <f t="shared" si="2"/>
        <v>Stk.</v>
      </c>
      <c r="N55" s="80"/>
      <c r="O55" s="202" t="str">
        <f>IF(ISNUMBER(A55),$L55*R55, "")</f>
        <v/>
      </c>
      <c r="R55" s="200">
        <v>19.05</v>
      </c>
      <c r="S55" s="195"/>
      <c r="T55" s="195"/>
      <c r="U55" s="195"/>
      <c r="V55" s="195"/>
      <c r="W55" s="195"/>
      <c r="X55" s="195"/>
      <c r="Y55" s="195"/>
      <c r="Z55" s="195"/>
      <c r="AA55" s="195"/>
      <c r="AB55" s="71"/>
      <c r="AC55" s="1"/>
      <c r="AD55" s="149">
        <f>ROUNDUP($A55/12,0)*12</f>
        <v>0</v>
      </c>
      <c r="AE55" s="149">
        <f>ROUNDUP($A55,0)</f>
        <v>0</v>
      </c>
      <c r="AF55" s="6"/>
      <c r="AH55" s="521" t="s">
        <v>108</v>
      </c>
      <c r="AI55" s="522" t="s">
        <v>109</v>
      </c>
      <c r="AJ55" s="522" t="s">
        <v>110</v>
      </c>
      <c r="AK55" s="522" t="s">
        <v>111</v>
      </c>
      <c r="AL55" s="522" t="s">
        <v>112</v>
      </c>
      <c r="AM55" s="522" t="s">
        <v>113</v>
      </c>
      <c r="AN55" s="522" t="s">
        <v>114</v>
      </c>
      <c r="AO55" s="522" t="s">
        <v>115</v>
      </c>
      <c r="AP55" s="522" t="s">
        <v>116</v>
      </c>
      <c r="AQ55" s="522" t="s">
        <v>117</v>
      </c>
      <c r="AR55" s="522" t="s">
        <v>118</v>
      </c>
      <c r="AS55" s="522" t="s">
        <v>95</v>
      </c>
      <c r="AT55" s="522" t="s">
        <v>119</v>
      </c>
      <c r="AU55" s="522" t="s">
        <v>120</v>
      </c>
      <c r="AV55" s="522" t="s">
        <v>121</v>
      </c>
      <c r="AW55" s="522" t="s">
        <v>122</v>
      </c>
      <c r="AX55" s="523" t="s">
        <v>123</v>
      </c>
      <c r="AY55" s="523" t="s">
        <v>124</v>
      </c>
      <c r="AZ55" s="523" t="s">
        <v>125</v>
      </c>
      <c r="BA55" s="126" t="s">
        <v>126</v>
      </c>
      <c r="BC55" s="508" t="s">
        <v>108</v>
      </c>
      <c r="BD55" s="509" t="s">
        <v>109</v>
      </c>
      <c r="BE55" s="509" t="s">
        <v>110</v>
      </c>
      <c r="BF55" s="509" t="s">
        <v>111</v>
      </c>
      <c r="BG55" s="509" t="s">
        <v>112</v>
      </c>
      <c r="BH55" s="509" t="s">
        <v>113</v>
      </c>
      <c r="BI55" s="509" t="s">
        <v>114</v>
      </c>
      <c r="BJ55" s="509" t="s">
        <v>115</v>
      </c>
      <c r="BK55" s="509" t="s">
        <v>116</v>
      </c>
      <c r="BL55" s="509" t="s">
        <v>117</v>
      </c>
      <c r="BM55" s="509" t="s">
        <v>118</v>
      </c>
      <c r="BN55" s="509" t="s">
        <v>95</v>
      </c>
      <c r="BO55" s="509" t="s">
        <v>119</v>
      </c>
      <c r="BP55" s="509" t="s">
        <v>120</v>
      </c>
      <c r="BQ55" s="509" t="s">
        <v>121</v>
      </c>
      <c r="BR55" s="509" t="s">
        <v>122</v>
      </c>
      <c r="BS55" s="510" t="s">
        <v>123</v>
      </c>
      <c r="BT55" s="506"/>
      <c r="BU55" s="506"/>
      <c r="BV55" s="506"/>
    </row>
    <row r="56" spans="1:93" ht="32.1" customHeight="1">
      <c r="A56" s="98"/>
      <c r="B56" s="79" t="str">
        <f>VLOOKUP(878,Sprachindex!$A:$Z,Info!$O$7,FALSE)</f>
        <v>Stk.</v>
      </c>
      <c r="C56" s="78"/>
      <c r="D56" s="78" t="b">
        <f>IF($O$21=1,AH56,IF($O$21=2,AI56,IF($O$21=3,AJ56,IF($O$21=4,AK56,IF($O$21=5,AL56,IF($O$21=6,AM56,IF($O$21=7,AN56,IF($O$21=8,AO56,IF($O$21=9,AP56,IF($O$21=10,AQ56,IF($O$21=11,AR56,IF($O$21=12,AS56,IF($O$21=13,AT56,IF($O$21=14,AU56,IF($O$21=15,AV56,IF($O$21=16,AW56,IF($O$21=17,AX56,IF($O$21=18,AY56,IF($O$21=19,AZ56,IF($O$21=20,AU56))))))))))))))))))))</f>
        <v>0</v>
      </c>
      <c r="E56" s="561" t="str">
        <f>VLOOKUP(756,Sprachindex!$A:$Z,Info!$O$7,FALSE)</f>
        <v>Sailerklemme (einfach)</v>
      </c>
      <c r="F56" s="562"/>
      <c r="G56" s="562"/>
      <c r="H56" s="562"/>
      <c r="I56" s="562"/>
      <c r="J56" s="610" t="str">
        <f>VLOOKUP(2950,Sprachindex!$A:$Z,Info!$O$7,FALSE)</f>
        <v>nur in 45 Bronze verfügbar</v>
      </c>
      <c r="K56" s="611"/>
      <c r="L56" s="79" t="str">
        <f t="shared" si="10"/>
        <v/>
      </c>
      <c r="M56" s="433" t="str">
        <f t="shared" si="2"/>
        <v>Stk.</v>
      </c>
      <c r="N56" s="80"/>
      <c r="O56" s="202" t="str">
        <f t="shared" ref="O56:O61" si="11">IF(ISNUMBER(L56),IF(O21=12,L56*S56,L56*R56)," ")</f>
        <v xml:space="preserve"> </v>
      </c>
      <c r="R56" s="214">
        <v>8.99</v>
      </c>
      <c r="S56" s="217">
        <v>6.98</v>
      </c>
      <c r="T56" s="215"/>
      <c r="U56" s="195"/>
      <c r="V56" s="195"/>
      <c r="W56" s="195"/>
      <c r="X56" s="195"/>
      <c r="Y56" s="195"/>
      <c r="Z56" s="195"/>
      <c r="AA56" s="195"/>
      <c r="AB56" s="71"/>
      <c r="AC56" s="1"/>
      <c r="AD56" s="149">
        <f>ROUNDUP($A56/20,0)*20</f>
        <v>0</v>
      </c>
      <c r="AE56" s="149">
        <f>ROUNDUP($A56,0)</f>
        <v>0</v>
      </c>
      <c r="AH56">
        <v>120203</v>
      </c>
      <c r="AI56">
        <v>120200</v>
      </c>
      <c r="AJ56">
        <v>120208</v>
      </c>
      <c r="AK56">
        <v>120205</v>
      </c>
      <c r="AL56">
        <v>120201</v>
      </c>
      <c r="AM56">
        <v>120202</v>
      </c>
      <c r="AN56">
        <v>120204</v>
      </c>
      <c r="AO56">
        <v>120206</v>
      </c>
      <c r="AP56">
        <v>120207</v>
      </c>
      <c r="AQ56">
        <v>121100</v>
      </c>
      <c r="AR56">
        <v>121101</v>
      </c>
      <c r="AS56">
        <v>649522</v>
      </c>
      <c r="AT56">
        <v>649548</v>
      </c>
      <c r="AU56" t="s">
        <v>385</v>
      </c>
      <c r="AV56"/>
      <c r="AW56" t="s">
        <v>386</v>
      </c>
      <c r="AX56" t="s">
        <v>387</v>
      </c>
      <c r="AY56" t="s">
        <v>388</v>
      </c>
      <c r="AZ56" t="s">
        <v>389</v>
      </c>
      <c r="BA56"/>
      <c r="BB56"/>
      <c r="BC56" s="129"/>
      <c r="BD56" s="129"/>
      <c r="BE56" s="129"/>
      <c r="BF56" s="129"/>
      <c r="BG56" s="129"/>
      <c r="BH56" s="129"/>
      <c r="BI56" s="129"/>
      <c r="BJ56" s="129"/>
      <c r="BK56" s="129"/>
      <c r="BL56" s="129"/>
      <c r="BM56" s="129"/>
      <c r="BN56" s="129"/>
      <c r="BO56" s="129"/>
    </row>
    <row r="57" spans="1:93" ht="32.1" customHeight="1">
      <c r="A57" s="98"/>
      <c r="B57" s="79" t="str">
        <f>VLOOKUP(878,Sprachindex!$A:$Z,Info!$O$7,FALSE)</f>
        <v>Stk.</v>
      </c>
      <c r="C57" s="78"/>
      <c r="D57" s="78" t="b">
        <f t="shared" ref="D57:D62" si="12">IF($O$21=1,AH57,IF($O$21=2,AI57,IF($O$21=3,AJ57,IF($O$21=4,AK57,IF($O$21=5,AL57,IF($O$21=6,AM57,IF($O$21=7,AN57,IF($O$21=8,AO57,IF($O$21=9,AP57,IF($O$21=10,AQ57,IF($O$21=11,AR57,IF($O$21=12,AS57,IF($O$21=13,AT57,IF($O$21=14,AU57,IF($O$21=15,AV57,IF($O$21=16,AW57,IF($O$21=17,AX57,IF($O$21=18,AY57,IF($O$21=19,AZ57,IF($O$21=20,AU57))))))))))))))))))))</f>
        <v>0</v>
      </c>
      <c r="E57" s="561" t="str">
        <f>VLOOKUP(758,Sprachindex!$A:$Z,Info!$O$7,FALSE)</f>
        <v>Sailerklemme (für Schrägfalze)</v>
      </c>
      <c r="F57" s="562"/>
      <c r="G57" s="562"/>
      <c r="H57" s="562"/>
      <c r="I57" s="562"/>
      <c r="J57" s="610" t="str">
        <f>VLOOKUP(2950,Sprachindex!$A:$Z,Info!$O$7,FALSE)</f>
        <v>nur in 45 Bronze verfügbar</v>
      </c>
      <c r="K57" s="611"/>
      <c r="L57" s="79" t="str">
        <f t="shared" si="10"/>
        <v/>
      </c>
      <c r="M57" s="433" t="str">
        <f t="shared" si="2"/>
        <v>Stk.</v>
      </c>
      <c r="N57" s="80"/>
      <c r="O57" s="202" t="str">
        <f t="shared" si="11"/>
        <v xml:space="preserve"> </v>
      </c>
      <c r="R57" s="214">
        <v>10.33</v>
      </c>
      <c r="S57" s="218">
        <v>8.0399999999999991</v>
      </c>
      <c r="T57" s="216"/>
      <c r="V57" s="195"/>
      <c r="W57" s="195"/>
      <c r="X57" s="195"/>
      <c r="Y57" s="195"/>
      <c r="Z57" s="195"/>
      <c r="AA57" s="195"/>
      <c r="AB57" s="71"/>
      <c r="AC57" s="1"/>
      <c r="AD57" s="149">
        <f>ROUNDUP($A57/20,0)*20</f>
        <v>0</v>
      </c>
      <c r="AE57" s="149">
        <f>ROUNDUP($A57,0)</f>
        <v>0</v>
      </c>
      <c r="AH57">
        <v>120223</v>
      </c>
      <c r="AI57">
        <v>120220</v>
      </c>
      <c r="AJ57">
        <v>120228</v>
      </c>
      <c r="AK57">
        <v>120225</v>
      </c>
      <c r="AL57">
        <v>120221</v>
      </c>
      <c r="AM57">
        <v>120222</v>
      </c>
      <c r="AN57">
        <v>120224</v>
      </c>
      <c r="AO57">
        <v>120226</v>
      </c>
      <c r="AP57">
        <v>120227</v>
      </c>
      <c r="AQ57">
        <v>121120</v>
      </c>
      <c r="AR57">
        <v>121121</v>
      </c>
      <c r="AS57">
        <v>649700</v>
      </c>
      <c r="AT57">
        <v>649713</v>
      </c>
      <c r="AU57">
        <v>121123</v>
      </c>
      <c r="AV57"/>
      <c r="AW57">
        <v>121124</v>
      </c>
      <c r="AX57" t="s">
        <v>390</v>
      </c>
      <c r="AY57">
        <v>121126</v>
      </c>
      <c r="AZ57">
        <v>121125</v>
      </c>
      <c r="BA57"/>
    </row>
    <row r="58" spans="1:93" ht="32.1" customHeight="1">
      <c r="A58" s="98"/>
      <c r="B58" s="79" t="str">
        <f>VLOOKUP(878,Sprachindex!$A:$Z,Info!$O$7,FALSE)</f>
        <v>Stk.</v>
      </c>
      <c r="C58" s="78"/>
      <c r="D58" s="78" t="b">
        <f t="shared" si="12"/>
        <v>0</v>
      </c>
      <c r="E58" s="561" t="str">
        <f>VLOOKUP(754,Sprachindex!$A:$Z,Info!$O$7,FALSE)</f>
        <v>Sailerklemme (doppelt)</v>
      </c>
      <c r="F58" s="562"/>
      <c r="G58" s="562"/>
      <c r="H58" s="562"/>
      <c r="I58" s="562"/>
      <c r="J58" s="610" t="str">
        <f>VLOOKUP(2950,Sprachindex!$A:$Z,Info!$O$7,FALSE)</f>
        <v>nur in 45 Bronze verfügbar</v>
      </c>
      <c r="K58" s="611"/>
      <c r="L58" s="79" t="str">
        <f t="shared" si="10"/>
        <v/>
      </c>
      <c r="M58" s="433" t="str">
        <f t="shared" si="2"/>
        <v>Stk.</v>
      </c>
      <c r="N58" s="80"/>
      <c r="O58" s="202" t="str">
        <f t="shared" si="11"/>
        <v xml:space="preserve"> </v>
      </c>
      <c r="R58" s="214">
        <v>14.41</v>
      </c>
      <c r="S58" s="218">
        <v>11.63</v>
      </c>
      <c r="T58" s="215"/>
      <c r="U58" s="195"/>
      <c r="V58" s="195"/>
      <c r="W58" s="195"/>
      <c r="X58" s="195"/>
      <c r="Y58" s="195"/>
      <c r="Z58" s="195"/>
      <c r="AA58" s="195"/>
      <c r="AB58" s="71"/>
      <c r="AC58" s="1"/>
      <c r="AD58" s="149">
        <f>ROUNDUP($A58/40,0)*40</f>
        <v>0</v>
      </c>
      <c r="AE58" s="149">
        <f>ROUNDUP($A58,0)</f>
        <v>0</v>
      </c>
      <c r="AH58">
        <v>120213</v>
      </c>
      <c r="AI58">
        <v>120210</v>
      </c>
      <c r="AJ58">
        <v>120218</v>
      </c>
      <c r="AK58">
        <v>120215</v>
      </c>
      <c r="AL58">
        <v>120211</v>
      </c>
      <c r="AM58">
        <v>120212</v>
      </c>
      <c r="AN58">
        <v>120214</v>
      </c>
      <c r="AO58">
        <v>120216</v>
      </c>
      <c r="AP58">
        <v>120217</v>
      </c>
      <c r="AQ58">
        <v>121110</v>
      </c>
      <c r="AR58">
        <v>121111</v>
      </c>
      <c r="AS58">
        <v>649521</v>
      </c>
      <c r="AT58">
        <v>649549</v>
      </c>
      <c r="AU58">
        <v>121113</v>
      </c>
      <c r="AV58"/>
      <c r="AW58">
        <v>121114</v>
      </c>
      <c r="AX58">
        <v>121112</v>
      </c>
      <c r="AY58" t="s">
        <v>391</v>
      </c>
      <c r="AZ58" t="s">
        <v>392</v>
      </c>
      <c r="BA58"/>
      <c r="BD58" s="129"/>
    </row>
    <row r="59" spans="1:93" ht="32.1" customHeight="1">
      <c r="A59" s="98"/>
      <c r="B59" s="79" t="str">
        <f>VLOOKUP(1512,Sprachindex!$A:$Z,Info!$O$7,FALSE)</f>
        <v>lfm</v>
      </c>
      <c r="C59" s="78"/>
      <c r="D59" s="78" t="b">
        <f t="shared" si="12"/>
        <v>0</v>
      </c>
      <c r="E59" s="561" t="str">
        <f>VLOOKUP(725,Sprachindex!$A:$Z,Info!$O$7,FALSE)</f>
        <v>Rohr (28 × 2 × 3.000 mm; inkl. Muffe)</v>
      </c>
      <c r="F59" s="562"/>
      <c r="G59" s="562"/>
      <c r="H59" s="562"/>
      <c r="I59" s="562"/>
      <c r="J59" s="610" t="str">
        <f>VLOOKUP(2950,Sprachindex!$A:$Z,Info!$O$7,FALSE)</f>
        <v>nur in 45 Bronze verfügbar</v>
      </c>
      <c r="K59" s="611"/>
      <c r="L59" s="79" t="str">
        <f t="shared" si="10"/>
        <v/>
      </c>
      <c r="M59" s="433" t="str">
        <f t="shared" si="2"/>
        <v>lfm</v>
      </c>
      <c r="N59" s="80"/>
      <c r="O59" s="202" t="str">
        <f t="shared" si="11"/>
        <v xml:space="preserve"> </v>
      </c>
      <c r="R59" s="214">
        <v>8.39</v>
      </c>
      <c r="S59" s="219">
        <v>5.55</v>
      </c>
      <c r="T59" s="215"/>
      <c r="U59" s="195"/>
      <c r="V59" s="195"/>
      <c r="W59" s="195"/>
      <c r="X59" s="195"/>
      <c r="Y59" s="195"/>
      <c r="Z59" s="195"/>
      <c r="AA59" s="195"/>
      <c r="AB59" s="71"/>
      <c r="AC59" s="1"/>
      <c r="AD59" s="149">
        <f>ROUNDUP($A59/3,0)*3</f>
        <v>0</v>
      </c>
      <c r="AE59" s="149">
        <f>ROUNDUP($A59/3,0)*3</f>
        <v>0</v>
      </c>
      <c r="AH59">
        <v>120323</v>
      </c>
      <c r="AI59">
        <v>120320</v>
      </c>
      <c r="AJ59">
        <v>120328</v>
      </c>
      <c r="AK59">
        <v>120325</v>
      </c>
      <c r="AL59">
        <v>120321</v>
      </c>
      <c r="AM59">
        <v>120322</v>
      </c>
      <c r="AN59">
        <v>120324</v>
      </c>
      <c r="AO59">
        <v>120326</v>
      </c>
      <c r="AP59">
        <v>120327</v>
      </c>
      <c r="AQ59">
        <v>121130</v>
      </c>
      <c r="AR59">
        <v>121131</v>
      </c>
      <c r="AS59">
        <v>669503</v>
      </c>
      <c r="AT59">
        <v>669516</v>
      </c>
      <c r="AU59">
        <v>121133</v>
      </c>
      <c r="AV59"/>
      <c r="AW59" t="s">
        <v>393</v>
      </c>
      <c r="AX59" t="s">
        <v>394</v>
      </c>
      <c r="AY59" t="s">
        <v>395</v>
      </c>
      <c r="AZ59" t="s">
        <v>396</v>
      </c>
      <c r="BA59"/>
    </row>
    <row r="60" spans="1:93" ht="32.1" customHeight="1">
      <c r="A60" s="98"/>
      <c r="B60" s="79" t="str">
        <f>VLOOKUP(878,Sprachindex!$A:$Z,Info!$O$7,FALSE)</f>
        <v>Stk.</v>
      </c>
      <c r="C60" s="78"/>
      <c r="D60" s="78" t="b">
        <f t="shared" si="12"/>
        <v>0</v>
      </c>
      <c r="E60" s="561" t="str">
        <f>VLOOKUP(312,Sprachindex!$A:$Z,Info!$O$7,FALSE)</f>
        <v>Eckverbinder für Rohr</v>
      </c>
      <c r="F60" s="562"/>
      <c r="G60" s="562"/>
      <c r="H60" s="562"/>
      <c r="I60" s="562"/>
      <c r="J60" s="610" t="str">
        <f>VLOOKUP(2950,Sprachindex!$A:$Z,Info!$O$7,FALSE)</f>
        <v>nur in 45 Bronze verfügbar</v>
      </c>
      <c r="K60" s="611"/>
      <c r="L60" s="79" t="str">
        <f t="shared" si="10"/>
        <v/>
      </c>
      <c r="M60" s="433" t="str">
        <f t="shared" si="2"/>
        <v>Stk.</v>
      </c>
      <c r="N60" s="80"/>
      <c r="O60" s="202" t="str">
        <f t="shared" si="11"/>
        <v xml:space="preserve"> </v>
      </c>
      <c r="R60" s="214">
        <v>15.65</v>
      </c>
      <c r="S60" s="220">
        <v>14.45</v>
      </c>
      <c r="T60" s="215"/>
      <c r="U60" s="195"/>
      <c r="V60" s="195"/>
      <c r="W60" s="195"/>
      <c r="X60" s="195"/>
      <c r="Y60" s="195"/>
      <c r="Z60" s="195"/>
      <c r="AA60" s="195"/>
      <c r="AB60" s="71"/>
      <c r="AC60" s="1"/>
      <c r="AD60" s="149">
        <f>ROUNDUP($A60/20,0)*20</f>
        <v>0</v>
      </c>
      <c r="AE60" s="149">
        <f t="shared" ref="AE60:AE84" si="13">ROUNDUP($A60,0)</f>
        <v>0</v>
      </c>
      <c r="AH60">
        <v>120373</v>
      </c>
      <c r="AI60">
        <v>120370</v>
      </c>
      <c r="AJ60">
        <v>120378</v>
      </c>
      <c r="AK60">
        <v>120375</v>
      </c>
      <c r="AL60">
        <v>120371</v>
      </c>
      <c r="AM60">
        <v>120372</v>
      </c>
      <c r="AN60">
        <v>120374</v>
      </c>
      <c r="AO60">
        <v>120376</v>
      </c>
      <c r="AP60">
        <v>120377</v>
      </c>
      <c r="AQ60">
        <v>121150</v>
      </c>
      <c r="AR60">
        <v>121151</v>
      </c>
      <c r="AS60">
        <v>537150</v>
      </c>
      <c r="AT60">
        <v>537157</v>
      </c>
      <c r="AU60" t="s">
        <v>397</v>
      </c>
      <c r="AV60"/>
      <c r="AW60" t="s">
        <v>398</v>
      </c>
      <c r="AX60" t="s">
        <v>399</v>
      </c>
      <c r="AY60" t="s">
        <v>400</v>
      </c>
      <c r="AZ60" t="s">
        <v>401</v>
      </c>
      <c r="BA60"/>
    </row>
    <row r="61" spans="1:93" ht="32.1" customHeight="1">
      <c r="A61" s="98"/>
      <c r="B61" s="79" t="str">
        <f>VLOOKUP(878,Sprachindex!$A:$Z,Info!$O$7,FALSE)</f>
        <v>Stk.</v>
      </c>
      <c r="C61" s="78"/>
      <c r="D61" s="78" t="b">
        <f t="shared" si="12"/>
        <v>0</v>
      </c>
      <c r="E61" s="561" t="str">
        <f>VLOOKUP(346,Sprachindex!$A:$Z,Info!$O$7,FALSE)</f>
        <v>Eisfänger</v>
      </c>
      <c r="F61" s="562"/>
      <c r="G61" s="562"/>
      <c r="H61" s="562"/>
      <c r="I61" s="562"/>
      <c r="J61" s="610" t="str">
        <f>VLOOKUP(2950,Sprachindex!$A:$Z,Info!$O$7,FALSE)</f>
        <v>nur in 45 Bronze verfügbar</v>
      </c>
      <c r="K61" s="611"/>
      <c r="L61" s="79" t="str">
        <f t="shared" si="10"/>
        <v/>
      </c>
      <c r="M61" s="433" t="str">
        <f t="shared" si="2"/>
        <v>Stk.</v>
      </c>
      <c r="N61" s="80"/>
      <c r="O61" s="202" t="str">
        <f t="shared" si="11"/>
        <v xml:space="preserve"> </v>
      </c>
      <c r="R61" s="214">
        <v>3.13</v>
      </c>
      <c r="S61" s="219">
        <v>2.79</v>
      </c>
      <c r="T61" s="221"/>
      <c r="U61" s="195"/>
      <c r="V61" s="195"/>
      <c r="W61" s="195"/>
      <c r="X61" s="195"/>
      <c r="Y61" s="195"/>
      <c r="Z61" s="195"/>
      <c r="AA61" s="195"/>
      <c r="AB61" s="71"/>
      <c r="AC61" s="1"/>
      <c r="AD61" s="149">
        <f>ROUNDUP($A61/100,0)*100</f>
        <v>0</v>
      </c>
      <c r="AE61" s="149">
        <f t="shared" si="13"/>
        <v>0</v>
      </c>
      <c r="AH61">
        <v>120343</v>
      </c>
      <c r="AI61">
        <v>120340</v>
      </c>
      <c r="AJ61">
        <v>120348</v>
      </c>
      <c r="AK61">
        <v>120345</v>
      </c>
      <c r="AL61">
        <v>120341</v>
      </c>
      <c r="AM61">
        <v>120342</v>
      </c>
      <c r="AN61">
        <v>120344</v>
      </c>
      <c r="AO61">
        <v>120346</v>
      </c>
      <c r="AP61">
        <v>120347</v>
      </c>
      <c r="AQ61">
        <v>121160</v>
      </c>
      <c r="AR61">
        <v>121161</v>
      </c>
      <c r="AS61">
        <v>649600</v>
      </c>
      <c r="AT61">
        <v>649614</v>
      </c>
      <c r="AU61" t="s">
        <v>402</v>
      </c>
      <c r="AV61"/>
      <c r="AW61" t="s">
        <v>403</v>
      </c>
      <c r="AX61" t="s">
        <v>404</v>
      </c>
      <c r="AY61" t="s">
        <v>405</v>
      </c>
      <c r="AZ61" t="s">
        <v>406</v>
      </c>
      <c r="BA61"/>
    </row>
    <row r="62" spans="1:93" ht="32.1" customHeight="1">
      <c r="A62" s="98"/>
      <c r="B62" s="79" t="str">
        <f>VLOOKUP(878,Sprachindex!$A:$Z,Info!$O$7,FALSE)</f>
        <v>Stk.</v>
      </c>
      <c r="C62" s="78"/>
      <c r="D62" s="78" t="b">
        <f t="shared" si="12"/>
        <v>0</v>
      </c>
      <c r="E62" s="561" t="str">
        <f>VLOOKUP(2226,Sprachindex!$A:$Z,Info!$O$7,FALSE)</f>
        <v>Laufstegstütze für Falzdächer</v>
      </c>
      <c r="F62" s="562"/>
      <c r="G62" s="562"/>
      <c r="H62" s="562"/>
      <c r="I62" s="562"/>
      <c r="J62" s="610" t="str">
        <f>VLOOKUP(2950,Sprachindex!$A:$Z,Info!$O$7,FALSE)</f>
        <v>nur in 45 Bronze verfügbar</v>
      </c>
      <c r="K62" s="611"/>
      <c r="L62" s="79" t="str">
        <f t="shared" si="10"/>
        <v/>
      </c>
      <c r="M62" s="433" t="str">
        <f t="shared" si="2"/>
        <v>Stk.</v>
      </c>
      <c r="N62" s="80"/>
      <c r="O62" s="202" t="str">
        <f t="shared" ref="O62:O67" si="14">IF(ISNUMBER(A62),$L62*R62, "")</f>
        <v/>
      </c>
      <c r="R62" s="200">
        <v>52.83</v>
      </c>
      <c r="S62" s="212"/>
      <c r="T62" s="221"/>
      <c r="U62" s="195"/>
      <c r="V62" s="195"/>
      <c r="W62" s="195"/>
      <c r="X62" s="195"/>
      <c r="Y62" s="195"/>
      <c r="Z62" s="195"/>
      <c r="AA62" s="195"/>
      <c r="AB62" s="71"/>
      <c r="AC62" s="1"/>
      <c r="AD62" s="149">
        <f>ROUNDUP($A62/4,0)*4</f>
        <v>0</v>
      </c>
      <c r="AE62" s="149">
        <f t="shared" si="13"/>
        <v>0</v>
      </c>
      <c r="AH62">
        <v>120053</v>
      </c>
      <c r="AI62">
        <v>120050</v>
      </c>
      <c r="AJ62">
        <v>120058</v>
      </c>
      <c r="AK62">
        <v>120055</v>
      </c>
      <c r="AL62">
        <v>120051</v>
      </c>
      <c r="AM62">
        <v>120052</v>
      </c>
      <c r="AN62">
        <v>120054</v>
      </c>
      <c r="AO62">
        <v>120056</v>
      </c>
      <c r="AP62">
        <v>120057</v>
      </c>
      <c r="AQ62">
        <v>121090</v>
      </c>
      <c r="AR62">
        <v>121091</v>
      </c>
      <c r="AS62">
        <v>649280</v>
      </c>
      <c r="AT62">
        <v>649294</v>
      </c>
      <c r="AU62" t="s">
        <v>407</v>
      </c>
      <c r="AV62"/>
      <c r="AW62" t="s">
        <v>408</v>
      </c>
      <c r="AX62" t="s">
        <v>409</v>
      </c>
      <c r="AY62" t="s">
        <v>410</v>
      </c>
      <c r="AZ62" t="s">
        <v>411</v>
      </c>
      <c r="BA62"/>
    </row>
    <row r="63" spans="1:93" ht="32.1" customHeight="1">
      <c r="A63" s="98"/>
      <c r="B63" s="79" t="str">
        <f>VLOOKUP(878,Sprachindex!$A:$Z,Info!$O$7,FALSE)</f>
        <v>Stk.</v>
      </c>
      <c r="C63" s="78"/>
      <c r="D63" s="78" t="b">
        <f>IF($O$21=1,AH63,IF($O$21=2,AI63,IF($O$21=3,AJ63,IF($O$21=4,AK63,IF($O$21=5,AL63,IF($O$21=6,AM63,IF($O$21=7,AN63,IF($O$21=8,AO63,IF($O$21=9,AP63,IF($O$21=10,AQ63,IF($O$21=11,AR63,IF($O$21=12,AS63,IF($O$21=13,AT63,IF($O$21=14,AU63,IF($O$21=15,AV63,IF($O$21=16,AW63,IF($O$21=17,AX63,IF($O$21=18,AY63,IF($O$21=19,AZ63,IF($O$21=20,AU63))))))))))))))))))))</f>
        <v>0</v>
      </c>
      <c r="E63" s="561" t="str">
        <f>VLOOKUP(560,Sprachindex!$A:$Z,Info!$O$7,FALSE)</f>
        <v>Laufsteg (250 × 1.200 mm)</v>
      </c>
      <c r="F63" s="562"/>
      <c r="G63" s="562"/>
      <c r="H63" s="562"/>
      <c r="I63" s="562"/>
      <c r="J63" s="562"/>
      <c r="K63" s="563"/>
      <c r="L63" s="79" t="str">
        <f t="shared" si="10"/>
        <v/>
      </c>
      <c r="M63" s="433" t="str">
        <f t="shared" si="2"/>
        <v>Stk.</v>
      </c>
      <c r="N63" s="80"/>
      <c r="O63" s="202" t="str">
        <f t="shared" si="14"/>
        <v/>
      </c>
      <c r="R63" s="200">
        <v>74.430000000000007</v>
      </c>
      <c r="S63" s="212"/>
      <c r="T63" s="221"/>
      <c r="U63" s="195"/>
      <c r="V63" s="195"/>
      <c r="W63" s="195"/>
      <c r="X63" s="195"/>
      <c r="Y63" s="195"/>
      <c r="Z63" s="195"/>
      <c r="AA63" s="195"/>
      <c r="AB63" s="71"/>
      <c r="AC63" s="1"/>
      <c r="AD63" s="149">
        <f t="shared" ref="AD63:AD72" si="15">ROUNDUP($A63,0)</f>
        <v>0</v>
      </c>
      <c r="AE63" s="149">
        <f t="shared" si="13"/>
        <v>0</v>
      </c>
      <c r="AH63">
        <v>120033</v>
      </c>
      <c r="AI63">
        <v>120030</v>
      </c>
      <c r="AJ63">
        <v>120038</v>
      </c>
      <c r="AK63">
        <v>120035</v>
      </c>
      <c r="AL63">
        <v>120031</v>
      </c>
      <c r="AM63">
        <v>120032</v>
      </c>
      <c r="AN63">
        <v>120034</v>
      </c>
      <c r="AO63">
        <v>120036</v>
      </c>
      <c r="AP63">
        <v>120037</v>
      </c>
      <c r="AQ63">
        <v>121080</v>
      </c>
      <c r="AR63">
        <v>121081</v>
      </c>
      <c r="AS63">
        <v>649221</v>
      </c>
      <c r="AT63">
        <v>649253</v>
      </c>
      <c r="AU63"/>
      <c r="AV63"/>
      <c r="AW63"/>
      <c r="AX63" t="s">
        <v>412</v>
      </c>
      <c r="AY63"/>
      <c r="AZ63"/>
      <c r="BA63"/>
    </row>
    <row r="64" spans="1:93" ht="32.1" customHeight="1">
      <c r="A64" s="98"/>
      <c r="B64" s="79" t="str">
        <f>VLOOKUP(878,Sprachindex!$A:$Z,Info!$O$7,FALSE)</f>
        <v>Stk.</v>
      </c>
      <c r="C64" s="78"/>
      <c r="D64" s="78" t="b">
        <f>IF($O$21=1,AH64,IF($O$21=2,AI64,IF($O$21=3,AJ64,IF($O$21=4,AK64,IF($O$21=5,AL64,IF($O$21=6,AM64,IF($O$21=7,AN64,IF($O$21=8,AO64,IF($O$21=9,AP64,IF($O$21=10,AQ64,IF($O$21=11,AR64,IF($O$21=12,AS64,IF($O$21=13,AT64,IF($O$21=14,AU64,IF($O$21=15,AV64,IF($O$21=16,AW64,IF($O$21=17,AX64,IF($O$21=18,AY64,IF($O$21=19,AZ64,IF($O$21=20,AU64))))))))))))))))))))</f>
        <v>0</v>
      </c>
      <c r="E64" s="561" t="str">
        <f>VLOOKUP(563,Sprachindex!$A:$Z,Info!$O$7,FALSE)</f>
        <v>Laufsteg (250 × 800 mm)</v>
      </c>
      <c r="F64" s="562"/>
      <c r="G64" s="562"/>
      <c r="H64" s="562"/>
      <c r="I64" s="562"/>
      <c r="J64" s="610" t="str">
        <f>VLOOKUP(2950,Sprachindex!$A:$Z,Info!$O$7,FALSE)</f>
        <v>nur in 45 Bronze verfügbar</v>
      </c>
      <c r="K64" s="611"/>
      <c r="L64" s="79" t="str">
        <f t="shared" si="10"/>
        <v/>
      </c>
      <c r="M64" s="433" t="str">
        <f t="shared" si="2"/>
        <v>Stk.</v>
      </c>
      <c r="N64" s="80"/>
      <c r="O64" s="202" t="str">
        <f t="shared" si="14"/>
        <v/>
      </c>
      <c r="R64" s="200">
        <v>54.95</v>
      </c>
      <c r="S64" s="212"/>
      <c r="T64" s="221"/>
      <c r="U64" s="195"/>
      <c r="V64" s="195"/>
      <c r="W64" s="195"/>
      <c r="X64" s="195"/>
      <c r="Y64" s="195"/>
      <c r="Z64" s="195"/>
      <c r="AA64" s="195"/>
      <c r="AB64" s="71"/>
      <c r="AC64" s="1"/>
      <c r="AD64" s="149">
        <f t="shared" si="15"/>
        <v>0</v>
      </c>
      <c r="AE64" s="149">
        <f t="shared" si="13"/>
        <v>0</v>
      </c>
      <c r="AH64">
        <v>120023</v>
      </c>
      <c r="AI64">
        <v>120020</v>
      </c>
      <c r="AJ64">
        <v>120028</v>
      </c>
      <c r="AK64">
        <v>120025</v>
      </c>
      <c r="AL64">
        <v>120021</v>
      </c>
      <c r="AM64">
        <v>120022</v>
      </c>
      <c r="AN64">
        <v>120024</v>
      </c>
      <c r="AO64">
        <v>120026</v>
      </c>
      <c r="AP64">
        <v>120027</v>
      </c>
      <c r="AQ64">
        <v>121070</v>
      </c>
      <c r="AR64">
        <v>121071</v>
      </c>
      <c r="AS64">
        <v>649050</v>
      </c>
      <c r="AT64">
        <v>649064</v>
      </c>
      <c r="AU64" t="s">
        <v>413</v>
      </c>
      <c r="AV64"/>
      <c r="AW64" t="s">
        <v>414</v>
      </c>
      <c r="AX64" t="s">
        <v>415</v>
      </c>
      <c r="AY64" t="s">
        <v>416</v>
      </c>
      <c r="AZ64" t="s">
        <v>417</v>
      </c>
      <c r="BA64"/>
    </row>
    <row r="65" spans="1:64" ht="32.1" customHeight="1">
      <c r="A65" s="98"/>
      <c r="B65" s="79" t="str">
        <f>VLOOKUP(878,Sprachindex!$A:$Z,Info!$O$7,FALSE)</f>
        <v>Stk.</v>
      </c>
      <c r="C65" s="78"/>
      <c r="D65" s="78" t="b">
        <f>IF($O$21=1,AH65,IF($O$21=2,AI65,IF($O$21=3,AJ65,IF($O$21=4,AK65,IF($O$21=5,AL65,IF($O$21=6,AM65,IF($O$21=7,AN65,IF($O$21=8,AO65,IF($O$21=9,AP65,IF($O$21=10,AQ65,IF($O$21=11,AR65,IF($O$21=12,AS65,IF($O$21=13,AT65,IF($O$21=14,AU65,IF($O$21=15,AV65,IF($O$21=16,AW65,IF($O$21=17,AX65,IF($O$21=18,AY65,IF($O$21=19,AZ65,IF($O$21=20,AU65))))))))))))))))))))</f>
        <v>0</v>
      </c>
      <c r="E65" s="561" t="str">
        <f>VLOOKUP(562,Sprachindex!$A:$Z,Info!$O$7,FALSE)</f>
        <v>Laufsteg (250 × 600 mm)</v>
      </c>
      <c r="F65" s="562"/>
      <c r="G65" s="562"/>
      <c r="H65" s="562"/>
      <c r="I65" s="562"/>
      <c r="J65" s="562"/>
      <c r="K65" s="563"/>
      <c r="L65" s="79" t="str">
        <f t="shared" si="10"/>
        <v/>
      </c>
      <c r="M65" s="433" t="str">
        <f t="shared" si="2"/>
        <v>Stk.</v>
      </c>
      <c r="N65" s="80"/>
      <c r="O65" s="202" t="str">
        <f t="shared" si="14"/>
        <v/>
      </c>
      <c r="R65" s="200">
        <v>52.52</v>
      </c>
      <c r="S65" s="212"/>
      <c r="T65" s="221"/>
      <c r="U65" s="195"/>
      <c r="V65" s="195"/>
      <c r="W65" s="195"/>
      <c r="X65" s="195"/>
      <c r="Y65" s="195"/>
      <c r="Z65" s="195"/>
      <c r="AA65" s="195"/>
      <c r="AB65" s="71"/>
      <c r="AC65" s="1"/>
      <c r="AD65" s="149">
        <f t="shared" si="15"/>
        <v>0</v>
      </c>
      <c r="AE65" s="149">
        <f t="shared" si="13"/>
        <v>0</v>
      </c>
      <c r="AH65">
        <v>120063</v>
      </c>
      <c r="AI65">
        <v>120060</v>
      </c>
      <c r="AJ65">
        <v>120068</v>
      </c>
      <c r="AK65">
        <v>120065</v>
      </c>
      <c r="AL65">
        <v>120061</v>
      </c>
      <c r="AM65">
        <v>120062</v>
      </c>
      <c r="AN65">
        <v>120064</v>
      </c>
      <c r="AO65">
        <v>120066</v>
      </c>
      <c r="AP65">
        <v>120067</v>
      </c>
      <c r="AQ65">
        <v>121060</v>
      </c>
      <c r="AR65">
        <v>121061</v>
      </c>
      <c r="AS65">
        <v>649070</v>
      </c>
      <c r="AT65">
        <v>649077</v>
      </c>
      <c r="AU65"/>
      <c r="AV65"/>
      <c r="AW65"/>
      <c r="AX65" t="s">
        <v>418</v>
      </c>
      <c r="AY65"/>
      <c r="AZ65"/>
      <c r="BA65"/>
    </row>
    <row r="66" spans="1:64" ht="32.1" customHeight="1" thickBot="1">
      <c r="A66" s="98"/>
      <c r="B66" s="79" t="str">
        <f>VLOOKUP(878,Sprachindex!$A:$Z,Info!$O$7,FALSE)</f>
        <v>Stk.</v>
      </c>
      <c r="C66" s="78"/>
      <c r="D66" s="83">
        <v>649001</v>
      </c>
      <c r="E66" s="561" t="str">
        <f>VLOOKUP(955,Sprachindex!$A:$Z,Info!$O$7,FALSE)</f>
        <v>Verbinder (verzinkt; für Laufsteg; Breite: 250 mm)</v>
      </c>
      <c r="F66" s="562"/>
      <c r="G66" s="562"/>
      <c r="H66" s="562"/>
      <c r="I66" s="562"/>
      <c r="J66" s="562"/>
      <c r="K66" s="563"/>
      <c r="L66" s="79" t="str">
        <f t="shared" si="10"/>
        <v/>
      </c>
      <c r="M66" s="433" t="str">
        <f t="shared" si="2"/>
        <v>Stk.</v>
      </c>
      <c r="N66" s="80"/>
      <c r="O66" s="202" t="str">
        <f t="shared" si="14"/>
        <v/>
      </c>
      <c r="R66" s="200">
        <v>24.02</v>
      </c>
      <c r="S66" s="212"/>
      <c r="T66" s="221"/>
      <c r="U66" s="195"/>
      <c r="V66" s="195"/>
      <c r="W66" s="195"/>
      <c r="X66" s="195"/>
      <c r="Y66" s="195"/>
      <c r="Z66" s="195"/>
      <c r="AA66" s="195"/>
      <c r="AB66" s="71"/>
      <c r="AC66" s="1"/>
      <c r="AD66" s="149">
        <f t="shared" si="15"/>
        <v>0</v>
      </c>
      <c r="AE66" s="149">
        <f t="shared" si="13"/>
        <v>0</v>
      </c>
    </row>
    <row r="67" spans="1:64" ht="32.1" customHeight="1" thickBot="1">
      <c r="A67" s="98"/>
      <c r="B67" s="79" t="str">
        <f>VLOOKUP(878,Sprachindex!$A:$Z,Info!$O$7,FALSE)</f>
        <v>Stk.</v>
      </c>
      <c r="C67" s="78"/>
      <c r="D67" s="83">
        <v>635670</v>
      </c>
      <c r="E67" s="561" t="str">
        <f>VLOOKUP(1349,Sprachindex!$A:$Z,Info!$O$7,FALSE)</f>
        <v>Sicherheitsdachhaken SDH Industry 31</v>
      </c>
      <c r="F67" s="562"/>
      <c r="G67" s="562"/>
      <c r="H67" s="562"/>
      <c r="I67" s="562"/>
      <c r="J67" s="562"/>
      <c r="K67" s="563"/>
      <c r="L67" s="79" t="str">
        <f t="shared" si="10"/>
        <v/>
      </c>
      <c r="M67" s="433" t="str">
        <f t="shared" si="2"/>
        <v>Stk.</v>
      </c>
      <c r="N67" s="80"/>
      <c r="O67" s="202" t="str">
        <f t="shared" si="14"/>
        <v/>
      </c>
      <c r="R67" s="200">
        <v>257.3</v>
      </c>
      <c r="S67" s="212"/>
      <c r="T67" s="221"/>
      <c r="U67" s="195"/>
      <c r="V67" s="195"/>
      <c r="W67" s="195"/>
      <c r="X67" s="195"/>
      <c r="Y67" s="195"/>
      <c r="Z67" s="195"/>
      <c r="AA67" s="195"/>
      <c r="AB67" s="71"/>
      <c r="AC67" s="1"/>
      <c r="AD67" s="149">
        <f t="shared" si="15"/>
        <v>0</v>
      </c>
      <c r="AE67" s="149">
        <f t="shared" si="13"/>
        <v>0</v>
      </c>
      <c r="AH67" s="521" t="s">
        <v>108</v>
      </c>
      <c r="AI67" s="522" t="s">
        <v>109</v>
      </c>
      <c r="AJ67" s="522" t="s">
        <v>110</v>
      </c>
      <c r="AK67" s="522" t="s">
        <v>111</v>
      </c>
      <c r="AL67" s="522" t="s">
        <v>112</v>
      </c>
      <c r="AM67" s="522" t="s">
        <v>113</v>
      </c>
      <c r="AN67" s="522" t="s">
        <v>114</v>
      </c>
      <c r="AO67" s="522" t="s">
        <v>115</v>
      </c>
      <c r="AP67" s="522" t="s">
        <v>116</v>
      </c>
      <c r="AQ67" s="522" t="s">
        <v>117</v>
      </c>
      <c r="AR67" s="522" t="s">
        <v>118</v>
      </c>
      <c r="AS67" s="522" t="s">
        <v>95</v>
      </c>
      <c r="AT67" s="522" t="s">
        <v>119</v>
      </c>
      <c r="AU67" s="522" t="s">
        <v>120</v>
      </c>
      <c r="AV67" s="522" t="s">
        <v>121</v>
      </c>
      <c r="AW67" s="522" t="s">
        <v>122</v>
      </c>
      <c r="AX67" s="523" t="s">
        <v>123</v>
      </c>
      <c r="AY67" s="523" t="s">
        <v>124</v>
      </c>
      <c r="AZ67" s="523" t="s">
        <v>125</v>
      </c>
      <c r="BA67" s="126" t="s">
        <v>126</v>
      </c>
      <c r="BD67" s="517" t="s">
        <v>34</v>
      </c>
      <c r="BE67" s="517" t="s">
        <v>35</v>
      </c>
      <c r="BF67" s="517" t="s">
        <v>36</v>
      </c>
      <c r="BG67" s="517" t="s">
        <v>37</v>
      </c>
      <c r="BH67" s="517" t="s">
        <v>38</v>
      </c>
      <c r="BI67" s="517" t="s">
        <v>39</v>
      </c>
      <c r="BJ67" s="517" t="s">
        <v>40</v>
      </c>
      <c r="BK67" s="517" t="s">
        <v>41</v>
      </c>
      <c r="BL67" s="517" t="s">
        <v>95</v>
      </c>
    </row>
    <row r="68" spans="1:64" ht="32.1" customHeight="1">
      <c r="A68" s="98"/>
      <c r="B68" s="79" t="str">
        <f>VLOOKUP(878,Sprachindex!$A:$Z,Info!$O$7,FALSE)</f>
        <v>Stk.</v>
      </c>
      <c r="C68" s="78"/>
      <c r="D68" s="78">
        <f t="shared" ref="D68:D73" si="16">IF($O$21=1,AH68,IF($O$21=2,AI68,IF($O$21=3,AJ68,IF($O$21=4,AK68,IF($O$21=5,AL68,IF($O$21=6,AM68,IF($O$21=7,AN68,IF($O$21=8,AO68,IF($O$21=9,AP68,IF($O$21=10,AQ68,IF($O$21=11,AR68,IF($O$21=12,AS68,IF($O$21=13,AT68,IF($O$21=14,AU68,IF($O$21=15,AV68,IF($O$21=16,AW68,IF($O$21=17,AX68,0)))))))))))))))))</f>
        <v>0</v>
      </c>
      <c r="E68" s="561" t="str">
        <f>VLOOKUP(510,Sprachindex!$A:$Z,Info!$O$7,FALSE)</f>
        <v>Kaminhut (700 × 700 mm)</v>
      </c>
      <c r="F68" s="562"/>
      <c r="G68" s="562"/>
      <c r="H68" s="562"/>
      <c r="I68" s="562"/>
      <c r="J68" s="562"/>
      <c r="K68" s="563"/>
      <c r="L68" s="79" t="str">
        <f t="shared" si="10"/>
        <v/>
      </c>
      <c r="M68" s="433" t="str">
        <f t="shared" si="2"/>
        <v>Stk.</v>
      </c>
      <c r="N68" s="80"/>
      <c r="O68" s="202" t="str">
        <f t="shared" ref="O68:O73" si="17">IF(ISNUMBER(A68),IF(O21=12,L68*S68,L68*R68)," ")</f>
        <v xml:space="preserve"> </v>
      </c>
      <c r="R68" s="200">
        <v>152.69999999999999</v>
      </c>
      <c r="S68" s="212">
        <v>124.1</v>
      </c>
      <c r="T68" s="221"/>
      <c r="U68" s="195"/>
      <c r="V68" s="195"/>
      <c r="W68" s="195"/>
      <c r="X68" s="195"/>
      <c r="Y68" s="195"/>
      <c r="Z68" s="195"/>
      <c r="AA68" s="195"/>
      <c r="AB68" s="71"/>
      <c r="AC68" s="1"/>
      <c r="AD68" s="149">
        <f t="shared" si="15"/>
        <v>0</v>
      </c>
      <c r="AE68" s="149">
        <f t="shared" si="13"/>
        <v>0</v>
      </c>
      <c r="AH68">
        <v>110423</v>
      </c>
      <c r="AI68">
        <v>110420</v>
      </c>
      <c r="AJ68">
        <v>110428</v>
      </c>
      <c r="AK68">
        <v>110425</v>
      </c>
      <c r="AL68">
        <v>110421</v>
      </c>
      <c r="AM68">
        <v>110422</v>
      </c>
      <c r="AN68">
        <v>110424</v>
      </c>
      <c r="AO68">
        <v>110426</v>
      </c>
      <c r="AP68">
        <v>110427</v>
      </c>
      <c r="AQ68"/>
      <c r="AR68"/>
      <c r="AS68">
        <v>545001</v>
      </c>
    </row>
    <row r="69" spans="1:64" ht="32.1" customHeight="1">
      <c r="A69" s="98"/>
      <c r="B69" s="79" t="str">
        <f>VLOOKUP(878,Sprachindex!$A:$Z,Info!$O$7,FALSE)</f>
        <v>Stk.</v>
      </c>
      <c r="C69" s="78"/>
      <c r="D69" s="78">
        <f t="shared" si="16"/>
        <v>0</v>
      </c>
      <c r="E69" s="561" t="str">
        <f>VLOOKUP(511,Sprachindex!$A:$Z,Info!$O$7,FALSE)</f>
        <v>Kaminhut (800 × 800 mm)</v>
      </c>
      <c r="F69" s="562"/>
      <c r="G69" s="562"/>
      <c r="H69" s="562"/>
      <c r="I69" s="562"/>
      <c r="J69" s="562"/>
      <c r="K69" s="563"/>
      <c r="L69" s="79" t="str">
        <f t="shared" si="10"/>
        <v/>
      </c>
      <c r="M69" s="433" t="str">
        <f t="shared" si="2"/>
        <v>Stk.</v>
      </c>
      <c r="N69" s="80"/>
      <c r="O69" s="202" t="str">
        <f t="shared" si="17"/>
        <v xml:space="preserve"> </v>
      </c>
      <c r="R69" s="200">
        <v>165</v>
      </c>
      <c r="S69" s="212">
        <v>133.69999999999999</v>
      </c>
      <c r="T69" s="221"/>
      <c r="U69" s="195"/>
      <c r="V69" s="195"/>
      <c r="W69" s="195"/>
      <c r="X69" s="195"/>
      <c r="Y69" s="195"/>
      <c r="Z69" s="195"/>
      <c r="AA69" s="195"/>
      <c r="AB69" s="71"/>
      <c r="AC69" s="1"/>
      <c r="AD69" s="149">
        <f t="shared" si="15"/>
        <v>0</v>
      </c>
      <c r="AE69" s="149">
        <f t="shared" si="13"/>
        <v>0</v>
      </c>
      <c r="AH69">
        <v>110433</v>
      </c>
      <c r="AI69">
        <v>110430</v>
      </c>
      <c r="AJ69">
        <v>110438</v>
      </c>
      <c r="AK69">
        <v>110435</v>
      </c>
      <c r="AL69">
        <v>110431</v>
      </c>
      <c r="AM69">
        <v>110432</v>
      </c>
      <c r="AN69">
        <v>110434</v>
      </c>
      <c r="AO69">
        <v>110436</v>
      </c>
      <c r="AP69">
        <v>110437</v>
      </c>
      <c r="AQ69"/>
      <c r="AR69"/>
      <c r="AS69">
        <v>545012</v>
      </c>
    </row>
    <row r="70" spans="1:64" ht="32.1" customHeight="1">
      <c r="A70" s="98"/>
      <c r="B70" s="79" t="str">
        <f>VLOOKUP(878,Sprachindex!$A:$Z,Info!$O$7,FALSE)</f>
        <v>Stk.</v>
      </c>
      <c r="C70" s="78"/>
      <c r="D70" s="78">
        <f t="shared" si="16"/>
        <v>0</v>
      </c>
      <c r="E70" s="561" t="str">
        <f>VLOOKUP(507,Sprachindex!$A:$Z,Info!$O$7,FALSE)</f>
        <v>Kaminhut (1.000 × 700 mm)</v>
      </c>
      <c r="F70" s="562"/>
      <c r="G70" s="562"/>
      <c r="H70" s="562"/>
      <c r="I70" s="562"/>
      <c r="J70" s="562"/>
      <c r="K70" s="563"/>
      <c r="L70" s="79" t="str">
        <f t="shared" si="10"/>
        <v/>
      </c>
      <c r="M70" s="433" t="str">
        <f t="shared" si="2"/>
        <v>Stk.</v>
      </c>
      <c r="N70" s="80"/>
      <c r="O70" s="202" t="str">
        <f t="shared" si="17"/>
        <v xml:space="preserve"> </v>
      </c>
      <c r="R70" s="200">
        <v>165.6</v>
      </c>
      <c r="S70" s="212">
        <v>144.1</v>
      </c>
      <c r="T70" s="221"/>
      <c r="U70" s="195"/>
      <c r="V70" s="195"/>
      <c r="W70" s="195"/>
      <c r="X70" s="195"/>
      <c r="Y70" s="195"/>
      <c r="Z70" s="195"/>
      <c r="AA70" s="195"/>
      <c r="AB70" s="71"/>
      <c r="AC70" s="1"/>
      <c r="AD70" s="149">
        <f t="shared" si="15"/>
        <v>0</v>
      </c>
      <c r="AE70" s="149">
        <f t="shared" si="13"/>
        <v>0</v>
      </c>
      <c r="AH70">
        <v>110443</v>
      </c>
      <c r="AI70">
        <v>110440</v>
      </c>
      <c r="AJ70">
        <v>110448</v>
      </c>
      <c r="AK70">
        <v>110445</v>
      </c>
      <c r="AL70">
        <v>110441</v>
      </c>
      <c r="AM70">
        <v>110442</v>
      </c>
      <c r="AN70">
        <v>110444</v>
      </c>
      <c r="AO70">
        <v>110446</v>
      </c>
      <c r="AP70">
        <v>110447</v>
      </c>
      <c r="AQ70"/>
      <c r="AR70"/>
      <c r="AS70">
        <v>545003</v>
      </c>
    </row>
    <row r="71" spans="1:64" ht="32.1" customHeight="1">
      <c r="A71" s="98"/>
      <c r="B71" s="79" t="str">
        <f>VLOOKUP(878,Sprachindex!$A:$Z,Info!$O$7,FALSE)</f>
        <v>Stk.</v>
      </c>
      <c r="C71" s="78"/>
      <c r="D71" s="78">
        <f t="shared" si="16"/>
        <v>0</v>
      </c>
      <c r="E71" s="561" t="str">
        <f>VLOOKUP(508,Sprachindex!$A:$Z,Info!$O$7,FALSE)</f>
        <v>Kaminhut (1.100 × 800 mm)</v>
      </c>
      <c r="F71" s="562"/>
      <c r="G71" s="562"/>
      <c r="H71" s="562"/>
      <c r="I71" s="562"/>
      <c r="J71" s="562"/>
      <c r="K71" s="563"/>
      <c r="L71" s="79" t="str">
        <f t="shared" si="10"/>
        <v/>
      </c>
      <c r="M71" s="433" t="str">
        <f t="shared" si="2"/>
        <v>Stk.</v>
      </c>
      <c r="N71" s="80"/>
      <c r="O71" s="202" t="str">
        <f t="shared" si="17"/>
        <v xml:space="preserve"> </v>
      </c>
      <c r="R71" s="200">
        <v>198.5</v>
      </c>
      <c r="S71" s="212">
        <v>160.5</v>
      </c>
      <c r="T71" s="221"/>
      <c r="U71" s="195"/>
      <c r="V71" s="195"/>
      <c r="W71" s="195"/>
      <c r="X71" s="195"/>
      <c r="Y71" s="195"/>
      <c r="Z71" s="195"/>
      <c r="AA71" s="195"/>
      <c r="AB71" s="71"/>
      <c r="AC71" s="1"/>
      <c r="AD71" s="149">
        <f t="shared" si="15"/>
        <v>0</v>
      </c>
      <c r="AE71" s="149">
        <f t="shared" si="13"/>
        <v>0</v>
      </c>
      <c r="AH71">
        <v>110453</v>
      </c>
      <c r="AI71">
        <v>110450</v>
      </c>
      <c r="AJ71">
        <v>110458</v>
      </c>
      <c r="AK71">
        <v>110455</v>
      </c>
      <c r="AL71">
        <v>110451</v>
      </c>
      <c r="AM71">
        <v>110452</v>
      </c>
      <c r="AN71">
        <v>110454</v>
      </c>
      <c r="AO71">
        <v>110456</v>
      </c>
      <c r="AP71">
        <v>110457</v>
      </c>
      <c r="AQ71"/>
      <c r="AR71"/>
      <c r="AS71">
        <v>545016</v>
      </c>
    </row>
    <row r="72" spans="1:64" ht="32.1" customHeight="1">
      <c r="A72" s="98"/>
      <c r="B72" s="79" t="str">
        <f>VLOOKUP(878,Sprachindex!$A:$Z,Info!$O$7,FALSE)</f>
        <v>Stk.</v>
      </c>
      <c r="C72" s="78"/>
      <c r="D72" s="78">
        <f t="shared" si="16"/>
        <v>0</v>
      </c>
      <c r="E72" s="561" t="str">
        <f>VLOOKUP(509,Sprachindex!$A:$Z,Info!$O$7,FALSE)</f>
        <v>Kaminhut (1.500 × 800 mm)</v>
      </c>
      <c r="F72" s="562"/>
      <c r="G72" s="562"/>
      <c r="H72" s="562"/>
      <c r="I72" s="562"/>
      <c r="J72" s="562"/>
      <c r="K72" s="563"/>
      <c r="L72" s="79" t="str">
        <f t="shared" si="10"/>
        <v/>
      </c>
      <c r="M72" s="433" t="str">
        <f t="shared" si="2"/>
        <v>Stk.</v>
      </c>
      <c r="N72" s="80"/>
      <c r="O72" s="202" t="str">
        <f t="shared" si="17"/>
        <v xml:space="preserve"> </v>
      </c>
      <c r="R72" s="200">
        <v>271.39999999999998</v>
      </c>
      <c r="S72" s="212">
        <v>220.6</v>
      </c>
      <c r="T72" s="221"/>
      <c r="U72" s="195"/>
      <c r="V72" s="195"/>
      <c r="W72" s="195"/>
      <c r="X72" s="195"/>
      <c r="Y72" s="195"/>
      <c r="Z72" s="195"/>
      <c r="AA72" s="195"/>
      <c r="AB72" s="71"/>
      <c r="AC72" s="1"/>
      <c r="AD72" s="149">
        <f t="shared" si="15"/>
        <v>0</v>
      </c>
      <c r="AE72" s="149">
        <f t="shared" si="13"/>
        <v>0</v>
      </c>
      <c r="AH72">
        <v>110463</v>
      </c>
      <c r="AI72">
        <v>110460</v>
      </c>
      <c r="AJ72">
        <v>110468</v>
      </c>
      <c r="AK72">
        <v>110465</v>
      </c>
      <c r="AL72">
        <v>110461</v>
      </c>
      <c r="AM72">
        <v>110462</v>
      </c>
      <c r="AN72">
        <v>110464</v>
      </c>
      <c r="AO72">
        <v>110466</v>
      </c>
      <c r="AP72">
        <v>110467</v>
      </c>
      <c r="AQ72"/>
      <c r="AR72"/>
      <c r="AS72">
        <v>545005</v>
      </c>
    </row>
    <row r="73" spans="1:64" ht="32.1" customHeight="1" thickBot="1">
      <c r="A73" s="98"/>
      <c r="B73" s="79" t="str">
        <f>VLOOKUP(878,Sprachindex!$A:$Z,Info!$O$7,FALSE)</f>
        <v>Stk.</v>
      </c>
      <c r="C73" s="81"/>
      <c r="D73" s="78">
        <f t="shared" si="16"/>
        <v>0</v>
      </c>
      <c r="E73" s="561" t="str">
        <f>VLOOKUP(512,Sprachindex!$A:$Z,Info!$O$7,FALSE)</f>
        <v>Kaminstrebe gebogen</v>
      </c>
      <c r="F73" s="562"/>
      <c r="G73" s="562"/>
      <c r="H73" s="562"/>
      <c r="I73" s="562"/>
      <c r="J73" s="562"/>
      <c r="K73" s="563"/>
      <c r="L73" s="79" t="str">
        <f t="shared" si="10"/>
        <v/>
      </c>
      <c r="M73" s="433" t="str">
        <f t="shared" si="2"/>
        <v>Stk.</v>
      </c>
      <c r="N73" s="80"/>
      <c r="O73" s="202" t="str">
        <f t="shared" si="17"/>
        <v xml:space="preserve"> </v>
      </c>
      <c r="R73" s="200">
        <v>16.77</v>
      </c>
      <c r="S73" s="222">
        <v>11.79</v>
      </c>
      <c r="T73" s="223"/>
      <c r="U73" s="195"/>
      <c r="V73" s="195"/>
      <c r="W73" s="195"/>
      <c r="X73" s="195"/>
      <c r="Y73" s="195"/>
      <c r="Z73" s="195"/>
      <c r="AA73" s="195"/>
      <c r="AB73" s="71"/>
      <c r="AC73" s="1"/>
      <c r="AD73" s="149">
        <f>ROUNDUP($A73/10,0)*10</f>
        <v>0</v>
      </c>
      <c r="AE73" s="149">
        <f t="shared" si="13"/>
        <v>0</v>
      </c>
      <c r="AH73">
        <v>110413</v>
      </c>
      <c r="AI73">
        <v>110410</v>
      </c>
      <c r="AJ73">
        <v>110418</v>
      </c>
      <c r="AK73">
        <v>110415</v>
      </c>
      <c r="AL73">
        <v>110411</v>
      </c>
      <c r="AM73">
        <v>110412</v>
      </c>
      <c r="AN73">
        <v>110414</v>
      </c>
      <c r="AO73">
        <v>110416</v>
      </c>
      <c r="AP73">
        <v>110417</v>
      </c>
      <c r="AQ73"/>
      <c r="AR73"/>
      <c r="AS73">
        <v>537029</v>
      </c>
    </row>
    <row r="74" spans="1:64" ht="32.1" customHeight="1">
      <c r="A74" s="98"/>
      <c r="B74" s="79" t="str">
        <f>VLOOKUP(878,Sprachindex!$A:$Z,Info!$O$7,FALSE)</f>
        <v>Stk.</v>
      </c>
      <c r="C74" s="78"/>
      <c r="D74" s="78">
        <f>IF($O$21=1,AH74,IF($O$21=2,AI74,IF($O$21=3,AJ74,IF($O$21=4,AK74,IF($O$21=5,AL74,IF($O$21=6,AM74,IF($O$21=7,AN74,IF($O$21=8,AO74,IF($O$21=9,AP74,IF($O$21=10,AQ74,IF($O$21=11,AR74,IF($O$21=12,AS74,IF($O$21=13,AT74,IF($O$21=14,AU74,IF($O$21=15,AV74,IF($O$21=16,AW74,IF($O$21=17,AX74,IF($O$21=18,AY74,IF($O$21=19,AZ74,IF($O$21=20,AU74,0))))))))))))))))))))</f>
        <v>0</v>
      </c>
      <c r="E74" s="561" t="str">
        <f>VLOOKUP(535,Sprachindex!$A:$Z,Info!$O$7,FALSE)</f>
        <v>Klebeeinfassung für Falzdächer (⌀ 50–65 mm)</v>
      </c>
      <c r="F74" s="562"/>
      <c r="G74" s="562"/>
      <c r="H74" s="562"/>
      <c r="I74" s="562"/>
      <c r="J74" s="610" t="str">
        <f>VLOOKUP(2950,Sprachindex!$A:$Z,Info!$O$7,FALSE)</f>
        <v>nur in 45 Bronze verfügbar</v>
      </c>
      <c r="K74" s="611"/>
      <c r="L74" s="79" t="str">
        <f t="shared" si="10"/>
        <v/>
      </c>
      <c r="M74" s="433" t="str">
        <f t="shared" si="2"/>
        <v>Stk.</v>
      </c>
      <c r="N74" s="80"/>
      <c r="O74" s="202" t="str">
        <f t="shared" ref="O74:O85" si="18">IF(ISNUMBER(A74),$L74*R74, "")</f>
        <v/>
      </c>
      <c r="R74" s="200">
        <v>98.17</v>
      </c>
      <c r="S74" s="195"/>
      <c r="T74" s="195"/>
      <c r="U74" s="195"/>
      <c r="V74" s="195"/>
      <c r="W74" s="195"/>
      <c r="X74" s="195"/>
      <c r="Y74" s="195"/>
      <c r="Z74" s="195"/>
      <c r="AA74" s="195"/>
      <c r="AB74" s="71"/>
      <c r="AC74" s="1"/>
      <c r="AD74" s="149">
        <f>ROUNDUP($A74/2,0)*2</f>
        <v>0</v>
      </c>
      <c r="AE74" s="149">
        <f t="shared" si="13"/>
        <v>0</v>
      </c>
      <c r="AH74">
        <v>110273</v>
      </c>
      <c r="AI74">
        <v>110270</v>
      </c>
      <c r="AJ74">
        <v>110278</v>
      </c>
      <c r="AK74">
        <v>110275</v>
      </c>
      <c r="AL74">
        <v>110271</v>
      </c>
      <c r="AM74">
        <v>110272</v>
      </c>
      <c r="AN74">
        <v>110274</v>
      </c>
      <c r="AO74">
        <v>110276</v>
      </c>
      <c r="AP74">
        <v>110277</v>
      </c>
      <c r="AQ74">
        <v>121040</v>
      </c>
      <c r="AR74">
        <v>121041</v>
      </c>
      <c r="AS74">
        <v>513151</v>
      </c>
      <c r="AT74">
        <v>513188</v>
      </c>
      <c r="AU74">
        <v>121043</v>
      </c>
      <c r="AV74"/>
      <c r="AW74">
        <v>121044</v>
      </c>
      <c r="AX74">
        <v>121042</v>
      </c>
      <c r="AY74">
        <v>121046</v>
      </c>
      <c r="AZ74">
        <v>121045</v>
      </c>
      <c r="BA74"/>
    </row>
    <row r="75" spans="1:64" ht="32.1" customHeight="1">
      <c r="A75" s="98"/>
      <c r="B75" s="79" t="str">
        <f>VLOOKUP(878,Sprachindex!$A:$Z,Info!$O$7,FALSE)</f>
        <v>Stk.</v>
      </c>
      <c r="C75" s="78"/>
      <c r="D75" s="78">
        <f>IF($O$21=1,AH75,IF($O$21=2,AI75,IF($O$21=3,AJ75,IF($O$21=4,AK75,IF($O$21=5,AL75,IF($O$21=6,AM75,IF($O$21=7,AN75,IF($O$21=8,AO75,IF($O$21=9,AP75,IF($O$21=10,AQ75,IF($O$21=11,AR75,IF($O$21=12,AS75,IF($O$21=13,AT75,IF($O$21=14,AU75,IF($O$21=15,AV75,IF($O$21=16,AW75,IF($O$21=17,AX75,IF($O$21=18,AY75,IF($O$21=19,AZ75,IF($O$21=20,AU75,0))))))))))))))))))))</f>
        <v>0</v>
      </c>
      <c r="E75" s="561" t="str">
        <f>VLOOKUP(536,Sprachindex!$A:$Z,Info!$O$7,FALSE)</f>
        <v>Klebeeinfassung für Falzdächer (⌀ 80–125 mm)</v>
      </c>
      <c r="F75" s="562"/>
      <c r="G75" s="562"/>
      <c r="H75" s="562"/>
      <c r="I75" s="562"/>
      <c r="J75" s="610" t="str">
        <f>VLOOKUP(2950,Sprachindex!$A:$Z,Info!$O$7,FALSE)</f>
        <v>nur in 45 Bronze verfügbar</v>
      </c>
      <c r="K75" s="611"/>
      <c r="L75" s="79" t="str">
        <f t="shared" si="10"/>
        <v/>
      </c>
      <c r="M75" s="433" t="str">
        <f t="shared" si="2"/>
        <v>Stk.</v>
      </c>
      <c r="N75" s="80"/>
      <c r="O75" s="202" t="str">
        <f t="shared" si="18"/>
        <v/>
      </c>
      <c r="R75" s="200">
        <v>101.8</v>
      </c>
      <c r="S75" s="195"/>
      <c r="T75" s="195"/>
      <c r="U75" s="195"/>
      <c r="V75" s="195"/>
      <c r="W75" s="195"/>
      <c r="X75" s="195"/>
      <c r="Y75" s="195"/>
      <c r="Z75" s="195"/>
      <c r="AA75" s="195"/>
      <c r="AB75" s="71"/>
      <c r="AC75" s="1"/>
      <c r="AD75" s="149">
        <f>ROUNDUP($A75/5,0)*5</f>
        <v>0</v>
      </c>
      <c r="AE75" s="149">
        <f t="shared" si="13"/>
        <v>0</v>
      </c>
      <c r="AH75">
        <v>110263</v>
      </c>
      <c r="AI75">
        <v>110260</v>
      </c>
      <c r="AJ75">
        <v>110268</v>
      </c>
      <c r="AK75">
        <v>110265</v>
      </c>
      <c r="AL75">
        <v>110261</v>
      </c>
      <c r="AM75">
        <v>110262</v>
      </c>
      <c r="AN75">
        <v>110264</v>
      </c>
      <c r="AO75">
        <v>110266</v>
      </c>
      <c r="AP75">
        <v>110267</v>
      </c>
      <c r="AQ75">
        <v>121030</v>
      </c>
      <c r="AR75">
        <v>121031</v>
      </c>
      <c r="AS75">
        <v>513150</v>
      </c>
      <c r="AT75">
        <v>513168</v>
      </c>
      <c r="AU75">
        <v>121033</v>
      </c>
      <c r="AV75"/>
      <c r="AW75">
        <v>121034</v>
      </c>
      <c r="AX75">
        <v>121032</v>
      </c>
      <c r="AY75">
        <v>121036</v>
      </c>
      <c r="AZ75">
        <v>121035</v>
      </c>
      <c r="BA75"/>
    </row>
    <row r="76" spans="1:64" ht="32.1" customHeight="1">
      <c r="A76" s="98"/>
      <c r="B76" s="79" t="str">
        <f>VLOOKUP(878,Sprachindex!$A:$Z,Info!$O$7,FALSE)</f>
        <v>Stk.</v>
      </c>
      <c r="C76" s="78"/>
      <c r="D76" s="78">
        <f>IF($O$21=1,AH76,IF($O$21=2,AI76,IF($O$21=3,AJ76,IF($O$21=4,AK76,IF($O$21=5,AL76,IF($O$21=6,AM76,IF($O$21=7,AN76,IF($O$21=8,AO76,IF($O$21=9,AP76,IF($O$21=10,AQ76,IF($O$21=11,AR76,IF($O$21=12,AS76,IF($O$21=13,AT76,IF($O$21=14,AU76,IF($O$21=15,AV76,IF($O$21=16,AW76,IF($O$21=17,AX76,IF($O$21=18,AY76,IF($O$21=19,AZ76,0)))))))))))))))))))</f>
        <v>0</v>
      </c>
      <c r="E76" s="561" t="str">
        <f>VLOOKUP(533,Sprachindex!$A:$Z,Info!$O$7,FALSE)</f>
        <v>Klebeeinfassung für Falzdächer (⌀ 120–170 mm)</v>
      </c>
      <c r="F76" s="562"/>
      <c r="G76" s="562"/>
      <c r="H76" s="562"/>
      <c r="I76" s="562"/>
      <c r="J76" s="562"/>
      <c r="K76" s="563"/>
      <c r="L76" s="79" t="str">
        <f t="shared" si="10"/>
        <v/>
      </c>
      <c r="M76" s="433" t="str">
        <f t="shared" si="2"/>
        <v>Stk.</v>
      </c>
      <c r="N76" s="80"/>
      <c r="O76" s="202" t="str">
        <f t="shared" si="18"/>
        <v/>
      </c>
      <c r="R76" s="200">
        <v>135.69999999999999</v>
      </c>
      <c r="S76" s="195"/>
      <c r="T76" s="195"/>
      <c r="U76" s="195"/>
      <c r="V76" s="195"/>
      <c r="W76" s="195"/>
      <c r="X76" s="195"/>
      <c r="Y76" s="195"/>
      <c r="Z76" s="195"/>
      <c r="AA76" s="195"/>
      <c r="AB76" s="71"/>
      <c r="AC76" s="1"/>
      <c r="AD76" s="149">
        <f>ROUNDUP($A76,0)</f>
        <v>0</v>
      </c>
      <c r="AE76" s="149">
        <f t="shared" si="13"/>
        <v>0</v>
      </c>
      <c r="AH76"/>
      <c r="AI76">
        <v>112500</v>
      </c>
      <c r="AJ76"/>
      <c r="AK76"/>
      <c r="AL76"/>
      <c r="AM76">
        <v>112502</v>
      </c>
      <c r="AN76"/>
      <c r="AO76"/>
      <c r="AP76"/>
      <c r="AQ76"/>
      <c r="AR76"/>
      <c r="AS76">
        <v>513153</v>
      </c>
      <c r="AT76"/>
      <c r="AU76"/>
      <c r="AV76"/>
      <c r="AW76"/>
      <c r="AX76"/>
      <c r="AY76"/>
    </row>
    <row r="77" spans="1:64" ht="32.1" customHeight="1">
      <c r="A77" s="98"/>
      <c r="B77" s="79" t="str">
        <f>VLOOKUP(878,Sprachindex!$A:$Z,Info!$O$7,FALSE)</f>
        <v>Stk.</v>
      </c>
      <c r="C77" s="78"/>
      <c r="D77" s="78">
        <f>IF($O$21=1,AH77,IF($O$21=2,AI77,IF($O$21=3,AJ77,IF($O$21=4,AK77,IF($O$21=5,AL77,IF($O$21=6,AM77,IF($O$21=7,AN77,IF($O$21=8,AO77,IF($O$21=9,AP77,IF($O$21=10,AQ77,IF($O$21=11,AR77,IF($O$21=12,AS77,IF($O$21=13,AT77,IF($O$21=14,AU77,IF($O$21=15,AV77,IF($O$21=16,AW77,IF($O$21=17,AX77,IF($O$21=18,AY77,IF($O$21=19,AZ77,0)))))))))))))))))))</f>
        <v>0</v>
      </c>
      <c r="E77" s="561" t="str">
        <f>VLOOKUP(534,Sprachindex!$A:$Z,Info!$O$7,FALSE)</f>
        <v>Klebeeinfassung für Falzdächer (⌀ 170–210 mm)</v>
      </c>
      <c r="F77" s="562"/>
      <c r="G77" s="562"/>
      <c r="H77" s="562"/>
      <c r="I77" s="562"/>
      <c r="J77" s="562"/>
      <c r="K77" s="563"/>
      <c r="L77" s="79" t="str">
        <f t="shared" si="10"/>
        <v/>
      </c>
      <c r="M77" s="433" t="str">
        <f t="shared" si="2"/>
        <v>Stk.</v>
      </c>
      <c r="N77" s="80"/>
      <c r="O77" s="202" t="str">
        <f t="shared" si="18"/>
        <v/>
      </c>
      <c r="R77" s="200">
        <v>165.7</v>
      </c>
      <c r="S77" s="195"/>
      <c r="T77" s="195"/>
      <c r="U77" s="195"/>
      <c r="V77" s="195"/>
      <c r="W77" s="195"/>
      <c r="X77" s="195"/>
      <c r="Y77" s="195"/>
      <c r="Z77" s="195"/>
      <c r="AA77" s="195"/>
      <c r="AB77" s="71"/>
      <c r="AC77" s="1"/>
      <c r="AD77" s="149">
        <f>ROUNDUP($A77,0)</f>
        <v>0</v>
      </c>
      <c r="AE77" s="149">
        <f t="shared" si="13"/>
        <v>0</v>
      </c>
      <c r="AH77"/>
      <c r="AI77">
        <v>112510</v>
      </c>
      <c r="AJ77"/>
      <c r="AK77"/>
      <c r="AL77"/>
      <c r="AM77">
        <v>112512</v>
      </c>
      <c r="AN77"/>
      <c r="AO77"/>
      <c r="AP77"/>
      <c r="AQ77"/>
      <c r="AR77"/>
      <c r="AS77">
        <v>513154</v>
      </c>
      <c r="AT77"/>
      <c r="AU77"/>
      <c r="AV77"/>
      <c r="AW77"/>
      <c r="AX77"/>
      <c r="AY77"/>
    </row>
    <row r="78" spans="1:64" ht="32.1" customHeight="1">
      <c r="A78" s="98"/>
      <c r="B78" s="79" t="str">
        <f>VLOOKUP(878,Sprachindex!$A:$Z,Info!$O$7,FALSE)</f>
        <v>Stk.</v>
      </c>
      <c r="C78" s="78"/>
      <c r="D78" s="78">
        <v>420501</v>
      </c>
      <c r="E78" s="581" t="str">
        <f>VLOOKUP(851,Sprachindex!$A:$Z,Info!$O$7,FALSE)</f>
        <v>Spezialkleber</v>
      </c>
      <c r="F78" s="582"/>
      <c r="G78" s="582"/>
      <c r="H78" s="582"/>
      <c r="I78" s="582"/>
      <c r="J78" s="582"/>
      <c r="K78" s="583"/>
      <c r="L78" s="79" t="str">
        <f t="shared" si="10"/>
        <v/>
      </c>
      <c r="M78" s="433" t="str">
        <f t="shared" si="2"/>
        <v>Stk.</v>
      </c>
      <c r="N78" s="80"/>
      <c r="O78" s="202" t="str">
        <f t="shared" si="18"/>
        <v/>
      </c>
      <c r="R78" s="200">
        <v>39.130000000000003</v>
      </c>
      <c r="S78" s="195"/>
      <c r="T78" s="195"/>
      <c r="U78" s="195"/>
      <c r="V78" s="195"/>
      <c r="W78" s="195"/>
      <c r="X78" s="195"/>
      <c r="Y78" s="195"/>
      <c r="Z78" s="195"/>
      <c r="AA78" s="195"/>
      <c r="AB78" s="71"/>
      <c r="AC78" s="1"/>
      <c r="AD78" s="149">
        <f>ROUNDUP($A84/24,0)*24</f>
        <v>0</v>
      </c>
      <c r="AE78" s="149">
        <f t="shared" si="13"/>
        <v>0</v>
      </c>
      <c r="AF78" s="6"/>
    </row>
    <row r="79" spans="1:64" ht="32.1" customHeight="1">
      <c r="A79" s="98"/>
      <c r="B79" s="79" t="str">
        <f>VLOOKUP(821,Sprachindex!$A:$Z,Info!$O$7,FALSE)</f>
        <v>Set</v>
      </c>
      <c r="C79" s="81"/>
      <c r="D79" s="78">
        <v>420500</v>
      </c>
      <c r="E79" s="561" t="str">
        <f>VLOOKUP(852,Sprachindex!$A:$Z,Info!$O$7,FALSE)</f>
        <v>Spezialkleberset</v>
      </c>
      <c r="F79" s="562"/>
      <c r="G79" s="562"/>
      <c r="H79" s="562"/>
      <c r="I79" s="562"/>
      <c r="J79" s="562"/>
      <c r="K79" s="563"/>
      <c r="L79" s="79" t="str">
        <f t="shared" si="10"/>
        <v/>
      </c>
      <c r="M79" s="433" t="str">
        <f t="shared" si="2"/>
        <v>Set</v>
      </c>
      <c r="N79" s="80"/>
      <c r="O79" s="202" t="str">
        <f t="shared" si="18"/>
        <v/>
      </c>
      <c r="R79" s="200">
        <v>53.57</v>
      </c>
      <c r="S79" s="195"/>
      <c r="T79" s="195"/>
      <c r="U79" s="195"/>
      <c r="V79" s="195"/>
      <c r="W79" s="195"/>
      <c r="X79" s="195"/>
      <c r="Y79" s="195"/>
      <c r="Z79" s="195"/>
      <c r="AA79" s="195"/>
      <c r="AB79" s="71"/>
      <c r="AC79" s="1"/>
      <c r="AD79" s="149">
        <f>ROUNDUP($A79,0)</f>
        <v>0</v>
      </c>
      <c r="AE79" s="149">
        <f t="shared" si="13"/>
        <v>0</v>
      </c>
    </row>
    <row r="80" spans="1:64" ht="32.1" customHeight="1">
      <c r="A80" s="98"/>
      <c r="B80" s="79" t="str">
        <f>VLOOKUP(878,Sprachindex!$A:$Z,Info!$O$7,FALSE)</f>
        <v>Stk.</v>
      </c>
      <c r="C80" s="81"/>
      <c r="D80" s="78">
        <v>420090</v>
      </c>
      <c r="E80" s="561" t="str">
        <f>VLOOKUP(2239,Sprachindex!$A:$Z,Info!$O$7,FALSE)</f>
        <v>Magazinschrauber für Hafte geschraubt</v>
      </c>
      <c r="F80" s="562"/>
      <c r="G80" s="562"/>
      <c r="H80" s="562"/>
      <c r="I80" s="612" t="str">
        <f>VLOOKUP(2948,Sprachindex!$A:$Z,Info!$O$7,FALSE)</f>
        <v>inkl. Akkus und Ladegerät</v>
      </c>
      <c r="J80" s="612"/>
      <c r="K80" s="613"/>
      <c r="L80" s="79" t="str">
        <f t="shared" ref="L80:L82" si="19">IF($A80=0,"",IF($O$11=1,AD80,AE80))</f>
        <v/>
      </c>
      <c r="M80" s="171" t="str">
        <f>VLOOKUP(878,Sprachindex!$A:$Z,Info!$O$7,FALSE)</f>
        <v>Stk.</v>
      </c>
      <c r="N80" s="80"/>
      <c r="O80" s="202" t="str">
        <f t="shared" si="18"/>
        <v/>
      </c>
      <c r="R80" s="200">
        <v>1400</v>
      </c>
      <c r="S80" s="195"/>
      <c r="T80" s="195"/>
      <c r="U80" s="195"/>
      <c r="V80" s="195"/>
      <c r="W80" s="195"/>
      <c r="X80" s="195"/>
      <c r="Y80" s="195"/>
      <c r="Z80" s="195"/>
      <c r="AA80" s="195"/>
      <c r="AB80" s="195"/>
      <c r="AC80" s="135"/>
      <c r="AD80" s="149">
        <f t="shared" ref="AD80:AD81" si="20">ROUNDUP($A80,0)</f>
        <v>0</v>
      </c>
      <c r="AE80" s="149">
        <f t="shared" si="13"/>
        <v>0</v>
      </c>
      <c r="AF80" s="145"/>
    </row>
    <row r="81" spans="1:53" ht="32.1" customHeight="1">
      <c r="A81" s="98"/>
      <c r="B81" s="79" t="str">
        <f>VLOOKUP(878,Sprachindex!$A:$Z,Info!$O$7,FALSE)</f>
        <v>Stk.</v>
      </c>
      <c r="C81" s="81"/>
      <c r="D81" s="78">
        <v>420091</v>
      </c>
      <c r="E81" s="561" t="str">
        <f>VLOOKUP(2239,Sprachindex!$A:$Z,Info!$O$7,FALSE)</f>
        <v>Magazinschrauber für Hafte geschraubt</v>
      </c>
      <c r="F81" s="562"/>
      <c r="G81" s="562"/>
      <c r="H81" s="562"/>
      <c r="I81" s="612" t="str">
        <f>VLOOKUP(2949,Sprachindex!$A:$Z,Info!$O$7,FALSE)</f>
        <v>exkl. Akkus und Ladegerät</v>
      </c>
      <c r="J81" s="612"/>
      <c r="K81" s="613"/>
      <c r="L81" s="79" t="str">
        <f t="shared" si="19"/>
        <v/>
      </c>
      <c r="M81" s="171" t="str">
        <f>VLOOKUP(878,Sprachindex!$A:$Z,Info!$O$7,FALSE)</f>
        <v>Stk.</v>
      </c>
      <c r="N81" s="80"/>
      <c r="O81" s="202" t="str">
        <f t="shared" si="18"/>
        <v/>
      </c>
      <c r="R81" s="200">
        <v>1200</v>
      </c>
      <c r="S81" s="195"/>
      <c r="T81" s="195"/>
      <c r="U81" s="195"/>
      <c r="V81" s="195"/>
      <c r="W81" s="195"/>
      <c r="X81" s="195"/>
      <c r="Y81" s="195"/>
      <c r="Z81" s="195"/>
      <c r="AA81" s="195"/>
      <c r="AB81" s="195"/>
      <c r="AC81" s="135"/>
      <c r="AD81" s="149">
        <f t="shared" si="20"/>
        <v>0</v>
      </c>
      <c r="AE81" s="149">
        <f t="shared" si="13"/>
        <v>0</v>
      </c>
      <c r="AF81" s="145"/>
    </row>
    <row r="82" spans="1:53" ht="32.1" customHeight="1">
      <c r="A82" s="98"/>
      <c r="B82" s="79" t="str">
        <f>VLOOKUP(878,Sprachindex!$A:$Z,Info!$O$7,FALSE)</f>
        <v>Stk.</v>
      </c>
      <c r="C82" s="81"/>
      <c r="D82" s="78">
        <v>340400</v>
      </c>
      <c r="E82" s="561" t="str">
        <f>VLOOKUP(2240,Sprachindex!$A:$Z,Info!$O$7,FALSE)</f>
        <v>Magazinschrauben für Hafte</v>
      </c>
      <c r="F82" s="562"/>
      <c r="G82" s="562"/>
      <c r="H82" s="562"/>
      <c r="I82" s="562"/>
      <c r="J82" s="562"/>
      <c r="K82" s="563"/>
      <c r="L82" s="79" t="str">
        <f t="shared" si="19"/>
        <v/>
      </c>
      <c r="M82" s="171" t="str">
        <f>VLOOKUP(878,Sprachindex!$A:$Z,Info!$O$7,FALSE)</f>
        <v>Stk.</v>
      </c>
      <c r="N82" s="80"/>
      <c r="O82" s="202" t="str">
        <f t="shared" si="18"/>
        <v/>
      </c>
      <c r="R82" s="200">
        <v>37</v>
      </c>
      <c r="S82" s="195"/>
      <c r="T82" s="195"/>
      <c r="U82" s="195"/>
      <c r="V82" s="195"/>
      <c r="W82" s="195"/>
      <c r="X82" s="195"/>
      <c r="Y82" s="195"/>
      <c r="Z82" s="195"/>
      <c r="AA82" s="195"/>
      <c r="AB82" s="195"/>
      <c r="AC82" s="135"/>
      <c r="AD82" s="149">
        <f>ROUNDUP($A82/1000,0)*1000</f>
        <v>0</v>
      </c>
      <c r="AE82" s="149">
        <f t="shared" si="13"/>
        <v>0</v>
      </c>
      <c r="AF82" s="145"/>
      <c r="AG82" s="1" t="s">
        <v>419</v>
      </c>
    </row>
    <row r="83" spans="1:53" ht="32.1" customHeight="1">
      <c r="A83" s="98"/>
      <c r="B83" s="79" t="str">
        <f>VLOOKUP(878,Sprachindex!$A:$Z,Info!$O$7,FALSE)</f>
        <v>Stk.</v>
      </c>
      <c r="C83" s="81"/>
      <c r="D83" s="78">
        <v>340490</v>
      </c>
      <c r="E83" s="561" t="str">
        <f>VLOOKUP(2241,Sprachindex!$A:$Z,Info!$O$7,FALSE)</f>
        <v>Spezialbits</v>
      </c>
      <c r="F83" s="562"/>
      <c r="G83" s="562"/>
      <c r="H83" s="562"/>
      <c r="I83" s="562"/>
      <c r="J83" s="562"/>
      <c r="K83" s="563"/>
      <c r="L83" s="79" t="str">
        <f>IF($A83=0,"",IF($O$11=1,AD83,AE83))</f>
        <v/>
      </c>
      <c r="M83" s="171" t="str">
        <f>VLOOKUP(878,Sprachindex!$A:$Z,Info!$O$7,FALSE)</f>
        <v>Stk.</v>
      </c>
      <c r="N83" s="80"/>
      <c r="O83" s="202" t="str">
        <f t="shared" si="18"/>
        <v/>
      </c>
      <c r="R83" s="200">
        <v>12.55</v>
      </c>
      <c r="S83" s="195"/>
      <c r="T83" s="195"/>
      <c r="U83" s="195"/>
      <c r="V83" s="195"/>
      <c r="W83" s="195"/>
      <c r="X83" s="195"/>
      <c r="Y83" s="195"/>
      <c r="Z83" s="195"/>
      <c r="AA83" s="195"/>
      <c r="AB83" s="195"/>
      <c r="AC83" s="135"/>
      <c r="AD83" s="149">
        <f>ROUNDUP($A83/5,0)*5</f>
        <v>0</v>
      </c>
      <c r="AE83" s="149">
        <f t="shared" si="13"/>
        <v>0</v>
      </c>
      <c r="AF83" s="145"/>
      <c r="AG83" s="1" t="s">
        <v>420</v>
      </c>
    </row>
    <row r="84" spans="1:53" ht="32.1" customHeight="1" thickBot="1">
      <c r="A84" s="98"/>
      <c r="B84" s="79" t="str">
        <f>VLOOKUP(531,Sprachindex!$A:$Z,Info!$O$7,FALSE)</f>
        <v>kg</v>
      </c>
      <c r="C84" s="78"/>
      <c r="D84" s="81" t="str">
        <f>IF(I84=Formeln!A107,AL84,IF(I84=Formeln!A108,AH84,IF(I84=Formeln!A109,AI84,IF(I84=Formeln!A111,AK84,""))))</f>
        <v/>
      </c>
      <c r="E84" s="570" t="str">
        <f>VLOOKUP(583,Sprachindex!$A:$Z,Info!$O$7,FALSE)</f>
        <v>Lochblech (⌀ 5 mm) ca. 24 kg/Rolle (0,7 × 1.000 mm)</v>
      </c>
      <c r="F84" s="571"/>
      <c r="G84" s="571"/>
      <c r="H84" s="571"/>
      <c r="I84" s="572"/>
      <c r="J84" s="573"/>
      <c r="K84" s="573"/>
      <c r="L84" s="79" t="str">
        <f>IF($A84=0,"",IF($I84=Formeln!$A$106," ",IF($O$11=1,AD84,AE84)))</f>
        <v/>
      </c>
      <c r="M84" s="433" t="str">
        <f t="shared" si="2"/>
        <v>kg</v>
      </c>
      <c r="N84" s="80"/>
      <c r="O84" s="202" t="str">
        <f t="shared" si="18"/>
        <v/>
      </c>
      <c r="R84" s="200"/>
      <c r="S84" s="195"/>
      <c r="T84" s="195"/>
      <c r="U84" s="195"/>
      <c r="V84" s="195"/>
      <c r="W84" s="195"/>
      <c r="X84" s="195"/>
      <c r="Y84" s="195"/>
      <c r="Z84" s="195"/>
      <c r="AA84" s="195"/>
      <c r="AB84" s="71"/>
      <c r="AC84" s="1"/>
      <c r="AD84" s="161">
        <f>ROUNDUP($A84/24,0)*24</f>
        <v>0</v>
      </c>
      <c r="AE84" s="161">
        <f t="shared" si="13"/>
        <v>0</v>
      </c>
      <c r="AF84" s="151" t="str">
        <f>IF(A84&gt;24, Formeln!$A$119, Formeln!$A$118)</f>
        <v>Rolle</v>
      </c>
      <c r="AH84" s="44">
        <v>507202</v>
      </c>
      <c r="AI84" s="44">
        <v>507203</v>
      </c>
      <c r="AJ84" s="44"/>
      <c r="AK84" s="44">
        <v>507205</v>
      </c>
      <c r="AL84" s="44">
        <v>507206</v>
      </c>
    </row>
    <row r="85" spans="1:53" ht="32.1" customHeight="1" thickBot="1">
      <c r="A85" s="98"/>
      <c r="B85" s="104"/>
      <c r="C85" s="104"/>
      <c r="D85" s="104"/>
      <c r="E85" s="575"/>
      <c r="F85" s="576"/>
      <c r="G85" s="576"/>
      <c r="H85" s="576"/>
      <c r="I85" s="576"/>
      <c r="J85" s="576"/>
      <c r="K85" s="577"/>
      <c r="L85" s="104"/>
      <c r="M85" s="433"/>
      <c r="N85" s="447"/>
      <c r="O85" s="202" t="str">
        <f t="shared" si="18"/>
        <v/>
      </c>
      <c r="S85" s="195"/>
      <c r="T85" s="195"/>
      <c r="U85" s="195"/>
      <c r="V85" s="195"/>
      <c r="W85" s="195"/>
      <c r="X85" s="195"/>
      <c r="Y85" s="195"/>
      <c r="Z85" s="195"/>
      <c r="AA85" s="195"/>
      <c r="AB85" s="71"/>
      <c r="AC85" s="1"/>
      <c r="AD85" s="8"/>
      <c r="AE85" s="8"/>
      <c r="AH85" s="521" t="s">
        <v>108</v>
      </c>
      <c r="AI85" s="522" t="s">
        <v>109</v>
      </c>
      <c r="AJ85" s="522" t="s">
        <v>110</v>
      </c>
      <c r="AK85" s="522" t="s">
        <v>111</v>
      </c>
      <c r="AL85" s="522" t="s">
        <v>112</v>
      </c>
      <c r="AM85" s="522" t="s">
        <v>113</v>
      </c>
      <c r="AN85" s="522" t="s">
        <v>114</v>
      </c>
      <c r="AO85" s="522" t="s">
        <v>115</v>
      </c>
      <c r="AP85" s="522" t="s">
        <v>116</v>
      </c>
      <c r="AQ85" s="522" t="s">
        <v>117</v>
      </c>
      <c r="AR85" s="522" t="s">
        <v>118</v>
      </c>
      <c r="AS85" s="522" t="s">
        <v>95</v>
      </c>
      <c r="AT85" s="522" t="s">
        <v>119</v>
      </c>
      <c r="AU85" s="522" t="s">
        <v>120</v>
      </c>
      <c r="AV85" s="522" t="s">
        <v>121</v>
      </c>
      <c r="AW85" s="522" t="s">
        <v>122</v>
      </c>
      <c r="AX85" s="523" t="s">
        <v>123</v>
      </c>
      <c r="AY85" s="523" t="s">
        <v>124</v>
      </c>
      <c r="AZ85" s="523" t="s">
        <v>125</v>
      </c>
      <c r="BA85" s="126" t="s">
        <v>126</v>
      </c>
    </row>
    <row r="86" spans="1:53" ht="32.1" customHeight="1">
      <c r="A86" s="98"/>
      <c r="B86" s="104"/>
      <c r="C86" s="104"/>
      <c r="D86" s="104"/>
      <c r="E86" s="575"/>
      <c r="F86" s="576"/>
      <c r="G86" s="576"/>
      <c r="H86" s="576"/>
      <c r="I86" s="576"/>
      <c r="J86" s="576"/>
      <c r="K86" s="577"/>
      <c r="L86" s="104"/>
      <c r="M86" s="433"/>
      <c r="N86" s="447"/>
      <c r="O86" s="202" t="str">
        <f>IF(ISNUMBER(L107),$L107*#REF!, "")</f>
        <v/>
      </c>
      <c r="S86" s="195"/>
      <c r="T86" s="195"/>
      <c r="U86" s="195"/>
      <c r="V86" s="195"/>
      <c r="W86" s="195"/>
      <c r="X86" s="195"/>
      <c r="Y86" s="195"/>
      <c r="Z86" s="195"/>
      <c r="AA86" s="195"/>
      <c r="AB86" s="71"/>
      <c r="AC86" s="1"/>
      <c r="AD86" s="8"/>
      <c r="AE86" s="8"/>
    </row>
    <row r="87" spans="1:53" ht="32.1" customHeight="1" thickBot="1">
      <c r="A87" s="153"/>
      <c r="B87" s="154"/>
      <c r="C87" s="154"/>
      <c r="D87" s="154"/>
      <c r="E87" s="578"/>
      <c r="F87" s="579"/>
      <c r="G87" s="579"/>
      <c r="H87" s="579"/>
      <c r="I87" s="579"/>
      <c r="J87" s="579"/>
      <c r="K87" s="580"/>
      <c r="L87" s="154"/>
      <c r="M87" s="434"/>
      <c r="N87" s="448"/>
      <c r="O87" s="203"/>
      <c r="S87" s="195"/>
      <c r="T87" s="195"/>
      <c r="U87" s="195"/>
      <c r="V87" s="195"/>
      <c r="W87" s="195"/>
      <c r="X87" s="195"/>
      <c r="Y87" s="195"/>
      <c r="Z87" s="195"/>
      <c r="AA87" s="195"/>
      <c r="AB87" s="71"/>
      <c r="AC87" s="1"/>
      <c r="AD87" s="8"/>
      <c r="AE87" s="8"/>
    </row>
    <row r="88" spans="1:53" ht="15" customHeight="1">
      <c r="A88" s="70"/>
      <c r="B88" s="70"/>
      <c r="C88" s="70"/>
      <c r="D88" s="564"/>
      <c r="E88" s="564"/>
      <c r="F88" s="564"/>
      <c r="G88" s="564"/>
      <c r="H88" s="564"/>
      <c r="I88" s="564"/>
      <c r="J88" s="564"/>
      <c r="K88" s="564"/>
      <c r="L88" s="564"/>
      <c r="M88" s="564"/>
      <c r="N88" s="564"/>
      <c r="S88" s="195"/>
      <c r="T88" s="195"/>
      <c r="U88" s="195"/>
      <c r="V88" s="195"/>
      <c r="W88" s="195"/>
      <c r="X88" s="195"/>
      <c r="Y88" s="195"/>
      <c r="Z88" s="195"/>
      <c r="AA88" s="195"/>
      <c r="AB88" s="71"/>
    </row>
    <row r="89" spans="1:53" ht="17.399999999999999">
      <c r="A89" s="70"/>
      <c r="B89" s="70"/>
      <c r="C89" s="89" t="str">
        <f>VLOOKUP(1035,Sprachindex!$A:$Z,Info!$O$7,FALSE)</f>
        <v>Zusatzvermerk:</v>
      </c>
      <c r="D89" s="565"/>
      <c r="E89" s="565"/>
      <c r="F89" s="565"/>
      <c r="G89" s="565"/>
      <c r="H89" s="565"/>
      <c r="I89" s="565"/>
      <c r="J89" s="565"/>
      <c r="K89" s="565"/>
      <c r="L89" s="565"/>
      <c r="M89" s="565"/>
      <c r="N89" s="565"/>
      <c r="O89" s="196">
        <f>SUM(O31:O87)</f>
        <v>0</v>
      </c>
      <c r="S89" s="195"/>
      <c r="T89" s="195"/>
      <c r="U89" s="195"/>
      <c r="V89" s="195"/>
      <c r="W89" s="195"/>
      <c r="X89" s="195"/>
      <c r="Y89" s="195"/>
      <c r="Z89" s="195"/>
      <c r="AA89" s="195"/>
      <c r="AB89" s="71"/>
    </row>
    <row r="90" spans="1:53" ht="17.399999999999999">
      <c r="A90" s="70"/>
      <c r="B90" s="70"/>
      <c r="C90" s="70"/>
      <c r="D90" s="566"/>
      <c r="E90" s="566"/>
      <c r="F90" s="566"/>
      <c r="G90" s="566"/>
      <c r="H90" s="566"/>
      <c r="I90" s="566"/>
      <c r="J90" s="566"/>
      <c r="K90" s="566"/>
      <c r="L90" s="566"/>
      <c r="M90" s="566"/>
      <c r="N90" s="566"/>
      <c r="S90" s="195"/>
      <c r="T90" s="195"/>
      <c r="U90" s="195"/>
      <c r="V90" s="195"/>
      <c r="W90" s="195"/>
      <c r="X90" s="195"/>
      <c r="Y90" s="195"/>
      <c r="Z90" s="195"/>
      <c r="AA90" s="195"/>
      <c r="AB90" s="71"/>
    </row>
    <row r="91" spans="1:53" ht="17.399999999999999">
      <c r="A91" s="70"/>
      <c r="B91" s="70"/>
      <c r="C91" s="70"/>
      <c r="D91" s="565"/>
      <c r="E91" s="565"/>
      <c r="F91" s="565"/>
      <c r="G91" s="565"/>
      <c r="H91" s="565"/>
      <c r="I91" s="565"/>
      <c r="J91" s="565"/>
      <c r="K91" s="565"/>
      <c r="L91" s="565"/>
      <c r="M91" s="565"/>
      <c r="N91" s="565"/>
      <c r="S91" s="195"/>
      <c r="T91" s="195"/>
      <c r="U91" s="195"/>
      <c r="V91" s="195"/>
      <c r="W91" s="195"/>
      <c r="X91" s="195"/>
      <c r="Y91" s="195"/>
      <c r="Z91" s="195"/>
      <c r="AA91" s="195"/>
      <c r="AB91" s="71"/>
    </row>
    <row r="92" spans="1:53" ht="17.399999999999999">
      <c r="A92" s="70"/>
      <c r="B92" s="70"/>
      <c r="C92" s="70"/>
      <c r="D92" s="566"/>
      <c r="E92" s="566"/>
      <c r="F92" s="566"/>
      <c r="G92" s="566"/>
      <c r="H92" s="566"/>
      <c r="I92" s="566"/>
      <c r="J92" s="566"/>
      <c r="K92" s="566"/>
      <c r="L92" s="566"/>
      <c r="M92" s="566"/>
      <c r="N92" s="566"/>
      <c r="S92" s="195"/>
      <c r="T92" s="195"/>
      <c r="U92" s="195"/>
      <c r="V92" s="195"/>
      <c r="W92" s="195"/>
      <c r="X92" s="195"/>
      <c r="Y92" s="195"/>
      <c r="Z92" s="195"/>
      <c r="AA92" s="195"/>
      <c r="AB92" s="71"/>
    </row>
    <row r="93" spans="1:53" ht="17.399999999999999">
      <c r="A93" s="70"/>
      <c r="B93" s="70"/>
      <c r="C93" s="70"/>
      <c r="D93" s="565"/>
      <c r="E93" s="565"/>
      <c r="F93" s="565"/>
      <c r="G93" s="565"/>
      <c r="H93" s="565"/>
      <c r="I93" s="565"/>
      <c r="J93" s="565"/>
      <c r="K93" s="565"/>
      <c r="L93" s="565"/>
      <c r="M93" s="565"/>
      <c r="N93" s="565"/>
      <c r="S93" s="195"/>
      <c r="T93" s="195"/>
      <c r="U93" s="195"/>
      <c r="V93" s="195"/>
      <c r="W93" s="195"/>
      <c r="X93" s="195"/>
      <c r="Y93" s="195"/>
      <c r="Z93" s="195"/>
      <c r="AA93" s="195"/>
      <c r="AB93" s="71"/>
    </row>
    <row r="94" spans="1:53" ht="17.399999999999999">
      <c r="A94" s="70"/>
      <c r="B94" s="70"/>
      <c r="C94" s="70"/>
      <c r="D94" s="70"/>
      <c r="E94" s="70"/>
      <c r="F94" s="70"/>
      <c r="G94" s="70"/>
      <c r="H94" s="70"/>
      <c r="I94" s="70"/>
      <c r="J94" s="70"/>
      <c r="K94" s="70"/>
      <c r="L94" s="70"/>
      <c r="M94" s="70"/>
      <c r="N94" s="70"/>
      <c r="S94" s="195"/>
      <c r="T94" s="195"/>
      <c r="U94" s="195"/>
      <c r="V94" s="195"/>
      <c r="W94" s="195"/>
      <c r="X94" s="195"/>
      <c r="Y94" s="195"/>
      <c r="Z94" s="195"/>
      <c r="AA94" s="195"/>
      <c r="AB94" s="71"/>
    </row>
    <row r="95" spans="1:53" ht="17.399999999999999">
      <c r="A95" s="70"/>
      <c r="B95" s="70"/>
      <c r="C95" s="70"/>
      <c r="D95" s="70"/>
      <c r="E95" s="70"/>
      <c r="F95" s="70"/>
      <c r="G95" s="70"/>
      <c r="H95" s="70"/>
      <c r="I95" s="70"/>
      <c r="J95" s="70"/>
      <c r="K95" s="70"/>
      <c r="L95" s="70"/>
      <c r="M95" s="70"/>
      <c r="N95" s="70"/>
      <c r="S95" s="195"/>
      <c r="T95" s="195"/>
      <c r="U95" s="195"/>
      <c r="V95" s="195"/>
      <c r="W95" s="195"/>
      <c r="X95" s="195"/>
      <c r="Y95" s="195"/>
      <c r="Z95" s="195"/>
      <c r="AA95" s="195"/>
      <c r="AB95" s="71"/>
    </row>
    <row r="96" spans="1:53" ht="17.399999999999999">
      <c r="A96" s="90" t="str">
        <f>VLOOKUP(2097,Sprachindex!$A:$Z,Info!$O$7,FALSE)</f>
        <v>Produkttechnik</v>
      </c>
      <c r="B96" s="91"/>
      <c r="C96" s="91"/>
      <c r="D96" s="569"/>
      <c r="E96" s="569"/>
      <c r="F96" s="569"/>
      <c r="G96" s="569"/>
      <c r="H96" s="569"/>
      <c r="I96" s="569"/>
      <c r="J96" s="569"/>
      <c r="K96" s="92" t="str">
        <f>VLOOKUP(856,Sprachindex!$A:$Z,Info!$O$7,FALSE)</f>
        <v>Stand:</v>
      </c>
      <c r="L96" s="567">
        <f>Info!M59</f>
        <v>45511</v>
      </c>
      <c r="M96" s="567"/>
      <c r="N96" s="568"/>
      <c r="S96" s="195"/>
      <c r="T96" s="195"/>
      <c r="U96" s="195"/>
      <c r="V96" s="195"/>
      <c r="W96" s="195"/>
      <c r="X96" s="195"/>
      <c r="Y96" s="195"/>
      <c r="Z96" s="195"/>
      <c r="AA96" s="195"/>
      <c r="AB96" s="71"/>
    </row>
    <row r="97" spans="19:30" ht="17.399999999999999">
      <c r="S97" s="195"/>
      <c r="T97" s="195"/>
      <c r="U97" s="195"/>
      <c r="V97" s="195"/>
      <c r="W97" s="195"/>
      <c r="X97" s="195"/>
      <c r="Y97" s="195"/>
      <c r="Z97" s="195"/>
      <c r="AA97" s="195"/>
      <c r="AC97" s="1"/>
      <c r="AD97" s="1"/>
    </row>
    <row r="98" spans="19:30" ht="17.399999999999999" hidden="1">
      <c r="S98" s="195"/>
      <c r="T98" s="195"/>
      <c r="U98" s="195"/>
      <c r="V98" s="195"/>
      <c r="W98" s="195"/>
      <c r="X98" s="195"/>
      <c r="Y98" s="195"/>
      <c r="Z98" s="195"/>
      <c r="AA98" s="195"/>
      <c r="AC98" s="1"/>
      <c r="AD98" s="1"/>
    </row>
    <row r="99" spans="19:30" ht="17.399999999999999" hidden="1">
      <c r="S99" s="195"/>
      <c r="T99" s="195"/>
      <c r="U99" s="195"/>
      <c r="V99" s="195"/>
      <c r="W99" s="195"/>
      <c r="X99" s="195"/>
      <c r="Y99" s="195"/>
      <c r="Z99" s="195"/>
      <c r="AA99" s="195"/>
      <c r="AC99" s="1"/>
      <c r="AD99" s="1"/>
    </row>
    <row r="100" spans="19:30" ht="17.399999999999999" hidden="1">
      <c r="S100" s="195"/>
      <c r="T100" s="195"/>
      <c r="U100" s="195"/>
      <c r="V100" s="195"/>
      <c r="W100" s="195"/>
      <c r="X100" s="195"/>
      <c r="Y100" s="195"/>
      <c r="Z100" s="195"/>
      <c r="AA100" s="195"/>
      <c r="AC100" s="1"/>
      <c r="AD100" s="1"/>
    </row>
    <row r="101" spans="19:30" ht="17.399999999999999" hidden="1">
      <c r="S101" s="195"/>
      <c r="T101" s="195"/>
      <c r="U101" s="195"/>
      <c r="V101" s="195"/>
      <c r="W101" s="195"/>
      <c r="X101" s="195"/>
      <c r="Y101" s="195"/>
      <c r="Z101" s="195"/>
      <c r="AA101" s="195"/>
      <c r="AC101" s="1"/>
      <c r="AD101" s="1"/>
    </row>
    <row r="102" spans="19:30" ht="17.399999999999999" hidden="1">
      <c r="S102" s="195"/>
      <c r="T102" s="195"/>
      <c r="U102" s="195"/>
      <c r="V102" s="195"/>
      <c r="W102" s="195"/>
      <c r="X102" s="195"/>
      <c r="Y102" s="195"/>
      <c r="Z102" s="195"/>
      <c r="AA102" s="195"/>
      <c r="AC102" s="1"/>
      <c r="AD102" s="1"/>
    </row>
    <row r="103" spans="19:30" ht="17.399999999999999" hidden="1">
      <c r="S103" s="195"/>
      <c r="T103" s="195"/>
      <c r="U103" s="195"/>
      <c r="V103" s="195"/>
      <c r="W103" s="195"/>
      <c r="X103" s="195"/>
      <c r="Y103" s="195"/>
      <c r="Z103" s="195"/>
      <c r="AA103" s="195"/>
      <c r="AC103" s="1"/>
      <c r="AD103" s="1"/>
    </row>
    <row r="104" spans="19:30" ht="17.399999999999999" hidden="1">
      <c r="S104" s="195"/>
      <c r="T104" s="195"/>
      <c r="U104" s="195"/>
      <c r="V104" s="195"/>
      <c r="W104" s="195"/>
      <c r="X104" s="195"/>
      <c r="Y104" s="195"/>
      <c r="Z104" s="195"/>
      <c r="AA104" s="195"/>
      <c r="AC104" s="1"/>
      <c r="AD104" s="1"/>
    </row>
    <row r="105" spans="19:30" ht="17.399999999999999" hidden="1">
      <c r="S105" s="195"/>
      <c r="T105" s="195"/>
      <c r="U105" s="195"/>
      <c r="V105" s="195"/>
      <c r="W105" s="195"/>
      <c r="X105" s="195"/>
      <c r="Y105" s="195"/>
      <c r="Z105" s="195"/>
      <c r="AA105" s="195"/>
      <c r="AC105" s="1"/>
      <c r="AD105" s="1"/>
    </row>
    <row r="106" spans="19:30" ht="17.399999999999999" hidden="1">
      <c r="S106" s="195"/>
      <c r="T106" s="195"/>
      <c r="U106" s="195"/>
      <c r="V106" s="195"/>
      <c r="W106" s="195"/>
      <c r="X106" s="195"/>
      <c r="Y106" s="195"/>
      <c r="Z106" s="195"/>
      <c r="AA106" s="195"/>
      <c r="AC106" s="1"/>
      <c r="AD106" s="1"/>
    </row>
    <row r="107" spans="19:30" ht="17.399999999999999" hidden="1">
      <c r="S107" s="195"/>
      <c r="T107" s="195"/>
      <c r="U107" s="195"/>
      <c r="V107" s="195"/>
      <c r="W107" s="195"/>
      <c r="X107" s="195"/>
      <c r="Y107" s="195"/>
      <c r="Z107" s="195"/>
      <c r="AA107" s="195"/>
      <c r="AC107" s="1"/>
      <c r="AD107" s="1"/>
    </row>
    <row r="108" spans="19:30" ht="17.399999999999999" hidden="1">
      <c r="S108" s="195"/>
      <c r="T108" s="195"/>
      <c r="U108" s="195"/>
      <c r="V108" s="195"/>
      <c r="W108" s="195"/>
      <c r="X108" s="195"/>
      <c r="Y108" s="195"/>
      <c r="Z108" s="195"/>
      <c r="AA108" s="195"/>
      <c r="AC108" s="1"/>
      <c r="AD108" s="1"/>
    </row>
    <row r="109" spans="19:30" ht="17.399999999999999" hidden="1">
      <c r="S109" s="195"/>
      <c r="T109" s="195"/>
      <c r="U109" s="195"/>
      <c r="V109" s="195"/>
      <c r="W109" s="195"/>
      <c r="X109" s="195"/>
      <c r="Y109" s="195"/>
      <c r="Z109" s="195"/>
      <c r="AA109" s="195"/>
      <c r="AC109" s="1"/>
      <c r="AD109" s="1"/>
    </row>
    <row r="110" spans="19:30" ht="17.399999999999999" hidden="1">
      <c r="S110" s="195"/>
      <c r="T110" s="195"/>
      <c r="U110" s="195"/>
      <c r="V110" s="195"/>
      <c r="W110" s="195"/>
      <c r="X110" s="195"/>
      <c r="Y110" s="195"/>
      <c r="Z110" s="195"/>
      <c r="AA110" s="195"/>
      <c r="AC110" s="1"/>
      <c r="AD110" s="1"/>
    </row>
    <row r="111" spans="19:30" ht="17.399999999999999" hidden="1">
      <c r="S111" s="195"/>
      <c r="T111" s="195"/>
      <c r="U111" s="195"/>
      <c r="V111" s="195"/>
      <c r="W111" s="195"/>
      <c r="X111" s="195"/>
      <c r="Y111" s="195"/>
      <c r="Z111" s="195"/>
      <c r="AA111" s="195"/>
      <c r="AC111" s="1"/>
      <c r="AD111" s="1"/>
    </row>
    <row r="112" spans="19:30" ht="17.399999999999999" hidden="1">
      <c r="S112" s="195"/>
      <c r="T112" s="195"/>
      <c r="U112" s="195"/>
      <c r="V112" s="195"/>
      <c r="W112" s="195"/>
      <c r="X112" s="195"/>
      <c r="Y112" s="195"/>
      <c r="Z112" s="195"/>
      <c r="AA112" s="195"/>
      <c r="AC112" s="1"/>
      <c r="AD112" s="1"/>
    </row>
    <row r="113" spans="19:30" ht="17.399999999999999" hidden="1">
      <c r="S113" s="195"/>
      <c r="T113" s="195"/>
      <c r="U113" s="195"/>
      <c r="V113" s="195"/>
      <c r="W113" s="195"/>
      <c r="X113" s="195"/>
      <c r="Y113" s="195"/>
      <c r="Z113" s="195"/>
      <c r="AA113" s="195"/>
      <c r="AC113" s="1"/>
      <c r="AD113" s="1"/>
    </row>
    <row r="114" spans="19:30" ht="13.8" hidden="1">
      <c r="AC114" s="1"/>
      <c r="AD114" s="1"/>
    </row>
    <row r="115" spans="19:30" ht="13.8" hidden="1">
      <c r="AC115" s="1"/>
      <c r="AD115" s="1"/>
    </row>
    <row r="116" spans="19:30" ht="13.8" hidden="1">
      <c r="AC116" s="1"/>
      <c r="AD116" s="1"/>
    </row>
    <row r="117" spans="19:30" ht="13.8" hidden="1">
      <c r="AC117" s="1"/>
      <c r="AD117" s="1"/>
    </row>
    <row r="118" spans="19:30" ht="13.8" hidden="1">
      <c r="AC118" s="1"/>
      <c r="AD118" s="1"/>
    </row>
    <row r="119" spans="19:30" ht="13.8" hidden="1">
      <c r="AC119" s="1"/>
      <c r="AD119" s="1"/>
    </row>
    <row r="120" spans="19:30" ht="13.8" hidden="1">
      <c r="AC120" s="1"/>
      <c r="AD120" s="1"/>
    </row>
    <row r="121" spans="19:30" ht="13.8" hidden="1">
      <c r="AC121" s="1"/>
      <c r="AD121" s="1"/>
    </row>
    <row r="122" spans="19:30" ht="13.8" hidden="1">
      <c r="AC122" s="1"/>
      <c r="AD122" s="1"/>
    </row>
    <row r="123" spans="19:30" ht="13.8" hidden="1">
      <c r="AC123" s="1"/>
      <c r="AD123" s="1"/>
    </row>
    <row r="124" spans="19:30" ht="13.8" hidden="1">
      <c r="AC124" s="1"/>
      <c r="AD124" s="1"/>
    </row>
    <row r="125" spans="19:30" ht="13.8" hidden="1">
      <c r="AC125" s="1"/>
      <c r="AD125" s="1"/>
    </row>
    <row r="126" spans="19:30" ht="13.8" hidden="1">
      <c r="AC126" s="1"/>
      <c r="AD126" s="1"/>
    </row>
    <row r="127" spans="19:30" ht="13.8" hidden="1">
      <c r="AC127" s="1"/>
      <c r="AD127" s="1"/>
    </row>
    <row r="128" spans="19:30" ht="13.8" hidden="1">
      <c r="AC128" s="1"/>
      <c r="AD128" s="1"/>
    </row>
    <row r="129" spans="29:30" ht="13.8" hidden="1">
      <c r="AC129" s="1"/>
      <c r="AD129" s="1"/>
    </row>
    <row r="130" spans="29:30" ht="13.8" hidden="1">
      <c r="AC130" s="1"/>
      <c r="AD130" s="1"/>
    </row>
    <row r="131" spans="29:30" ht="13.8" hidden="1">
      <c r="AC131" s="1"/>
      <c r="AD131" s="1"/>
    </row>
    <row r="132" spans="29:30" ht="14.25" hidden="1" customHeight="1">
      <c r="AC132" s="1"/>
      <c r="AD132" s="1"/>
    </row>
    <row r="133" spans="29:30" ht="14.25" hidden="1" customHeight="1">
      <c r="AC133" s="1"/>
      <c r="AD133" s="1"/>
    </row>
    <row r="2951" spans="2:16" ht="0" hidden="1" customHeight="1">
      <c r="B2951" s="1" t="str">
        <f>VLOOKUP(2950,Sprachindex!$A:$Z,Info!$O$7,FALSE)</f>
        <v>nur in 45 Bronze verfügbar</v>
      </c>
      <c r="P2951" s="5" t="str">
        <f>VLOOKUP(2950,Sprachindex!$A:$Z,Info!$O$7,FALSE)</f>
        <v>nur in 45 Bronze verfügbar</v>
      </c>
    </row>
  </sheetData>
  <sheetProtection algorithmName="SHA-512" hashValue="lefKXrlQXHpi99DoUII6kpNLZUIVy96wledwI7eJ0lfOlbXsTnQjJYqUuTwPqQoih5hx/D6e6qwR1Ah/IWKkXQ==" saltValue="j9CE0eSLubBugGNUgz+nzA==" spinCount="100000" sheet="1" objects="1" selectLockedCells="1"/>
  <protectedRanges>
    <protectedRange password="DEBF" sqref="AD85:AE87"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3:AE67" name="darf vom Benutzer nicht verändert werden_1_5_7"/>
    <protectedRange password="DEBF" sqref="AD55:AE55" name="darf vom Benutzer nicht verändert werden_1_5_8"/>
    <protectedRange password="DEBF" sqref="AD56:AE58 AD60:AE62" name="darf vom Benutzer nicht verändert werden_1_5_9"/>
    <protectedRange password="DEBF" sqref="AD59:AE59" name="darf vom Benutzer nicht verändert werden_1_5_10"/>
    <protectedRange password="DEBF" sqref="AD68:AE72" name="darf vom Benutzer nicht verändert werden_1_5_11"/>
    <protectedRange password="DEBF" sqref="AD73:AE73" name="darf vom Benutzer nicht verändert werden_1_5_12"/>
    <protectedRange password="DEBF" sqref="AD74:AE74" name="darf vom Benutzer nicht verändert werden_1_5_13"/>
    <protectedRange password="DEBF" sqref="AD75:AE75" name="darf vom Benutzer nicht verändert werden_1_5_14"/>
    <protectedRange password="DEBF" sqref="AD76:AE78" name="darf vom Benutzer nicht verändert werden_1_5_15"/>
    <protectedRange password="DEBF" sqref="AD84:AE84" name="darf vom Benutzer nicht verändert werden_1_5_17"/>
    <protectedRange password="DEBF" sqref="AE31:AE33" name="darf vom Benutzer nicht verändert werden_1_5_3_1"/>
    <protectedRange password="DEBF" sqref="AF84" name="darf vom Benutzer nicht verändert werden_1_12_4"/>
    <protectedRange password="DEBF" sqref="AD79:AE79"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0:AE83" name="darf vom Benutzer nicht verändert werden_1_5_16"/>
  </protectedRanges>
  <autoFilter ref="A29:A87" xr:uid="{00000000-0009-0000-0000-000008000000}"/>
  <mergeCells count="105">
    <mergeCell ref="E87:K87"/>
    <mergeCell ref="D96:J96"/>
    <mergeCell ref="L96:N96"/>
    <mergeCell ref="D88:N89"/>
    <mergeCell ref="D90:N91"/>
    <mergeCell ref="D92:N93"/>
    <mergeCell ref="AD29:AE29"/>
    <mergeCell ref="E86:K86"/>
    <mergeCell ref="E72:K72"/>
    <mergeCell ref="E73:K73"/>
    <mergeCell ref="E76:K76"/>
    <mergeCell ref="E77:K77"/>
    <mergeCell ref="E78:K78"/>
    <mergeCell ref="E79:K79"/>
    <mergeCell ref="E84:H84"/>
    <mergeCell ref="I84:K84"/>
    <mergeCell ref="E63:K63"/>
    <mergeCell ref="E65:K65"/>
    <mergeCell ref="E85:K85"/>
    <mergeCell ref="E68:K68"/>
    <mergeCell ref="E69:K69"/>
    <mergeCell ref="E70:K70"/>
    <mergeCell ref="E66:K66"/>
    <mergeCell ref="E67:K67"/>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B25:B28"/>
    <mergeCell ref="C28:E28"/>
    <mergeCell ref="C27:E27"/>
    <mergeCell ref="J31:K31"/>
    <mergeCell ref="E31:I31"/>
    <mergeCell ref="B29:E29"/>
    <mergeCell ref="E30:K30"/>
    <mergeCell ref="E42:K42"/>
    <mergeCell ref="E34:K34"/>
    <mergeCell ref="E35:K35"/>
    <mergeCell ref="E36:K36"/>
    <mergeCell ref="E37:K37"/>
    <mergeCell ref="E38:K38"/>
    <mergeCell ref="E39:G39"/>
    <mergeCell ref="H39:K39"/>
    <mergeCell ref="E40:G40"/>
    <mergeCell ref="H40:K40"/>
    <mergeCell ref="E41:K41"/>
    <mergeCell ref="E80:H80"/>
    <mergeCell ref="E81:H81"/>
    <mergeCell ref="I80:K80"/>
    <mergeCell ref="I81:K81"/>
    <mergeCell ref="J74:K74"/>
    <mergeCell ref="J75:K75"/>
    <mergeCell ref="E82:K82"/>
    <mergeCell ref="E83:K83"/>
    <mergeCell ref="E43:K43"/>
    <mergeCell ref="E51:K51"/>
    <mergeCell ref="E47:K47"/>
    <mergeCell ref="E46:K46"/>
    <mergeCell ref="E44:G44"/>
    <mergeCell ref="H44:K44"/>
    <mergeCell ref="E71:K71"/>
    <mergeCell ref="E48:G48"/>
    <mergeCell ref="H48:K48"/>
    <mergeCell ref="E55:K55"/>
    <mergeCell ref="E53:K53"/>
    <mergeCell ref="E54:I54"/>
    <mergeCell ref="J54:K54"/>
    <mergeCell ref="J56:K56"/>
    <mergeCell ref="J57:K57"/>
    <mergeCell ref="J58:K58"/>
    <mergeCell ref="E64:I64"/>
    <mergeCell ref="E74:I74"/>
    <mergeCell ref="E75:I75"/>
    <mergeCell ref="E59:I59"/>
    <mergeCell ref="E60:I60"/>
    <mergeCell ref="E61:I61"/>
    <mergeCell ref="E62:I62"/>
    <mergeCell ref="J49:K49"/>
    <mergeCell ref="J45:K45"/>
    <mergeCell ref="J50:K50"/>
    <mergeCell ref="E56:I56"/>
    <mergeCell ref="E49:I49"/>
    <mergeCell ref="E50:I50"/>
    <mergeCell ref="E45:I45"/>
    <mergeCell ref="E52:I52"/>
    <mergeCell ref="J52:K52"/>
    <mergeCell ref="E57:I57"/>
    <mergeCell ref="E58:I58"/>
    <mergeCell ref="J59:K59"/>
    <mergeCell ref="J60:K60"/>
    <mergeCell ref="J61:K61"/>
    <mergeCell ref="J62:K62"/>
    <mergeCell ref="J64:K64"/>
  </mergeCells>
  <conditionalFormatting sqref="A31:A87">
    <cfRule type="cellIs" dxfId="491" priority="5" operator="equal">
      <formula>""</formula>
    </cfRule>
  </conditionalFormatting>
  <conditionalFormatting sqref="A46:N46 A63:N63 A65:N65 A68:N73 A76:E77 L76:N77">
    <cfRule type="expression" dxfId="490" priority="2">
      <formula>$O$21=20</formula>
    </cfRule>
  </conditionalFormatting>
  <conditionalFormatting sqref="B85:E87">
    <cfRule type="cellIs" dxfId="489" priority="115" operator="equal">
      <formula>""</formula>
    </cfRule>
  </conditionalFormatting>
  <conditionalFormatting sqref="C9:E11">
    <cfRule type="cellIs" dxfId="488" priority="206" operator="equal">
      <formula>""</formula>
    </cfRule>
  </conditionalFormatting>
  <conditionalFormatting sqref="C13:E15">
    <cfRule type="cellIs" dxfId="487" priority="203" operator="equal">
      <formula>""</formula>
    </cfRule>
  </conditionalFormatting>
  <conditionalFormatting sqref="C18:E21">
    <cfRule type="cellIs" dxfId="486" priority="199" operator="equal">
      <formula>""</formula>
    </cfRule>
  </conditionalFormatting>
  <conditionalFormatting sqref="C25:E28">
    <cfRule type="cellIs" dxfId="485" priority="28" operator="equal">
      <formula>""</formula>
    </cfRule>
  </conditionalFormatting>
  <conditionalFormatting sqref="D51">
    <cfRule type="duplicateValues" dxfId="484" priority="14"/>
  </conditionalFormatting>
  <conditionalFormatting sqref="D66">
    <cfRule type="duplicateValues" dxfId="483" priority="93"/>
  </conditionalFormatting>
  <conditionalFormatting sqref="D67">
    <cfRule type="duplicateValues" dxfId="482" priority="92"/>
  </conditionalFormatting>
  <conditionalFormatting sqref="H40:K40">
    <cfRule type="cellIs" dxfId="480" priority="6" operator="equal">
      <formula>""</formula>
    </cfRule>
  </conditionalFormatting>
  <conditionalFormatting sqref="H44:K44">
    <cfRule type="cellIs" dxfId="479" priority="12" operator="equal">
      <formula>""</formula>
    </cfRule>
  </conditionalFormatting>
  <conditionalFormatting sqref="I13">
    <cfRule type="expression" dxfId="477" priority="38">
      <formula>$O$13=2</formula>
    </cfRule>
    <cfRule type="expression" dxfId="476" priority="41">
      <formula>$O$13=1</formula>
    </cfRule>
  </conditionalFormatting>
  <conditionalFormatting sqref="I25:I27">
    <cfRule type="cellIs" dxfId="475" priority="3" operator="equal">
      <formula>""</formula>
    </cfRule>
  </conditionalFormatting>
  <conditionalFormatting sqref="J45:K45 J49:K50 J52:K52 J56:K62 J64:K64 J74:K75">
    <cfRule type="expression" dxfId="472" priority="1">
      <formula>$O$21=20</formula>
    </cfRule>
  </conditionalFormatting>
  <conditionalFormatting sqref="L13">
    <cfRule type="expression" dxfId="470" priority="39">
      <formula>$O$13=1</formula>
    </cfRule>
    <cfRule type="expression" dxfId="469" priority="40">
      <formula>$O$13=2</formula>
    </cfRule>
  </conditionalFormatting>
  <conditionalFormatting sqref="L85:M87">
    <cfRule type="cellIs" dxfId="468" priority="132" operator="equal">
      <formula>""</formula>
    </cfRule>
  </conditionalFormatting>
  <conditionalFormatting sqref="AH45">
    <cfRule type="duplicateValues" dxfId="465" priority="71"/>
  </conditionalFormatting>
  <conditionalFormatting sqref="AH49 AJ49:AP49">
    <cfRule type="duplicateValues" dxfId="464" priority="61"/>
  </conditionalFormatting>
  <conditionalFormatting sqref="AH84:AL84">
    <cfRule type="duplicateValues" dxfId="463" priority="42"/>
  </conditionalFormatting>
  <conditionalFormatting sqref="AH50:AP50">
    <cfRule type="duplicateValues" dxfId="462" priority="59"/>
  </conditionalFormatting>
  <conditionalFormatting sqref="AH64:AP64">
    <cfRule type="duplicateValues" dxfId="461" priority="55"/>
  </conditionalFormatting>
  <conditionalFormatting sqref="AH65:AP65">
    <cfRule type="duplicateValues" dxfId="460" priority="53"/>
  </conditionalFormatting>
  <conditionalFormatting sqref="AH63:AQ63">
    <cfRule type="duplicateValues" dxfId="459" priority="56"/>
  </conditionalFormatting>
  <conditionalFormatting sqref="AH68:AS75">
    <cfRule type="duplicateValues" dxfId="458" priority="49"/>
  </conditionalFormatting>
  <conditionalFormatting sqref="AI45">
    <cfRule type="duplicateValues" dxfId="457" priority="70"/>
  </conditionalFormatting>
  <conditionalFormatting sqref="AJ45">
    <cfRule type="duplicateValues" dxfId="456" priority="69"/>
  </conditionalFormatting>
  <conditionalFormatting sqref="AK45">
    <cfRule type="duplicateValues" dxfId="455" priority="68"/>
  </conditionalFormatting>
  <conditionalFormatting sqref="AL45">
    <cfRule type="duplicateValues" dxfId="454" priority="67"/>
  </conditionalFormatting>
  <conditionalFormatting sqref="AM45">
    <cfRule type="duplicateValues" dxfId="453" priority="66"/>
  </conditionalFormatting>
  <conditionalFormatting sqref="AN45">
    <cfRule type="duplicateValues" dxfId="452" priority="65"/>
  </conditionalFormatting>
  <conditionalFormatting sqref="AO45">
    <cfRule type="duplicateValues" dxfId="451" priority="64"/>
  </conditionalFormatting>
  <conditionalFormatting sqref="AP45">
    <cfRule type="duplicateValues" dxfId="450" priority="63"/>
  </conditionalFormatting>
  <conditionalFormatting sqref="AQ45">
    <cfRule type="duplicateValues" dxfId="449" priority="62"/>
  </conditionalFormatting>
  <conditionalFormatting sqref="AQ49">
    <cfRule type="duplicateValues" dxfId="448" priority="60"/>
  </conditionalFormatting>
  <conditionalFormatting sqref="AQ50">
    <cfRule type="duplicateValues" dxfId="447" priority="58"/>
  </conditionalFormatting>
  <conditionalFormatting sqref="AQ64">
    <cfRule type="duplicateValues" dxfId="446" priority="54"/>
  </conditionalFormatting>
  <conditionalFormatting sqref="AQ65">
    <cfRule type="duplicateValues" dxfId="445" priority="52"/>
  </conditionalFormatting>
  <pageMargins left="0.39370078740157483" right="0.19685039370078741" top="0.31496062992125984" bottom="0.31496062992125984" header="0.31496062992125984" footer="0.31496062992125984"/>
  <pageSetup paperSize="9" scale="60" fitToHeight="0" orientation="portrait" r:id="rId1"/>
  <headerFooter differentFirst="1">
    <firstHeader>&amp;L&amp;G</firstHeader>
  </headerFooter>
  <rowBreaks count="1" manualBreakCount="1">
    <brk id="52" max="13" man="1"/>
  </rowBreaks>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7358" r:id="rId6"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7"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8" name="Option Button 1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7362" r:id="rId9" name="Option Button 1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7363" r:id="rId10" name="Option Button 19">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57364" r:id="rId11" name="Option Button 20">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57365" r:id="rId12" name="Option Button 21">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57366" r:id="rId13" name="Option Button 22">
              <controlPr defaultSize="0" autoFill="0" autoLine="0" autoPict="0" altText="">
                <anchor moveWithCells="1">
                  <from>
                    <xdr:col>5</xdr:col>
                    <xdr:colOff>563880</xdr:colOff>
                    <xdr:row>20</xdr:row>
                    <xdr:rowOff>30480</xdr:rowOff>
                  </from>
                  <to>
                    <xdr:col>7</xdr:col>
                    <xdr:colOff>182880</xdr:colOff>
                    <xdr:row>21</xdr:row>
                    <xdr:rowOff>0</xdr:rowOff>
                  </to>
                </anchor>
              </controlPr>
            </control>
          </mc:Choice>
        </mc:AlternateContent>
        <mc:AlternateContent xmlns:mc="http://schemas.openxmlformats.org/markup-compatibility/2006">
          <mc:Choice Requires="x14">
            <control shapeId="57367" r:id="rId14" name="Option Button 23">
              <controlPr defaultSize="0" autoFill="0" autoLine="0" autoPict="0" altText="">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57368" r:id="rId15" name="Option Button 24">
              <controlPr defaultSize="0" autoFill="0" autoLine="0" autoPict="0" altText="">
                <anchor moveWithCells="1">
                  <from>
                    <xdr:col>7</xdr:col>
                    <xdr:colOff>678180</xdr:colOff>
                    <xdr:row>15</xdr:row>
                    <xdr:rowOff>30480</xdr:rowOff>
                  </from>
                  <to>
                    <xdr:col>8</xdr:col>
                    <xdr:colOff>792480</xdr:colOff>
                    <xdr:row>16</xdr:row>
                    <xdr:rowOff>0</xdr:rowOff>
                  </to>
                </anchor>
              </controlPr>
            </control>
          </mc:Choice>
        </mc:AlternateContent>
        <mc:AlternateContent xmlns:mc="http://schemas.openxmlformats.org/markup-compatibility/2006">
          <mc:Choice Requires="x14">
            <control shapeId="57369" r:id="rId16" name="Option Button 25">
              <controlPr defaultSize="0" autoFill="0" autoLine="0" autoPict="0" altText="">
                <anchor moveWithCells="1">
                  <from>
                    <xdr:col>7</xdr:col>
                    <xdr:colOff>678180</xdr:colOff>
                    <xdr:row>16</xdr:row>
                    <xdr:rowOff>30480</xdr:rowOff>
                  </from>
                  <to>
                    <xdr:col>8</xdr:col>
                    <xdr:colOff>792480</xdr:colOff>
                    <xdr:row>17</xdr:row>
                    <xdr:rowOff>0</xdr:rowOff>
                  </to>
                </anchor>
              </controlPr>
            </control>
          </mc:Choice>
        </mc:AlternateContent>
        <mc:AlternateContent xmlns:mc="http://schemas.openxmlformats.org/markup-compatibility/2006">
          <mc:Choice Requires="x14">
            <control shapeId="57370" r:id="rId17" name="Option Button 26">
              <controlPr defaultSize="0" autoFill="0" autoLine="0" autoPict="0" altText="">
                <anchor moveWithCells="1">
                  <from>
                    <xdr:col>7</xdr:col>
                    <xdr:colOff>678180</xdr:colOff>
                    <xdr:row>17</xdr:row>
                    <xdr:rowOff>30480</xdr:rowOff>
                  </from>
                  <to>
                    <xdr:col>8</xdr:col>
                    <xdr:colOff>792480</xdr:colOff>
                    <xdr:row>18</xdr:row>
                    <xdr:rowOff>0</xdr:rowOff>
                  </to>
                </anchor>
              </controlPr>
            </control>
          </mc:Choice>
        </mc:AlternateContent>
        <mc:AlternateContent xmlns:mc="http://schemas.openxmlformats.org/markup-compatibility/2006">
          <mc:Choice Requires="x14">
            <control shapeId="57371" r:id="rId18" name="Option Button 27">
              <controlPr defaultSize="0" autoFill="0" autoLine="0" autoPict="0" altText="">
                <anchor moveWithCells="1">
                  <from>
                    <xdr:col>7</xdr:col>
                    <xdr:colOff>678180</xdr:colOff>
                    <xdr:row>18</xdr:row>
                    <xdr:rowOff>30480</xdr:rowOff>
                  </from>
                  <to>
                    <xdr:col>8</xdr:col>
                    <xdr:colOff>792480</xdr:colOff>
                    <xdr:row>19</xdr:row>
                    <xdr:rowOff>0</xdr:rowOff>
                  </to>
                </anchor>
              </controlPr>
            </control>
          </mc:Choice>
        </mc:AlternateContent>
        <mc:AlternateContent xmlns:mc="http://schemas.openxmlformats.org/markup-compatibility/2006">
          <mc:Choice Requires="x14">
            <control shapeId="57372" r:id="rId19" name="Option Button 28">
              <controlPr defaultSize="0" autoFill="0" autoLine="0" autoPict="0" altText="">
                <anchor moveWithCells="1">
                  <from>
                    <xdr:col>7</xdr:col>
                    <xdr:colOff>678180</xdr:colOff>
                    <xdr:row>19</xdr:row>
                    <xdr:rowOff>30480</xdr:rowOff>
                  </from>
                  <to>
                    <xdr:col>8</xdr:col>
                    <xdr:colOff>792480</xdr:colOff>
                    <xdr:row>20</xdr:row>
                    <xdr:rowOff>0</xdr:rowOff>
                  </to>
                </anchor>
              </controlPr>
            </control>
          </mc:Choice>
        </mc:AlternateContent>
        <mc:AlternateContent xmlns:mc="http://schemas.openxmlformats.org/markup-compatibility/2006">
          <mc:Choice Requires="x14">
            <control shapeId="57373" r:id="rId20" name="Option Button 29">
              <controlPr defaultSize="0" autoFill="0" autoLine="0" autoPict="0" altText="">
                <anchor moveWithCells="1">
                  <from>
                    <xdr:col>7</xdr:col>
                    <xdr:colOff>678180</xdr:colOff>
                    <xdr:row>20</xdr:row>
                    <xdr:rowOff>30480</xdr:rowOff>
                  </from>
                  <to>
                    <xdr:col>8</xdr:col>
                    <xdr:colOff>792480</xdr:colOff>
                    <xdr:row>21</xdr:row>
                    <xdr:rowOff>0</xdr:rowOff>
                  </to>
                </anchor>
              </controlPr>
            </control>
          </mc:Choice>
        </mc:AlternateContent>
        <mc:AlternateContent xmlns:mc="http://schemas.openxmlformats.org/markup-compatibility/2006">
          <mc:Choice Requires="x14">
            <control shapeId="57374" r:id="rId21" name="Option Button 30">
              <controlPr defaultSize="0" autoFill="0" autoLine="0" autoPict="0" altText="">
                <anchor moveWithCells="1">
                  <from>
                    <xdr:col>7</xdr:col>
                    <xdr:colOff>678180</xdr:colOff>
                    <xdr:row>21</xdr:row>
                    <xdr:rowOff>30480</xdr:rowOff>
                  </from>
                  <to>
                    <xdr:col>8</xdr:col>
                    <xdr:colOff>792480</xdr:colOff>
                    <xdr:row>22</xdr:row>
                    <xdr:rowOff>0</xdr:rowOff>
                  </to>
                </anchor>
              </controlPr>
            </control>
          </mc:Choice>
        </mc:AlternateContent>
        <mc:AlternateContent xmlns:mc="http://schemas.openxmlformats.org/markup-compatibility/2006">
          <mc:Choice Requires="x14">
            <control shapeId="57375" r:id="rId22" name="Option Button 31">
              <controlPr defaultSize="0" autoFill="0" autoLine="0" autoPict="0" altText="">
                <anchor moveWithCells="1">
                  <from>
                    <xdr:col>9</xdr:col>
                    <xdr:colOff>495300</xdr:colOff>
                    <xdr:row>15</xdr:row>
                    <xdr:rowOff>30480</xdr:rowOff>
                  </from>
                  <to>
                    <xdr:col>11</xdr:col>
                    <xdr:colOff>106680</xdr:colOff>
                    <xdr:row>16</xdr:row>
                    <xdr:rowOff>7620</xdr:rowOff>
                  </to>
                </anchor>
              </controlPr>
            </control>
          </mc:Choice>
        </mc:AlternateContent>
        <mc:AlternateContent xmlns:mc="http://schemas.openxmlformats.org/markup-compatibility/2006">
          <mc:Choice Requires="x14">
            <control shapeId="57376" r:id="rId23" name="Option Button 32">
              <controlPr defaultSize="0" autoFill="0" autoLine="0" autoPict="0" altText="">
                <anchor moveWithCells="1">
                  <from>
                    <xdr:col>9</xdr:col>
                    <xdr:colOff>495300</xdr:colOff>
                    <xdr:row>16</xdr:row>
                    <xdr:rowOff>7620</xdr:rowOff>
                  </from>
                  <to>
                    <xdr:col>11</xdr:col>
                    <xdr:colOff>106680</xdr:colOff>
                    <xdr:row>17</xdr:row>
                    <xdr:rowOff>0</xdr:rowOff>
                  </to>
                </anchor>
              </controlPr>
            </control>
          </mc:Choice>
        </mc:AlternateContent>
        <mc:AlternateContent xmlns:mc="http://schemas.openxmlformats.org/markup-compatibility/2006">
          <mc:Choice Requires="x14">
            <control shapeId="57378" r:id="rId24" name="Option Button 34">
              <controlPr defaultSize="0" autoFill="0" autoLine="0" autoPict="0" altText="">
                <anchor moveWithCells="1">
                  <from>
                    <xdr:col>9</xdr:col>
                    <xdr:colOff>495300</xdr:colOff>
                    <xdr:row>17</xdr:row>
                    <xdr:rowOff>7620</xdr:rowOff>
                  </from>
                  <to>
                    <xdr:col>11</xdr:col>
                    <xdr:colOff>106680</xdr:colOff>
                    <xdr:row>18</xdr:row>
                    <xdr:rowOff>0</xdr:rowOff>
                  </to>
                </anchor>
              </controlPr>
            </control>
          </mc:Choice>
        </mc:AlternateContent>
        <mc:AlternateContent xmlns:mc="http://schemas.openxmlformats.org/markup-compatibility/2006">
          <mc:Choice Requires="x14">
            <control shapeId="57381" r:id="rId25" name="Option Button 37">
              <controlPr defaultSize="0" autoFill="0" autoLine="0" autoPict="0" altText="">
                <anchor moveWithCells="1">
                  <from>
                    <xdr:col>9</xdr:col>
                    <xdr:colOff>495300</xdr:colOff>
                    <xdr:row>18</xdr:row>
                    <xdr:rowOff>7620</xdr:rowOff>
                  </from>
                  <to>
                    <xdr:col>11</xdr:col>
                    <xdr:colOff>106680</xdr:colOff>
                    <xdr:row>19</xdr:row>
                    <xdr:rowOff>0</xdr:rowOff>
                  </to>
                </anchor>
              </controlPr>
            </control>
          </mc:Choice>
        </mc:AlternateContent>
        <mc:AlternateContent xmlns:mc="http://schemas.openxmlformats.org/markup-compatibility/2006">
          <mc:Choice Requires="x14">
            <control shapeId="57382" r:id="rId26" name="Option Button 38">
              <controlPr defaultSize="0" autoFill="0" autoLine="0" autoPict="0" altText="">
                <anchor moveWithCells="1">
                  <from>
                    <xdr:col>9</xdr:col>
                    <xdr:colOff>495300</xdr:colOff>
                    <xdr:row>19</xdr:row>
                    <xdr:rowOff>7620</xdr:rowOff>
                  </from>
                  <to>
                    <xdr:col>11</xdr:col>
                    <xdr:colOff>106680</xdr:colOff>
                    <xdr:row>20</xdr:row>
                    <xdr:rowOff>0</xdr:rowOff>
                  </to>
                </anchor>
              </controlPr>
            </control>
          </mc:Choice>
        </mc:AlternateContent>
        <mc:AlternateContent xmlns:mc="http://schemas.openxmlformats.org/markup-compatibility/2006">
          <mc:Choice Requires="x14">
            <control shapeId="57347" r:id="rId27" name="Group Box 3">
              <controlPr defaultSize="0" print="0" autoFill="0" autoPict="0" macro="[0]!Gruppenfeld3_Klicken" altText="">
                <anchor moveWithCells="1">
                  <from>
                    <xdr:col>5</xdr:col>
                    <xdr:colOff>563880</xdr:colOff>
                    <xdr:row>14</xdr:row>
                    <xdr:rowOff>0</xdr:rowOff>
                  </from>
                  <to>
                    <xdr:col>12</xdr:col>
                    <xdr:colOff>358140</xdr:colOff>
                    <xdr:row>22</xdr:row>
                    <xdr:rowOff>0</xdr:rowOff>
                  </to>
                </anchor>
              </controlPr>
            </control>
          </mc:Choice>
        </mc:AlternateContent>
        <mc:AlternateContent xmlns:mc="http://schemas.openxmlformats.org/markup-compatibility/2006">
          <mc:Choice Requires="x14">
            <control shapeId="57353" r:id="rId28" name="Group Box 9">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7379" r:id="rId29" name="Option Button 35">
              <controlPr defaultSize="0" autoFill="0" autoLine="0" autoPict="0">
                <anchor moveWithCells="1">
                  <from>
                    <xdr:col>7</xdr:col>
                    <xdr:colOff>678180</xdr:colOff>
                    <xdr:row>12</xdr:row>
                    <xdr:rowOff>30480</xdr:rowOff>
                  </from>
                  <to>
                    <xdr:col>10</xdr:col>
                    <xdr:colOff>320040</xdr:colOff>
                    <xdr:row>12</xdr:row>
                    <xdr:rowOff>182880</xdr:rowOff>
                  </to>
                </anchor>
              </controlPr>
            </control>
          </mc:Choice>
        </mc:AlternateContent>
        <mc:AlternateContent xmlns:mc="http://schemas.openxmlformats.org/markup-compatibility/2006">
          <mc:Choice Requires="x14">
            <control shapeId="57380" r:id="rId30"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7423" r:id="rId34" name="Option Button 79">
              <controlPr defaultSize="0" autoFill="0" autoLine="0" autoPict="0" altText="">
                <anchor moveWithCells="1">
                  <from>
                    <xdr:col>9</xdr:col>
                    <xdr:colOff>495300</xdr:colOff>
                    <xdr:row>20</xdr:row>
                    <xdr:rowOff>7620</xdr:rowOff>
                  </from>
                  <to>
                    <xdr:col>11</xdr:col>
                    <xdr:colOff>106680</xdr:colOff>
                    <xdr:row>21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1"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20"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118" id="{1D24F517-1CAA-470F-B20E-AE59B59C8DA8}">
            <xm:f>$I$84=Formeln!$A$1</xm:f>
            <x14:dxf>
              <fill>
                <patternFill>
                  <bgColor theme="0" tint="-0.14996795556505021"/>
                </patternFill>
              </fill>
            </x14:dxf>
          </x14:cfRule>
          <xm:sqref>I84:K84</xm:sqref>
        </x14:conditionalFormatting>
        <x14:conditionalFormatting xmlns:xm="http://schemas.microsoft.com/office/excel/2006/main">
          <x14:cfRule type="expression" priority="20" id="{66DF7221-D6F1-47BC-B434-B71C58C05099}">
            <xm:f>$J31=Formeln!$A$287</xm:f>
            <x14:dxf>
              <fill>
                <patternFill>
                  <bgColor theme="0" tint="-0.14996795556505021"/>
                </patternFill>
              </fill>
            </x14:dxf>
          </x14:cfRule>
          <xm:sqref>J31:K33</xm:sqref>
        </x14:conditionalFormatting>
        <x14:conditionalFormatting xmlns:xm="http://schemas.microsoft.com/office/excel/2006/main">
          <x14:cfRule type="expression" priority="35"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4" id="{23DAEB8D-94F0-4FE8-B3A9-7E8E2D29CC59}">
            <xm:f>Info!$V$7=8</xm:f>
            <x14:dxf>
              <font>
                <color theme="1"/>
              </font>
              <border>
                <left style="thin">
                  <color auto="1"/>
                </left>
                <right style="thin">
                  <color auto="1"/>
                </right>
                <top style="thin">
                  <color auto="1"/>
                </top>
                <bottom style="thin">
                  <color auto="1"/>
                </bottom>
                <vertical/>
                <horizontal/>
              </border>
            </x14:dxf>
          </x14:cfRule>
          <xm:sqref>O30:O87</xm:sqref>
        </x14:conditionalFormatting>
        <x14:conditionalFormatting xmlns:xm="http://schemas.microsoft.com/office/excel/2006/main">
          <x14:cfRule type="expression" priority="7" id="{708164CA-64D5-4229-AAA4-5BAF39BC6FA3}">
            <xm:f>Info!$V$7=8</xm:f>
            <x14:dxf>
              <font>
                <color theme="1"/>
              </font>
              <border>
                <bottom style="thin">
                  <color auto="1"/>
                </bottom>
              </border>
            </x14:dxf>
          </x14:cfRule>
          <xm:sqref>O89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Formeln!$A$106:$A$111</xm:f>
          </x14:formula1>
          <xm:sqref>I84:K84</xm:sqref>
        </x14:dataValidation>
        <x14:dataValidation type="list" allowBlank="1" showInputMessage="1" showErrorMessage="1" xr:uid="{00000000-0002-0000-0800-000001000000}">
          <x14:formula1>
            <xm:f>Formeln!$A$9:$A$15</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Formeln!$C$33:$C$43</xm:f>
          </x14:formula1>
          <xm:sqref>J54:K54</xm:sqref>
        </x14:dataValidation>
        <x14:dataValidation type="list" allowBlank="1" showInputMessage="1" showErrorMessage="1" xr:uid="{00000000-0002-0000-0800-000004000000}">
          <x14:formula1>
            <xm:f>Formeln!$A$287:$A$289</xm:f>
          </x14:formula1>
          <xm:sqref>J31:K33</xm:sqref>
        </x14:dataValidation>
        <x14:dataValidation type="list" allowBlank="1" showInputMessage="1" showErrorMessage="1" xr:uid="{AFF28824-F5A9-4641-9D5C-CB8D020EA510}">
          <x14:formula1>
            <xm:f>Formeln!$A$5:$A$8</xm:f>
          </x14:formula1>
          <xm:sqref>H40:K40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9D090AF7A72A5409FC03A4B4183BE73" ma:contentTypeVersion="15" ma:contentTypeDescription="Ein neues Dokument erstellen." ma:contentTypeScope="" ma:versionID="d29377ab86480c02aac725f63f376c83">
  <xsd:schema xmlns:xsd="http://www.w3.org/2001/XMLSchema" xmlns:xs="http://www.w3.org/2001/XMLSchema" xmlns:p="http://schemas.microsoft.com/office/2006/metadata/properties" xmlns:ns2="637fc913-e57b-49fe-b541-a8fffe63569d" xmlns:ns3="15a9e933-d27c-474c-a129-a35d5000c0af" xmlns:ns4="bf01325f-6d04-4905-92c1-287a220edac3" targetNamespace="http://schemas.microsoft.com/office/2006/metadata/properties" ma:root="true" ma:fieldsID="a52337f803bce06c1e65c79f03cbcb7e" ns2:_="" ns3:_="" ns4:_="">
    <xsd:import namespace="637fc913-e57b-49fe-b541-a8fffe63569d"/>
    <xsd:import namespace="15a9e933-d27c-474c-a129-a35d5000c0af"/>
    <xsd:import namespace="bf01325f-6d04-4905-92c1-287a220eda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7fc913-e57b-49fe-b541-a8fffe63569d"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a9e933-d27c-474c-a129-a35d5000c0a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5a9e933-d27c-474c-a129-a35d5000c0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6B9EE98-53A7-449A-8A82-4CC1F236F3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7fc913-e57b-49fe-b541-a8fffe63569d"/>
    <ds:schemaRef ds:uri="15a9e933-d27c-474c-a129-a35d5000c0af"/>
    <ds:schemaRef ds:uri="bf01325f-6d04-4905-92c1-287a220ed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BD32F-FE48-4D90-A6B7-E374B31134AA}">
  <ds:schemaRefs>
    <ds:schemaRef ds:uri="http://schemas.microsoft.com/sharepoint/v3/contenttype/forms"/>
  </ds:schemaRefs>
</ds:datastoreItem>
</file>

<file path=customXml/itemProps3.xml><?xml version="1.0" encoding="utf-8"?>
<ds:datastoreItem xmlns:ds="http://schemas.openxmlformats.org/officeDocument/2006/customXml" ds:itemID="{0DD17D4A-2810-454C-8366-DE8A767AFA23}">
  <ds:schemaRefs>
    <ds:schemaRef ds:uri="http://schemas.microsoft.com/office/2006/metadata/properties"/>
    <ds:schemaRef ds:uri="http://schemas.microsoft.com/office/infopath/2007/PartnerControls"/>
    <ds:schemaRef ds:uri="bf01325f-6d04-4905-92c1-287a220edac3"/>
    <ds:schemaRef ds:uri="15a9e933-d27c-474c-a129-a35d5000c0a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Info</vt:lpstr>
      <vt:lpstr>DP</vt:lpstr>
      <vt:lpstr>DS</vt:lpstr>
      <vt:lpstr>DS.19</vt:lpstr>
      <vt:lpstr>R.16</vt:lpstr>
      <vt:lpstr>DR44</vt:lpstr>
      <vt:lpstr>DR29</vt:lpstr>
      <vt:lpstr>FX.12</vt:lpstr>
      <vt:lpstr>PR</vt:lpstr>
      <vt:lpstr>RI_P.10</vt:lpstr>
      <vt:lpstr>QR_P.10</vt:lpstr>
      <vt:lpstr>RI</vt:lpstr>
      <vt:lpstr>QR</vt:lpstr>
      <vt:lpstr>Versionsverlauf</vt:lpstr>
      <vt:lpstr>Formeln</vt:lpstr>
      <vt:lpstr>Velux DE Artikelnummern</vt:lpstr>
      <vt:lpstr>Formeln_RI_P.10</vt:lpstr>
      <vt:lpstr>Sprachindex</vt:lpstr>
      <vt:lpstr>DP!Druckbereich</vt:lpstr>
      <vt:lpstr>'DR29'!Druckbereich</vt:lpstr>
      <vt:lpstr>'DR44'!Druckbereich</vt:lpstr>
      <vt:lpstr>DS!Druckbereich</vt:lpstr>
      <vt:lpstr>DS.19!Druckbereich</vt:lpstr>
      <vt:lpstr>FX.12!Druckbereich</vt:lpstr>
      <vt:lpstr>Info!Druckbereich</vt:lpstr>
      <vt:lpstr>PR!Druckbereich</vt:lpstr>
      <vt:lpstr>QR!Druckbereich</vt:lpstr>
      <vt:lpstr>QR_P.10!Druckbereich</vt:lpstr>
      <vt:lpstr>R.16!Druckbereich</vt:lpstr>
      <vt:lpstr>RI!Druckbereich</vt:lpstr>
      <vt:lpstr>RI_P.10!Druckbereich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2024-10-15T08:05:36Z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0x01010069D090AF7A72A5409FC03A4B4183BE73</vt:lpwstr>
  </property>
  <property fmtid="{D5CDD505-2E9C-101B-9397-08002B2CF9AE}" pid="3" name="MediaServiceImageTags">
    <vt:lpwstr/>
  </property>
</Properties>
</file>